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ea1f0653367e7d/Desktop/PUBLICAÇÕES LINKEDLN/"/>
    </mc:Choice>
  </mc:AlternateContent>
  <xr:revisionPtr revIDLastSave="102" documentId="8_{F5FD6744-0C62-447E-958D-BA8ED59BF2EB}" xr6:coauthVersionLast="47" xr6:coauthVersionMax="47" xr10:uidLastSave="{83062441-1BEA-4123-9386-B53907956297}"/>
  <bookViews>
    <workbookView xWindow="-110" yWindow="-110" windowWidth="19420" windowHeight="10300" tabRatio="779" firstSheet="5" activeTab="11" xr2:uid="{A2854364-3E4B-4104-B1D2-7FD99C51377C}"/>
  </bookViews>
  <sheets>
    <sheet name="PIVOT" sheetId="30" r:id="rId1"/>
    <sheet name="tbPrevisto" sheetId="38" r:id="rId2"/>
    <sheet name="tbPendencias" sheetId="37" r:id="rId3"/>
    <sheet name="tbCategoria" sheetId="34" r:id="rId4"/>
    <sheet name="tbMapaData" sheetId="27" r:id="rId5"/>
    <sheet name="tbMapa" sheetId="26" r:id="rId6"/>
    <sheet name="tbPavimento" sheetId="36" r:id="rId7"/>
    <sheet name="tbContrato" sheetId="22" state="veryHidden" r:id="rId8"/>
    <sheet name="tbFisico" sheetId="32" r:id="rId9"/>
    <sheet name="tbBoletim" sheetId="24" r:id="rId10"/>
    <sheet name="tbFaturamento" sheetId="25" r:id="rId11"/>
    <sheet name="DASHBOARD" sheetId="21" r:id="rId12"/>
    <sheet name="1. Controle de Contrato" sheetId="11" r:id="rId13"/>
    <sheet name="2. Boletim de Medição" sheetId="5" r:id="rId14"/>
    <sheet name="3. Faturamento Direto" sheetId="14" r:id="rId15"/>
    <sheet name="4. Mapa Visual de Medição" sheetId="12" r:id="rId16"/>
    <sheet name="05. Conferencia porta T1" sheetId="18" state="hidden" r:id="rId17"/>
    <sheet name="05. Conferencia porta T2" sheetId="19" state="hidden" r:id="rId18"/>
  </sheets>
  <definedNames>
    <definedName name="\I">#REF!</definedName>
    <definedName name="_1">#REF!</definedName>
    <definedName name="_xlcn.WorksheetConnection_CONTROLEMEDIÇÕESCTF.26811.xlsxTabela11" hidden="1">Tabela1[]</definedName>
    <definedName name="_xlcn.WorksheetConnection_CONTROLEMEDIÇÕESCTF.26811.xlsxTabela51" hidden="1">Tabela5[]</definedName>
    <definedName name="_xlcn.WorksheetConnection_CONTROLEMEDIÇÕESCTF.26811.xlsxTabela5111" hidden="1">Tabela511[]</definedName>
    <definedName name="_xlcn.WorksheetConnection_CONTROLEMEDIÇÕESCTF.26811.xlsxTabela511121" hidden="1">Tabela51112[]</definedName>
    <definedName name="_xlcn.WorksheetConnection_CONTROLEMEDIÇÕESCTF.26811.xlsxTabela571" hidden="1">Tabela57[]</definedName>
    <definedName name="_xlcn.WorksheetConnection_CONTROLEMEDIÇÕESCTF.26811.xlsxTabela5731" hidden="1">Tabela573[]</definedName>
    <definedName name="_xlcn.WorksheetConnection_CONTROLEMEDIÇÕESCTF.26811.xlsxTabela57391" hidden="1">Tabela5739[]</definedName>
    <definedName name="_xlcn.WorksheetConnection_CONTROLEMEDIÇÕESCTF.26811.xlsxTabela91" hidden="1">Tabela9[]</definedName>
    <definedName name="AAA">#REF!</definedName>
    <definedName name="AAAFD">#REF!</definedName>
    <definedName name="ADITIVO_PLANEJAMENTO" localSheetId="15">#REF!</definedName>
    <definedName name="ADITIVO_PLANEJAMENTO">#REF!</definedName>
    <definedName name="_xlnm.Print_Area" localSheetId="12">'1. Controle de Contrato'!$A$1:$Q$71</definedName>
    <definedName name="_xlnm.Print_Area" localSheetId="13">'2. Boletim de Medição'!$A$1:$AX$41</definedName>
    <definedName name="_xlnm.Print_Area" localSheetId="14">'3. Faturamento Direto'!$A$1:$R$30</definedName>
    <definedName name="_xlnm.Print_Area" localSheetId="15">'4. Mapa Visual de Medição'!$A$1:$LS$24</definedName>
    <definedName name="_xlnm.Print_Area" localSheetId="7">tbContrato!$A$1:$N$49</definedName>
    <definedName name="_xlnm.Print_Area" localSheetId="10">tbFaturamento!$A$1:$J$16</definedName>
    <definedName name="_xlnm.Print_Area">#REF!</definedName>
    <definedName name="Atividades" localSheetId="13">#REF!</definedName>
    <definedName name="Atividades" localSheetId="14">#REF!</definedName>
    <definedName name="Atividades" localSheetId="15">#REF!</definedName>
    <definedName name="Atividades" localSheetId="10">#REF!</definedName>
    <definedName name="Atividades">#REF!</definedName>
    <definedName name="DEGRAU">#REF!</definedName>
    <definedName name="ESTRUTURA" localSheetId="13">#REF!</definedName>
    <definedName name="ESTRUTURA" localSheetId="14">#REF!</definedName>
    <definedName name="ESTRUTURA" localSheetId="10">#REF!</definedName>
    <definedName name="ESTRUTURA">#REF!</definedName>
    <definedName name="Fornecedores" localSheetId="13">INDIRECT("'Fornecedores'!B2:B"&amp;COUNTA(#REF!)+2)</definedName>
    <definedName name="Fornecedores" localSheetId="14">INDIRECT("'Fornecedores'!B2:B"&amp;COUNTA(#REF!)+2)</definedName>
    <definedName name="Fornecedores" localSheetId="10">INDIRECT("'Fornecedores'!B2:B"&amp;COUNTA(#REF!)+2)</definedName>
    <definedName name="Fornecedores">INDIRECT("'Fornecedores'!B2:B"&amp;COUNTA(#REF!)+2)</definedName>
    <definedName name="FORPINT">#REF!</definedName>
    <definedName name="FORRO">#REF!</definedName>
    <definedName name="MACRO">#REF!</definedName>
    <definedName name="MATERIAL">#REF!</definedName>
    <definedName name="MOBRA">#REF!</definedName>
    <definedName name="motivo_aditivo" localSheetId="16">#REF!</definedName>
    <definedName name="motivo_aditivo" localSheetId="17">#REF!</definedName>
    <definedName name="motivo_aditivo">#REF!</definedName>
    <definedName name="motivo_quantidade" localSheetId="13">#REF!</definedName>
    <definedName name="motivo_quantidade" localSheetId="14">#REF!</definedName>
    <definedName name="motivo_quantidade" localSheetId="10">#REF!</definedName>
    <definedName name="motivo_quantidade">#REF!</definedName>
    <definedName name="Motivo_unitário" localSheetId="13">#REF!</definedName>
    <definedName name="Motivo_unitário" localSheetId="14">#REF!</definedName>
    <definedName name="Motivo_unitário" localSheetId="10">#REF!</definedName>
    <definedName name="Motivo_unitário">#REF!</definedName>
    <definedName name="Motivosdoaditivo" localSheetId="13">#REF!</definedName>
    <definedName name="Motivosdoaditivo" localSheetId="14">#REF!</definedName>
    <definedName name="Motivosdoaditivo" localSheetId="10">#REF!</definedName>
    <definedName name="Motivosdoaditivo">#REF!</definedName>
    <definedName name="Obras">INDIRECT("'02 - Tipologia'!C4:C"&amp;10-COUNTIF(#REF!,"")+3)</definedName>
    <definedName name="ok">#REF!</definedName>
    <definedName name="PINTURA" localSheetId="16">#REF!</definedName>
    <definedName name="PINTURA" localSheetId="17">#REF!</definedName>
    <definedName name="PINTURA">#REF!</definedName>
    <definedName name="PISO">#REF!</definedName>
    <definedName name="quantidade_oi" localSheetId="13">'2. Boletim de Medição'!#REF!</definedName>
    <definedName name="quantidade_oi" localSheetId="14">'3. Faturamento Direto'!#REF!</definedName>
    <definedName name="quantidade_oi" localSheetId="10">tbFaturamento!#REF!</definedName>
    <definedName name="quantidade_pre" localSheetId="13">'2. Boletim de Medição'!#REF!</definedName>
    <definedName name="quantidade_pre" localSheetId="14">'3. Faturamento Direto'!#REF!</definedName>
    <definedName name="quantidade_pre" localSheetId="10">tbFaturamento!#REF!</definedName>
    <definedName name="quantidade_sup" localSheetId="13">#REF!</definedName>
    <definedName name="quantidade_sup" localSheetId="14">#REF!</definedName>
    <definedName name="quantidade_sup" localSheetId="15">#REF!</definedName>
    <definedName name="quantidade_sup" localSheetId="10">#REF!</definedName>
    <definedName name="quantidade_sup">#REF!</definedName>
    <definedName name="Responsável_quantidade" localSheetId="13">#REF!</definedName>
    <definedName name="Responsável_quantidade" localSheetId="14">#REF!</definedName>
    <definedName name="Responsável_quantidade" localSheetId="10">#REF!</definedName>
    <definedName name="Responsável_quantidade">#REF!</definedName>
    <definedName name="Responsável_unitário" localSheetId="13">#REF!</definedName>
    <definedName name="Responsável_unitário" localSheetId="14">#REF!</definedName>
    <definedName name="Responsável_unitário" localSheetId="10">#REF!</definedName>
    <definedName name="Responsável_unitário">#REF!</definedName>
    <definedName name="RODAPE">#REF!</definedName>
    <definedName name="s">INDIRECT("'Fornecedores'!B2:B"&amp;COUNTA(#REF!)+2)</definedName>
    <definedName name="SOLEIRA">#REF!</definedName>
    <definedName name="SUP" localSheetId="16">#REF!</definedName>
    <definedName name="SUP" localSheetId="17">#REF!</definedName>
    <definedName name="SUP" localSheetId="13">#REF!</definedName>
    <definedName name="SUP" localSheetId="14">#REF!</definedName>
    <definedName name="SUP" localSheetId="10">#REF!</definedName>
    <definedName name="SUP">#REF!</definedName>
    <definedName name="Total_oi" localSheetId="13">#REF!</definedName>
    <definedName name="Total_oi" localSheetId="14">#REF!</definedName>
    <definedName name="Total_oi" localSheetId="10">#REF!</definedName>
    <definedName name="Total_oi">#REF!</definedName>
    <definedName name="Total_pré" localSheetId="13">#REF!</definedName>
    <definedName name="Total_pré" localSheetId="14">#REF!</definedName>
    <definedName name="Total_pré" localSheetId="10">#REF!</definedName>
    <definedName name="Total_pré">#REF!</definedName>
    <definedName name="Total_sup" localSheetId="13">#REF!</definedName>
    <definedName name="Total_sup" localSheetId="14">#REF!</definedName>
    <definedName name="Total_sup" localSheetId="10">#REF!</definedName>
    <definedName name="Total_sup">#REF!</definedName>
    <definedName name="unitário_oi" localSheetId="13">'2. Boletim de Medição'!#REF!</definedName>
    <definedName name="unitário_oi" localSheetId="14">'3. Faturamento Direto'!#REF!</definedName>
    <definedName name="unitário_oi" localSheetId="10">tbFaturamento!#REF!</definedName>
    <definedName name="unitário_pre" localSheetId="13">'2. Boletim de Medição'!#REF!</definedName>
    <definedName name="unitário_pre" localSheetId="14">'3. Faturamento Direto'!#REF!</definedName>
    <definedName name="unitário_pre" localSheetId="10">tbFaturamento!#REF!</definedName>
    <definedName name="unitário_sup" localSheetId="13">'2. Boletim de Medição'!#REF!</definedName>
    <definedName name="unitário_sup" localSheetId="14">'3. Faturamento Direto'!#REF!</definedName>
    <definedName name="unitário_sup" localSheetId="10">tbFaturamento!#REF!</definedName>
    <definedName name="Valor_OI" localSheetId="13">#REF!</definedName>
    <definedName name="Valor_OI" localSheetId="14">#REF!</definedName>
    <definedName name="Valor_OI" localSheetId="15">#REF!</definedName>
    <definedName name="Valor_OI" localSheetId="10">#REF!</definedName>
    <definedName name="Valor_OI">#REF!</definedName>
    <definedName name="Valor_Pré" localSheetId="13">#REF!</definedName>
    <definedName name="Valor_Pré" localSheetId="14">#REF!</definedName>
    <definedName name="Valor_Pré" localSheetId="10">#REF!</definedName>
    <definedName name="Valor_Pré">#REF!</definedName>
  </definedNames>
  <calcPr calcId="191028"/>
  <pivotCaches>
    <pivotCache cacheId="161" r:id="rId19"/>
    <pivotCache cacheId="162" r:id="rId20"/>
    <pivotCache cacheId="163" r:id="rId21"/>
    <pivotCache cacheId="164" r:id="rId22"/>
    <pivotCache cacheId="165" r:id="rId23"/>
    <pivotCache cacheId="166" r:id="rId24"/>
    <pivotCache cacheId="169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9" name="tbPavimento" connection="WorksheetConnection_CONTROLE MEDIÇÕES - CTF.2681 (1).xlsx!Tabela9"/>
          <x15:modelTable id="Tabela5739" name="TbCategorias" connection="WorksheetConnection_CONTROLE MEDIÇÕES - CTF.2681 (1).xlsx!Tabela5739"/>
          <x15:modelTable id="Tabela573" name="tbFisico" connection="WorksheetConnection_CONTROLE MEDIÇÕES - CTF.2681 (1).xlsx!Tabela573"/>
          <x15:modelTable id="Tabela57" name="tbMapaData" connection="WorksheetConnection_CONTROLE MEDIÇÕES - CTF.2681 (1).xlsx!Tabela57"/>
          <x15:modelTable id="Tabela51112" name="tbPrevisto" connection="WorksheetConnection_CONTROLE MEDIÇÕES - CTF.2681 (1).xlsx!Tabela51112"/>
          <x15:modelTable id="Tabela511" name="TbPendencias" connection="WorksheetConnection_CONTROLE MEDIÇÕES - CTF.2681 (1).xlsx!Tabela511"/>
          <x15:modelTable id="Tabela5" name="tbMapa" connection="WorksheetConnection_CONTROLE MEDIÇÕES - CTF.2681 (1).xlsx!Tabela5"/>
          <x15:modelTable id="Tabela1" name="tbContrato" connection="WorksheetConnection_CONTROLE MEDIÇÕES - CTF.2681 (1).xlsx!Tabela1"/>
        </x15:modelTables>
        <x15:modelRelationships>
          <x15:modelRelationship fromTable="tbMapa" fromColumn="MEDIÇÃO" toTable="tbMapaData" toColumn="MEDIÇÃO"/>
          <x15:modelRelationship fromTable="tbContrato" fromColumn="Nº Medição" toTable="tbMapaData" toColumn="MEDIÇÃO"/>
          <x15:modelRelationship fromTable="tbFisico" fromColumn="MEDIÇÃO" toTable="tbMapaData" toColumn="MEDIÇÃ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MapaData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  <x16:modelTimeGrouping tableName="tbPrevisto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8" l="1"/>
  <c r="Q4" i="24"/>
  <c r="B4" i="32" s="1"/>
  <c r="D4" i="38" s="1"/>
  <c r="O7" i="24"/>
  <c r="O6" i="24"/>
  <c r="O5" i="24"/>
  <c r="O4" i="24"/>
  <c r="L19" i="5"/>
  <c r="E7" i="24"/>
  <c r="AS109" i="5"/>
  <c r="J5" i="11"/>
  <c r="G15" i="21" s="1"/>
  <c r="B7" i="32"/>
  <c r="B11" i="32"/>
  <c r="D11" i="38" s="1"/>
  <c r="B10" i="32"/>
  <c r="D10" i="38" s="1"/>
  <c r="B9" i="32"/>
  <c r="D9" i="38" s="1"/>
  <c r="B8" i="32"/>
  <c r="D8" i="38" s="1"/>
  <c r="D7" i="38"/>
  <c r="B5" i="32"/>
  <c r="D5" i="38" s="1"/>
  <c r="H20" i="24"/>
  <c r="H19" i="24"/>
  <c r="H18" i="24"/>
  <c r="H17" i="24"/>
  <c r="E6" i="38"/>
  <c r="E7" i="38" s="1"/>
  <c r="E8" i="38" s="1"/>
  <c r="E9" i="38" s="1"/>
  <c r="E10" i="38" s="1"/>
  <c r="E11" i="38" s="1"/>
  <c r="E5" i="38"/>
  <c r="E4" i="38"/>
  <c r="E3" i="38"/>
  <c r="B6" i="38"/>
  <c r="B5" i="38"/>
  <c r="B4" i="38"/>
  <c r="B3" i="38"/>
  <c r="B2" i="38"/>
  <c r="C2" i="27"/>
  <c r="C3" i="27"/>
  <c r="C4" i="27"/>
  <c r="C5" i="27"/>
  <c r="C6" i="27"/>
  <c r="C7" i="27"/>
  <c r="C8" i="27"/>
  <c r="C9" i="27"/>
  <c r="C10" i="27"/>
  <c r="C11" i="27"/>
  <c r="C12" i="27"/>
  <c r="D24" i="11"/>
  <c r="B2" i="22" s="1"/>
  <c r="F6" i="26"/>
  <c r="G6" i="26"/>
  <c r="H6" i="26"/>
  <c r="I6" i="26"/>
  <c r="J6" i="26"/>
  <c r="K6" i="26"/>
  <c r="L6" i="26"/>
  <c r="M6" i="26"/>
  <c r="N6" i="26"/>
  <c r="E6" i="26"/>
  <c r="F5" i="26"/>
  <c r="G5" i="26"/>
  <c r="H5" i="26"/>
  <c r="I5" i="26"/>
  <c r="J5" i="26"/>
  <c r="K5" i="26"/>
  <c r="L5" i="26"/>
  <c r="M5" i="26"/>
  <c r="N5" i="26"/>
  <c r="E5" i="26"/>
  <c r="GR21" i="12"/>
  <c r="N4" i="26"/>
  <c r="F4" i="26"/>
  <c r="G4" i="26"/>
  <c r="H4" i="26"/>
  <c r="I4" i="26"/>
  <c r="J4" i="26"/>
  <c r="K4" i="26"/>
  <c r="L4" i="26"/>
  <c r="M4" i="26"/>
  <c r="E4" i="26"/>
  <c r="F3" i="26"/>
  <c r="G3" i="26"/>
  <c r="H3" i="26"/>
  <c r="I3" i="26"/>
  <c r="J3" i="26"/>
  <c r="K3" i="26"/>
  <c r="L3" i="26"/>
  <c r="M3" i="26"/>
  <c r="N3" i="26"/>
  <c r="E3" i="26"/>
  <c r="G2" i="26"/>
  <c r="H2" i="26"/>
  <c r="I2" i="26"/>
  <c r="J2" i="26"/>
  <c r="K2" i="26"/>
  <c r="L2" i="26"/>
  <c r="M2" i="26"/>
  <c r="N2" i="26"/>
  <c r="F2" i="26"/>
  <c r="E2" i="26"/>
  <c r="A8" i="12"/>
  <c r="I2" i="25"/>
  <c r="H2" i="25"/>
  <c r="G2" i="25"/>
  <c r="F2" i="25"/>
  <c r="C2" i="25"/>
  <c r="B2" i="25"/>
  <c r="A2" i="25"/>
  <c r="I7" i="25"/>
  <c r="I6" i="25"/>
  <c r="I4" i="25"/>
  <c r="I5" i="25"/>
  <c r="I3" i="25"/>
  <c r="G4" i="25"/>
  <c r="G5" i="25"/>
  <c r="G6" i="25"/>
  <c r="G7" i="25"/>
  <c r="G3" i="25"/>
  <c r="H4" i="25"/>
  <c r="H5" i="25"/>
  <c r="H6" i="25"/>
  <c r="H7" i="25"/>
  <c r="H3" i="25"/>
  <c r="F4" i="25"/>
  <c r="F5" i="25"/>
  <c r="F6" i="25"/>
  <c r="F7" i="25"/>
  <c r="F3" i="25"/>
  <c r="E7" i="25"/>
  <c r="E4" i="25"/>
  <c r="E5" i="25"/>
  <c r="C4" i="25"/>
  <c r="C5" i="25"/>
  <c r="C6" i="25"/>
  <c r="C7" i="25"/>
  <c r="C3" i="25"/>
  <c r="B4" i="25"/>
  <c r="B5" i="25"/>
  <c r="B6" i="25"/>
  <c r="B7" i="25"/>
  <c r="B3" i="25"/>
  <c r="A4" i="25"/>
  <c r="Y3" i="25" s="1"/>
  <c r="A5" i="25"/>
  <c r="A6" i="25"/>
  <c r="A7" i="25"/>
  <c r="A3" i="25"/>
  <c r="M16" i="24"/>
  <c r="T34" i="5"/>
  <c r="AF17" i="24"/>
  <c r="AF18" i="24"/>
  <c r="AF19" i="24"/>
  <c r="AF20" i="24"/>
  <c r="AF21" i="24"/>
  <c r="AE17" i="24"/>
  <c r="AE18" i="24"/>
  <c r="AE19" i="24"/>
  <c r="AE20" i="24"/>
  <c r="AE21" i="24"/>
  <c r="AD17" i="24"/>
  <c r="AD18" i="24"/>
  <c r="AD19" i="24"/>
  <c r="AD20" i="24"/>
  <c r="AD21" i="24"/>
  <c r="AC17" i="24"/>
  <c r="AC18" i="24"/>
  <c r="AC19" i="24"/>
  <c r="AC20" i="24"/>
  <c r="AC21" i="24"/>
  <c r="AC16" i="24"/>
  <c r="AB17" i="24"/>
  <c r="AB18" i="24"/>
  <c r="AB19" i="24"/>
  <c r="AB20" i="24"/>
  <c r="AB21" i="24"/>
  <c r="AA17" i="24"/>
  <c r="AA18" i="24"/>
  <c r="AA19" i="24"/>
  <c r="AA20" i="24"/>
  <c r="AA21" i="24"/>
  <c r="AA16" i="24"/>
  <c r="Z17" i="24"/>
  <c r="Z18" i="24"/>
  <c r="Z19" i="24"/>
  <c r="Z20" i="24"/>
  <c r="Z21" i="24"/>
  <c r="Y17" i="24"/>
  <c r="Y18" i="24"/>
  <c r="Y19" i="24"/>
  <c r="Y20" i="24"/>
  <c r="Y21" i="24"/>
  <c r="Y16" i="24"/>
  <c r="X17" i="24"/>
  <c r="X18" i="24"/>
  <c r="X19" i="24"/>
  <c r="X20" i="24"/>
  <c r="X21" i="24"/>
  <c r="W17" i="24"/>
  <c r="W18" i="24"/>
  <c r="W19" i="24"/>
  <c r="W20" i="24"/>
  <c r="W21" i="24"/>
  <c r="W16" i="24"/>
  <c r="V17" i="24"/>
  <c r="V18" i="24"/>
  <c r="V19" i="24"/>
  <c r="V20" i="24"/>
  <c r="V21" i="24"/>
  <c r="U17" i="24"/>
  <c r="U18" i="24"/>
  <c r="U19" i="24"/>
  <c r="U20" i="24"/>
  <c r="U21" i="24"/>
  <c r="U16" i="24"/>
  <c r="T17" i="24"/>
  <c r="T18" i="24"/>
  <c r="T19" i="24"/>
  <c r="T20" i="24"/>
  <c r="T21" i="24"/>
  <c r="S17" i="24"/>
  <c r="S18" i="24"/>
  <c r="S19" i="24"/>
  <c r="S20" i="24"/>
  <c r="S21" i="24"/>
  <c r="S16" i="24"/>
  <c r="R17" i="24"/>
  <c r="R18" i="24"/>
  <c r="R19" i="24"/>
  <c r="R20" i="24"/>
  <c r="R21" i="24"/>
  <c r="Q17" i="24"/>
  <c r="Q18" i="24"/>
  <c r="Q19" i="24"/>
  <c r="Q20" i="24"/>
  <c r="Q21" i="24"/>
  <c r="Q16" i="24"/>
  <c r="P17" i="24"/>
  <c r="P18" i="24"/>
  <c r="P19" i="24"/>
  <c r="P20" i="24"/>
  <c r="P21" i="24"/>
  <c r="O17" i="24"/>
  <c r="O18" i="24"/>
  <c r="O19" i="24"/>
  <c r="O20" i="24"/>
  <c r="O21" i="24"/>
  <c r="O16" i="24"/>
  <c r="N17" i="24"/>
  <c r="N18" i="24"/>
  <c r="N19" i="24"/>
  <c r="N20" i="24"/>
  <c r="N21" i="24"/>
  <c r="M17" i="24"/>
  <c r="M18" i="24"/>
  <c r="M19" i="24"/>
  <c r="M20" i="24"/>
  <c r="M21" i="24"/>
  <c r="L17" i="24"/>
  <c r="L18" i="24"/>
  <c r="L19" i="24"/>
  <c r="L20" i="24"/>
  <c r="L21" i="24"/>
  <c r="K17" i="24"/>
  <c r="K18" i="24"/>
  <c r="K19" i="24"/>
  <c r="K20" i="24"/>
  <c r="K21" i="24"/>
  <c r="K16" i="24"/>
  <c r="J17" i="24"/>
  <c r="J18" i="24"/>
  <c r="J19" i="24"/>
  <c r="J20" i="24"/>
  <c r="J21" i="24"/>
  <c r="I17" i="24"/>
  <c r="I18" i="24"/>
  <c r="I19" i="24"/>
  <c r="I20" i="24"/>
  <c r="I21" i="24"/>
  <c r="I16" i="24"/>
  <c r="G17" i="24"/>
  <c r="G18" i="24"/>
  <c r="G19" i="24"/>
  <c r="G20" i="24"/>
  <c r="G21" i="24"/>
  <c r="G16" i="24"/>
  <c r="F17" i="24"/>
  <c r="F18" i="24"/>
  <c r="F19" i="24"/>
  <c r="F20" i="24"/>
  <c r="F21" i="24"/>
  <c r="F16" i="24"/>
  <c r="E17" i="24"/>
  <c r="E18" i="24"/>
  <c r="E19" i="24"/>
  <c r="E20" i="24"/>
  <c r="E21" i="24"/>
  <c r="E16" i="24"/>
  <c r="D17" i="24"/>
  <c r="D18" i="24"/>
  <c r="D19" i="24"/>
  <c r="D20" i="24"/>
  <c r="D21" i="24"/>
  <c r="D16" i="24"/>
  <c r="C17" i="24"/>
  <c r="C18" i="24"/>
  <c r="C19" i="24"/>
  <c r="C20" i="24"/>
  <c r="C21" i="24"/>
  <c r="C16" i="24"/>
  <c r="B2" i="24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AD11" i="24"/>
  <c r="AD12" i="24"/>
  <c r="AD13" i="24"/>
  <c r="AD14" i="24"/>
  <c r="AD15" i="24"/>
  <c r="R8" i="24"/>
  <c r="R9" i="24"/>
  <c r="R10" i="24"/>
  <c r="R11" i="24"/>
  <c r="R12" i="24"/>
  <c r="R13" i="24"/>
  <c r="R14" i="24"/>
  <c r="R15" i="24"/>
  <c r="L12" i="24"/>
  <c r="L13" i="24"/>
  <c r="L14" i="24"/>
  <c r="L15" i="24"/>
  <c r="L11" i="24"/>
  <c r="K12" i="24"/>
  <c r="K13" i="24"/>
  <c r="K14" i="24"/>
  <c r="K15" i="24"/>
  <c r="K11" i="24"/>
  <c r="J14" i="24"/>
  <c r="J15" i="24"/>
  <c r="J13" i="24"/>
  <c r="J12" i="24"/>
  <c r="I14" i="24"/>
  <c r="I15" i="24"/>
  <c r="I13" i="24"/>
  <c r="I11" i="24"/>
  <c r="I12" i="24"/>
  <c r="I8" i="24"/>
  <c r="I9" i="24"/>
  <c r="I10" i="24"/>
  <c r="F8" i="24"/>
  <c r="F9" i="24"/>
  <c r="F10" i="24"/>
  <c r="F11" i="24"/>
  <c r="F12" i="24"/>
  <c r="F13" i="24"/>
  <c r="F14" i="24"/>
  <c r="F15" i="24"/>
  <c r="E8" i="24"/>
  <c r="E9" i="24"/>
  <c r="E10" i="24"/>
  <c r="E11" i="24"/>
  <c r="E12" i="24"/>
  <c r="E13" i="24"/>
  <c r="E14" i="24"/>
  <c r="E15" i="24"/>
  <c r="D8" i="24"/>
  <c r="D9" i="24"/>
  <c r="D10" i="24"/>
  <c r="D11" i="24"/>
  <c r="D12" i="24"/>
  <c r="D13" i="24"/>
  <c r="D14" i="24"/>
  <c r="D15" i="24"/>
  <c r="C8" i="24"/>
  <c r="C9" i="24"/>
  <c r="C10" i="24"/>
  <c r="C11" i="24"/>
  <c r="C12" i="24"/>
  <c r="C13" i="24"/>
  <c r="C14" i="24"/>
  <c r="C15" i="24"/>
  <c r="AF8" i="24"/>
  <c r="AF9" i="24"/>
  <c r="AF10" i="24"/>
  <c r="AF11" i="24"/>
  <c r="AF12" i="24"/>
  <c r="AF13" i="24"/>
  <c r="AF14" i="24"/>
  <c r="AF15" i="24"/>
  <c r="AF4" i="24"/>
  <c r="AF5" i="24"/>
  <c r="AF6" i="24"/>
  <c r="AF7" i="24"/>
  <c r="AE2" i="24"/>
  <c r="AE3" i="24"/>
  <c r="AE4" i="24"/>
  <c r="AE5" i="24"/>
  <c r="AE6" i="24"/>
  <c r="AE7" i="24"/>
  <c r="AE8" i="24"/>
  <c r="AE9" i="24"/>
  <c r="AE10" i="24"/>
  <c r="AE11" i="24"/>
  <c r="AE12" i="24"/>
  <c r="AE13" i="24"/>
  <c r="AE14" i="24"/>
  <c r="AE15" i="24"/>
  <c r="AD2" i="24"/>
  <c r="AD4" i="24"/>
  <c r="AD5" i="24"/>
  <c r="AD6" i="24"/>
  <c r="AD7" i="24"/>
  <c r="AD8" i="24"/>
  <c r="AD9" i="24"/>
  <c r="AD10" i="24"/>
  <c r="AC3" i="24"/>
  <c r="AC4" i="24"/>
  <c r="AC5" i="24"/>
  <c r="AC6" i="24"/>
  <c r="AC7" i="24"/>
  <c r="AC8" i="24"/>
  <c r="AC9" i="24"/>
  <c r="AC10" i="24"/>
  <c r="AC11" i="24"/>
  <c r="AC12" i="24"/>
  <c r="AC13" i="24"/>
  <c r="AC14" i="24"/>
  <c r="AC15" i="24"/>
  <c r="AC2" i="24"/>
  <c r="AB7" i="24"/>
  <c r="AB8" i="24"/>
  <c r="AB9" i="24"/>
  <c r="AB10" i="24"/>
  <c r="AB12" i="24"/>
  <c r="AB13" i="24"/>
  <c r="AB14" i="24"/>
  <c r="AB15" i="24"/>
  <c r="AB6" i="24"/>
  <c r="AB4" i="24"/>
  <c r="AB5" i="24"/>
  <c r="AA2" i="24"/>
  <c r="AA3" i="24"/>
  <c r="AA4" i="24"/>
  <c r="AA5" i="24"/>
  <c r="AA6" i="24"/>
  <c r="AA7" i="24"/>
  <c r="AA8" i="24"/>
  <c r="AA9" i="24"/>
  <c r="AA10" i="24"/>
  <c r="AA11" i="24"/>
  <c r="AA12" i="24"/>
  <c r="AA13" i="24"/>
  <c r="AA14" i="24"/>
  <c r="AA15" i="24"/>
  <c r="Z4" i="24"/>
  <c r="Z5" i="24"/>
  <c r="Z6" i="24"/>
  <c r="Z7" i="24"/>
  <c r="Z8" i="24"/>
  <c r="Z9" i="24"/>
  <c r="Z10" i="24"/>
  <c r="Z12" i="24"/>
  <c r="Z13" i="24"/>
  <c r="Z14" i="24"/>
  <c r="Z15" i="24"/>
  <c r="Y8" i="24"/>
  <c r="Y9" i="24"/>
  <c r="Y10" i="24"/>
  <c r="Y11" i="24"/>
  <c r="Y12" i="24"/>
  <c r="Y13" i="24"/>
  <c r="Y14" i="24"/>
  <c r="Y15" i="24"/>
  <c r="Y3" i="24"/>
  <c r="Y4" i="24"/>
  <c r="Y5" i="24"/>
  <c r="Y6" i="24"/>
  <c r="Y7" i="24"/>
  <c r="Y2" i="24"/>
  <c r="X4" i="24"/>
  <c r="X5" i="24"/>
  <c r="X6" i="24"/>
  <c r="X7" i="24"/>
  <c r="X8" i="24"/>
  <c r="X9" i="24"/>
  <c r="X10" i="24"/>
  <c r="X12" i="24"/>
  <c r="X13" i="24"/>
  <c r="X14" i="24"/>
  <c r="X15" i="24"/>
  <c r="W3" i="24"/>
  <c r="W4" i="24"/>
  <c r="W5" i="24"/>
  <c r="W6" i="24"/>
  <c r="W7" i="24"/>
  <c r="W8" i="24"/>
  <c r="W9" i="24"/>
  <c r="W10" i="24"/>
  <c r="W11" i="24"/>
  <c r="W12" i="24"/>
  <c r="W13" i="24"/>
  <c r="W14" i="24"/>
  <c r="W15" i="24"/>
  <c r="W2" i="24"/>
  <c r="V8" i="24"/>
  <c r="V9" i="24"/>
  <c r="V10" i="24"/>
  <c r="V12" i="24"/>
  <c r="V13" i="24"/>
  <c r="V14" i="24"/>
  <c r="V15" i="24"/>
  <c r="U3" i="24"/>
  <c r="U4" i="24"/>
  <c r="U5" i="24"/>
  <c r="U6" i="24"/>
  <c r="B6" i="32" s="1"/>
  <c r="U7" i="24"/>
  <c r="U8" i="24"/>
  <c r="U9" i="24"/>
  <c r="U10" i="24"/>
  <c r="U11" i="24"/>
  <c r="U12" i="24"/>
  <c r="U13" i="24"/>
  <c r="U14" i="24"/>
  <c r="U15" i="24"/>
  <c r="U2" i="24"/>
  <c r="T6" i="24"/>
  <c r="T8" i="24"/>
  <c r="T9" i="24"/>
  <c r="T10" i="24"/>
  <c r="T11" i="24"/>
  <c r="T12" i="24"/>
  <c r="T13" i="24"/>
  <c r="T14" i="24"/>
  <c r="T15" i="24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2" i="24"/>
  <c r="Q3" i="24"/>
  <c r="Q5" i="24"/>
  <c r="Q6" i="24"/>
  <c r="Q7" i="24"/>
  <c r="Q8" i="24"/>
  <c r="Q9" i="24"/>
  <c r="Q10" i="24"/>
  <c r="Q11" i="24"/>
  <c r="Q12" i="24"/>
  <c r="Q13" i="24"/>
  <c r="Q14" i="24"/>
  <c r="Q15" i="24"/>
  <c r="Q2" i="24"/>
  <c r="P8" i="24"/>
  <c r="P9" i="24"/>
  <c r="P10" i="24"/>
  <c r="P11" i="24"/>
  <c r="P12" i="24"/>
  <c r="P13" i="24"/>
  <c r="P14" i="24"/>
  <c r="P15" i="24"/>
  <c r="O8" i="24"/>
  <c r="O9" i="24"/>
  <c r="O10" i="24"/>
  <c r="O11" i="24"/>
  <c r="O12" i="24"/>
  <c r="O13" i="24"/>
  <c r="O14" i="24"/>
  <c r="O15" i="24"/>
  <c r="O3" i="24"/>
  <c r="O2" i="24"/>
  <c r="M3" i="24"/>
  <c r="M4" i="24"/>
  <c r="B2" i="32" s="1"/>
  <c r="M5" i="24"/>
  <c r="M6" i="24"/>
  <c r="M7" i="24"/>
  <c r="M8" i="24"/>
  <c r="M9" i="24"/>
  <c r="M10" i="24"/>
  <c r="M11" i="24"/>
  <c r="M12" i="24"/>
  <c r="M13" i="24"/>
  <c r="M14" i="24"/>
  <c r="M15" i="24"/>
  <c r="N8" i="24"/>
  <c r="N9" i="24"/>
  <c r="N10" i="24"/>
  <c r="N12" i="24"/>
  <c r="N13" i="24"/>
  <c r="N14" i="24"/>
  <c r="N15" i="24"/>
  <c r="M2" i="24"/>
  <c r="K8" i="24"/>
  <c r="K9" i="24"/>
  <c r="K10" i="24"/>
  <c r="L8" i="24"/>
  <c r="L9" i="24"/>
  <c r="L10" i="24"/>
  <c r="K2" i="24"/>
  <c r="J8" i="24"/>
  <c r="J9" i="24"/>
  <c r="J10" i="24"/>
  <c r="J11" i="24"/>
  <c r="I2" i="24"/>
  <c r="H8" i="24"/>
  <c r="H9" i="24"/>
  <c r="H10" i="24"/>
  <c r="H11" i="24"/>
  <c r="H12" i="24"/>
  <c r="H13" i="24"/>
  <c r="H14" i="24"/>
  <c r="H15" i="24"/>
  <c r="F3" i="24"/>
  <c r="F4" i="24"/>
  <c r="F5" i="24"/>
  <c r="F6" i="24"/>
  <c r="F7" i="24"/>
  <c r="F2" i="24"/>
  <c r="E2" i="24"/>
  <c r="D3" i="24"/>
  <c r="D4" i="24"/>
  <c r="D5" i="24"/>
  <c r="D6" i="24"/>
  <c r="D7" i="24"/>
  <c r="D2" i="24"/>
  <c r="C3" i="24"/>
  <c r="C4" i="24"/>
  <c r="C5" i="24"/>
  <c r="C6" i="24"/>
  <c r="C7" i="24"/>
  <c r="C2" i="24"/>
  <c r="D2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A2" i="22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G5" i="21"/>
  <c r="ED9" i="12"/>
  <c r="EE9" i="12"/>
  <c r="JE15" i="12"/>
  <c r="JE14" i="12"/>
  <c r="JE13" i="12"/>
  <c r="JE8" i="12"/>
  <c r="JE19" i="12"/>
  <c r="JE20" i="12"/>
  <c r="JE10" i="12"/>
  <c r="JD21" i="12"/>
  <c r="JD20" i="12"/>
  <c r="JD19" i="12"/>
  <c r="JD18" i="12"/>
  <c r="JD17" i="12"/>
  <c r="JD16" i="12"/>
  <c r="JD15" i="12"/>
  <c r="JD14" i="12"/>
  <c r="JD13" i="12"/>
  <c r="JD12" i="12"/>
  <c r="JD11" i="12"/>
  <c r="JD10" i="12"/>
  <c r="JD9" i="12"/>
  <c r="JD8" i="12"/>
  <c r="JE21" i="12" s="1"/>
  <c r="GQ8" i="12"/>
  <c r="GR8" i="12" s="1"/>
  <c r="ED8" i="12"/>
  <c r="EE8" i="12"/>
  <c r="BQ21" i="12"/>
  <c r="BQ20" i="12"/>
  <c r="BQ19" i="12"/>
  <c r="BQ18" i="12"/>
  <c r="BQ17" i="12"/>
  <c r="BQ16" i="12"/>
  <c r="BQ15" i="12"/>
  <c r="BQ13" i="12"/>
  <c r="BQ14" i="12"/>
  <c r="BQ12" i="12"/>
  <c r="BQ11" i="12"/>
  <c r="BQ10" i="12"/>
  <c r="BQ9" i="12"/>
  <c r="BQ8" i="12"/>
  <c r="B3" i="12"/>
  <c r="GR9" i="12"/>
  <c r="GR10" i="12"/>
  <c r="GR11" i="12"/>
  <c r="GR12" i="12"/>
  <c r="GR13" i="12"/>
  <c r="GR14" i="12"/>
  <c r="GR15" i="12"/>
  <c r="GR16" i="12"/>
  <c r="GR17" i="12"/>
  <c r="GR18" i="12"/>
  <c r="GR19" i="12"/>
  <c r="GR20" i="12"/>
  <c r="EE10" i="12"/>
  <c r="EE11" i="12"/>
  <c r="EE12" i="12"/>
  <c r="EE13" i="12"/>
  <c r="EE14" i="12"/>
  <c r="EE15" i="12"/>
  <c r="EE16" i="12"/>
  <c r="EE17" i="12"/>
  <c r="EE18" i="12"/>
  <c r="EE19" i="12"/>
  <c r="EE20" i="12"/>
  <c r="EE21" i="12"/>
  <c r="AG19" i="5"/>
  <c r="V4" i="24" s="1"/>
  <c r="AG20" i="5"/>
  <c r="V5" i="24" s="1"/>
  <c r="AG21" i="5"/>
  <c r="V6" i="24" s="1"/>
  <c r="AG22" i="5"/>
  <c r="V7" i="24" s="1"/>
  <c r="AD19" i="5"/>
  <c r="T4" i="24" s="1"/>
  <c r="AD20" i="5"/>
  <c r="T5" i="24" s="1"/>
  <c r="AD21" i="5"/>
  <c r="AD22" i="5"/>
  <c r="T7" i="24" s="1"/>
  <c r="AD23" i="5"/>
  <c r="AD24" i="5"/>
  <c r="AD25" i="5"/>
  <c r="AD26" i="5"/>
  <c r="AD27" i="5"/>
  <c r="AD28" i="5"/>
  <c r="AD29" i="5"/>
  <c r="AD30" i="5"/>
  <c r="AA19" i="5"/>
  <c r="R4" i="24" s="1"/>
  <c r="AA20" i="5"/>
  <c r="R5" i="24" s="1"/>
  <c r="AA21" i="5"/>
  <c r="R6" i="24" s="1"/>
  <c r="AA22" i="5"/>
  <c r="R7" i="24" s="1"/>
  <c r="AA23" i="5"/>
  <c r="AA24" i="5"/>
  <c r="AA25" i="5"/>
  <c r="AA26" i="5"/>
  <c r="AA27" i="5"/>
  <c r="AA28" i="5"/>
  <c r="AA29" i="5"/>
  <c r="AA30" i="5"/>
  <c r="Z9" i="5"/>
  <c r="V9" i="5"/>
  <c r="C26" i="11"/>
  <c r="W19" i="5"/>
  <c r="P4" i="24" s="1"/>
  <c r="W20" i="5"/>
  <c r="P5" i="24" s="1"/>
  <c r="W21" i="5"/>
  <c r="P6" i="24" s="1"/>
  <c r="W22" i="5"/>
  <c r="P7" i="24" s="1"/>
  <c r="W23" i="5"/>
  <c r="W24" i="5"/>
  <c r="W25" i="5"/>
  <c r="W26" i="5"/>
  <c r="W27" i="5"/>
  <c r="W28" i="5"/>
  <c r="W29" i="5"/>
  <c r="W30" i="5"/>
  <c r="D6" i="5"/>
  <c r="T19" i="5"/>
  <c r="N4" i="24" s="1"/>
  <c r="T20" i="5"/>
  <c r="N5" i="24" s="1"/>
  <c r="T21" i="5"/>
  <c r="N6" i="24" s="1"/>
  <c r="T22" i="5"/>
  <c r="N7" i="24" s="1"/>
  <c r="L20" i="5"/>
  <c r="L21" i="5"/>
  <c r="I6" i="24" s="1"/>
  <c r="L22" i="5"/>
  <c r="I22" i="5"/>
  <c r="H7" i="24" s="1"/>
  <c r="R13" i="21" l="1" a="1"/>
  <c r="R13" i="21" s="1"/>
  <c r="D6" i="38"/>
  <c r="B3" i="32"/>
  <c r="D3" i="38" s="1"/>
  <c r="P21" i="5"/>
  <c r="E6" i="24"/>
  <c r="C5" i="37" s="1"/>
  <c r="I21" i="5"/>
  <c r="H6" i="24" s="1"/>
  <c r="E5" i="24"/>
  <c r="C4" i="37" s="1"/>
  <c r="I20" i="5"/>
  <c r="H5" i="24" s="1"/>
  <c r="E4" i="24"/>
  <c r="C3" i="37" s="1"/>
  <c r="I19" i="5"/>
  <c r="H4" i="24" s="1"/>
  <c r="I18" i="5"/>
  <c r="H3" i="24" s="1"/>
  <c r="E3" i="24"/>
  <c r="C2" i="37" s="1"/>
  <c r="C11" i="36" a="1"/>
  <c r="C11" i="36" s="1"/>
  <c r="D11" i="36" s="1"/>
  <c r="C8" i="36" a="1"/>
  <c r="C8" i="36" s="1"/>
  <c r="D8" i="36" s="1"/>
  <c r="C6" i="36" a="1"/>
  <c r="C6" i="36" s="1"/>
  <c r="C3" i="36" a="1"/>
  <c r="C3" i="36" s="1"/>
  <c r="D3" i="36" s="1"/>
  <c r="D10" i="36"/>
  <c r="C9" i="36" a="1"/>
  <c r="C9" i="36" s="1"/>
  <c r="D9" i="36" s="1"/>
  <c r="C7" i="36" a="1"/>
  <c r="C7" i="36" s="1"/>
  <c r="D7" i="36" s="1"/>
  <c r="C5" i="36" a="1"/>
  <c r="C5" i="36" s="1"/>
  <c r="D5" i="36" s="1"/>
  <c r="C4" i="36" a="1"/>
  <c r="C4" i="36" s="1"/>
  <c r="D4" i="36" s="1"/>
  <c r="C2" i="36" a="1"/>
  <c r="C2" i="36" s="1"/>
  <c r="D2" i="36" s="1"/>
  <c r="C6" i="37"/>
  <c r="P22" i="5"/>
  <c r="I7" i="24"/>
  <c r="P20" i="5"/>
  <c r="I5" i="24"/>
  <c r="P19" i="5"/>
  <c r="I4" i="24"/>
  <c r="F2" i="38"/>
  <c r="D2" i="38"/>
  <c r="W3" i="25"/>
  <c r="U3" i="25"/>
  <c r="K6" i="25"/>
  <c r="M6" i="25"/>
  <c r="O6" i="25"/>
  <c r="AA6" i="25"/>
  <c r="Y6" i="25"/>
  <c r="M3" i="25"/>
  <c r="S6" i="25"/>
  <c r="AA3" i="25"/>
  <c r="U6" i="25"/>
  <c r="Q3" i="25"/>
  <c r="W6" i="25"/>
  <c r="K3" i="25"/>
  <c r="Q6" i="25"/>
  <c r="O3" i="25"/>
  <c r="S3" i="25"/>
  <c r="JE11" i="12"/>
  <c r="JE12" i="12"/>
  <c r="JE16" i="12"/>
  <c r="JE17" i="12"/>
  <c r="JE9" i="12"/>
  <c r="JE18" i="12"/>
  <c r="M22" i="5"/>
  <c r="M21" i="5"/>
  <c r="J6" i="24" s="1"/>
  <c r="M20" i="5"/>
  <c r="M19" i="5"/>
  <c r="AV34" i="5"/>
  <c r="AF16" i="24" s="1"/>
  <c r="AV30" i="5"/>
  <c r="AV29" i="5"/>
  <c r="AV28" i="5"/>
  <c r="AV27" i="5"/>
  <c r="AV26" i="5" s="1"/>
  <c r="AV25" i="5"/>
  <c r="AV24" i="5"/>
  <c r="AV23" i="5"/>
  <c r="AV18" i="5"/>
  <c r="AF3" i="24" s="1"/>
  <c r="M26" i="5"/>
  <c r="F5" i="38" l="1"/>
  <c r="F11" i="38"/>
  <c r="AG13" i="21" s="1"/>
  <c r="AG15" i="21" s="1"/>
  <c r="F9" i="38"/>
  <c r="Q21" i="5"/>
  <c r="L6" i="24" s="1"/>
  <c r="K6" i="24"/>
  <c r="O21" i="5"/>
  <c r="D6" i="36"/>
  <c r="K7" i="24"/>
  <c r="O22" i="5"/>
  <c r="Q22" i="5"/>
  <c r="L7" i="24" s="1"/>
  <c r="J7" i="24"/>
  <c r="K5" i="24"/>
  <c r="O20" i="5"/>
  <c r="Q20" i="5"/>
  <c r="L5" i="24" s="1"/>
  <c r="J5" i="24"/>
  <c r="K4" i="24"/>
  <c r="O19" i="5"/>
  <c r="Q19" i="5"/>
  <c r="L4" i="24" s="1"/>
  <c r="J4" i="24"/>
  <c r="F8" i="38"/>
  <c r="F7" i="38"/>
  <c r="F3" i="38"/>
  <c r="F10" i="38"/>
  <c r="F6" i="38"/>
  <c r="F4" i="38"/>
  <c r="AV17" i="5"/>
  <c r="AF2" i="24" s="1"/>
  <c r="W18" i="5"/>
  <c r="P3" i="24" s="1"/>
  <c r="W34" i="5"/>
  <c r="W8" i="5" l="1"/>
  <c r="W10" i="5"/>
  <c r="W17" i="5"/>
  <c r="P2" i="24" s="1"/>
  <c r="BR21" i="12" l="1"/>
  <c r="BR20" i="12"/>
  <c r="BR19" i="12"/>
  <c r="BR18" i="12"/>
  <c r="BR17" i="12"/>
  <c r="BR16" i="12"/>
  <c r="BR15" i="12"/>
  <c r="BR14" i="12"/>
  <c r="BR13" i="12"/>
  <c r="BR12" i="12"/>
  <c r="BR11" i="12"/>
  <c r="BR10" i="12"/>
  <c r="BR9" i="12"/>
  <c r="BR8" i="12"/>
  <c r="I6" i="5" l="1"/>
  <c r="I5" i="5"/>
  <c r="AS30" i="5"/>
  <c r="AS29" i="5"/>
  <c r="AS28" i="5"/>
  <c r="AS27" i="5"/>
  <c r="AP30" i="5"/>
  <c r="AP29" i="5"/>
  <c r="AP28" i="5"/>
  <c r="AP27" i="5"/>
  <c r="AP26" i="5" s="1"/>
  <c r="AB11" i="24" s="1"/>
  <c r="AM30" i="5"/>
  <c r="AM29" i="5"/>
  <c r="AM28" i="5"/>
  <c r="AM27" i="5"/>
  <c r="AM26" i="5" s="1"/>
  <c r="Z11" i="24" s="1"/>
  <c r="AJ30" i="5"/>
  <c r="AJ29" i="5"/>
  <c r="AJ28" i="5"/>
  <c r="AJ27" i="5"/>
  <c r="AJ26" i="5" s="1"/>
  <c r="X11" i="24" s="1"/>
  <c r="AG30" i="5"/>
  <c r="AG29" i="5"/>
  <c r="AG28" i="5"/>
  <c r="AG27" i="5"/>
  <c r="AG26" i="5" s="1"/>
  <c r="V11" i="24" s="1"/>
  <c r="AS25" i="5"/>
  <c r="AP25" i="5"/>
  <c r="AM25" i="5"/>
  <c r="AJ25" i="5"/>
  <c r="AG25" i="5"/>
  <c r="T25" i="5"/>
  <c r="L25" i="5"/>
  <c r="P25" i="5" s="1"/>
  <c r="O25" i="5" s="1"/>
  <c r="I25" i="5"/>
  <c r="AS24" i="5"/>
  <c r="AP24" i="5"/>
  <c r="AM24" i="5"/>
  <c r="AJ24" i="5"/>
  <c r="AG24" i="5"/>
  <c r="T24" i="5"/>
  <c r="L24" i="5"/>
  <c r="P24" i="5" s="1"/>
  <c r="O24" i="5" s="1"/>
  <c r="I24" i="5"/>
  <c r="AS23" i="5"/>
  <c r="AP23" i="5"/>
  <c r="AM23" i="5"/>
  <c r="AJ23" i="5"/>
  <c r="AG23" i="5"/>
  <c r="T23" i="5"/>
  <c r="L23" i="5"/>
  <c r="P23" i="5" s="1"/>
  <c r="O23" i="5" s="1"/>
  <c r="I23" i="5"/>
  <c r="D8" i="5"/>
  <c r="D7" i="5"/>
  <c r="I17" i="14"/>
  <c r="E3" i="25" s="1"/>
  <c r="AS26" i="5" l="1"/>
  <c r="M23" i="5"/>
  <c r="Q23" i="5" s="1"/>
  <c r="M25" i="5"/>
  <c r="Q25" i="5" s="1"/>
  <c r="M24" i="5"/>
  <c r="Q24" i="5" s="1"/>
  <c r="D16" i="12" l="1"/>
  <c r="B16" i="12"/>
  <c r="D15" i="12"/>
  <c r="B15" i="12"/>
  <c r="D14" i="12"/>
  <c r="B14" i="12"/>
  <c r="D13" i="12"/>
  <c r="B13" i="12"/>
  <c r="D12" i="12"/>
  <c r="B12" i="12"/>
  <c r="D11" i="12"/>
  <c r="B11" i="12"/>
  <c r="D10" i="12"/>
  <c r="B10" i="12"/>
  <c r="I27" i="5" l="1"/>
  <c r="I26" i="5" s="1"/>
  <c r="T30" i="5"/>
  <c r="P30" i="5"/>
  <c r="O30" i="5" s="1"/>
  <c r="I30" i="5"/>
  <c r="T29" i="5"/>
  <c r="P29" i="5"/>
  <c r="O29" i="5" s="1"/>
  <c r="I29" i="5"/>
  <c r="M37" i="5"/>
  <c r="I28" i="5"/>
  <c r="L28" i="5"/>
  <c r="P28" i="5" s="1"/>
  <c r="O28" i="5" s="1"/>
  <c r="T28" i="5"/>
  <c r="Q30" i="5" l="1"/>
  <c r="Q29" i="5"/>
  <c r="M28" i="5"/>
  <c r="Q28" i="5" s="1"/>
  <c r="T27" i="5" l="1"/>
  <c r="P27" i="5"/>
  <c r="O27" i="5" s="1"/>
  <c r="D21" i="12"/>
  <c r="D20" i="12"/>
  <c r="D19" i="12"/>
  <c r="D18" i="12"/>
  <c r="D17" i="12"/>
  <c r="D9" i="12"/>
  <c r="D8" i="12"/>
  <c r="B17" i="12"/>
  <c r="B18" i="12"/>
  <c r="B19" i="12"/>
  <c r="T26" i="5" l="1"/>
  <c r="N11" i="24" s="1"/>
  <c r="Q27" i="5"/>
  <c r="Q26" i="5" s="1"/>
  <c r="N11" i="11"/>
  <c r="N9" i="11"/>
  <c r="O7" i="11"/>
  <c r="N5" i="11"/>
  <c r="O9" i="11" l="1"/>
  <c r="AI20" i="14"/>
  <c r="AI17" i="14"/>
  <c r="AI10" i="14"/>
  <c r="AG20" i="14"/>
  <c r="AG17" i="14"/>
  <c r="AG10" i="14"/>
  <c r="AE20" i="14"/>
  <c r="AE17" i="14"/>
  <c r="AE10" i="14"/>
  <c r="AC20" i="14"/>
  <c r="AC17" i="14"/>
  <c r="AC10" i="14"/>
  <c r="AA20" i="14"/>
  <c r="AA17" i="14"/>
  <c r="AA10" i="14"/>
  <c r="Y20" i="14"/>
  <c r="Y17" i="14"/>
  <c r="Y10" i="14"/>
  <c r="W20" i="14"/>
  <c r="W17" i="14"/>
  <c r="W10" i="14"/>
  <c r="U20" i="14"/>
  <c r="U17" i="14"/>
  <c r="U10" i="14"/>
  <c r="S9" i="14"/>
  <c r="U9" i="14" s="1"/>
  <c r="W9" i="14" s="1"/>
  <c r="Y9" i="14" s="1"/>
  <c r="AA9" i="14" s="1"/>
  <c r="AC9" i="14" s="1"/>
  <c r="AE9" i="14" s="1"/>
  <c r="AG9" i="14" s="1"/>
  <c r="AI9" i="14" s="1"/>
  <c r="S20" i="14"/>
  <c r="S17" i="14"/>
  <c r="S10" i="14"/>
  <c r="AS34" i="5"/>
  <c r="AS18" i="5"/>
  <c r="AD3" i="24" s="1"/>
  <c r="AP34" i="5"/>
  <c r="AP18" i="5"/>
  <c r="AB3" i="24" s="1"/>
  <c r="AM34" i="5"/>
  <c r="AM18" i="5"/>
  <c r="Z3" i="24" s="1"/>
  <c r="AJ34" i="5"/>
  <c r="AJ18" i="5"/>
  <c r="X3" i="24" s="1"/>
  <c r="AG34" i="5"/>
  <c r="AG18" i="5"/>
  <c r="V3" i="24" s="1"/>
  <c r="AD34" i="5"/>
  <c r="AD18" i="5"/>
  <c r="T3" i="24" s="1"/>
  <c r="AA34" i="5"/>
  <c r="AA18" i="5"/>
  <c r="R3" i="24" s="1"/>
  <c r="L18" i="5"/>
  <c r="I3" i="24" s="1"/>
  <c r="AE15" i="14" l="1"/>
  <c r="AE13" i="14" s="1"/>
  <c r="AG15" i="14"/>
  <c r="AG13" i="14" s="1"/>
  <c r="AA15" i="14"/>
  <c r="AA13" i="14" s="1"/>
  <c r="L29" i="11" s="1"/>
  <c r="S15" i="14"/>
  <c r="S13" i="14" s="1"/>
  <c r="L25" i="11" s="1"/>
  <c r="W15" i="14"/>
  <c r="W13" i="14" s="1"/>
  <c r="L27" i="11" s="1"/>
  <c r="AC15" i="14"/>
  <c r="AC13" i="14" s="1"/>
  <c r="L30" i="11" s="1"/>
  <c r="AI15" i="14"/>
  <c r="AI13" i="14" s="1"/>
  <c r="U15" i="14"/>
  <c r="Y15" i="14"/>
  <c r="Y13" i="14" s="1"/>
  <c r="L28" i="11" s="1"/>
  <c r="AJ17" i="5"/>
  <c r="X2" i="24" s="1"/>
  <c r="AP17" i="5"/>
  <c r="AB2" i="24" s="1"/>
  <c r="AA17" i="5"/>
  <c r="R2" i="24" s="1"/>
  <c r="AG17" i="5"/>
  <c r="V2" i="24" s="1"/>
  <c r="AD17" i="5"/>
  <c r="T2" i="24" s="1"/>
  <c r="AM17" i="5"/>
  <c r="Z2" i="24" s="1"/>
  <c r="M29" i="11" l="1"/>
  <c r="K7" i="22" s="1"/>
  <c r="J7" i="22"/>
  <c r="M25" i="11"/>
  <c r="K3" i="22" s="1"/>
  <c r="J3" i="22"/>
  <c r="M27" i="11"/>
  <c r="K5" i="22" s="1"/>
  <c r="J5" i="22"/>
  <c r="M30" i="11"/>
  <c r="K8" i="22" s="1"/>
  <c r="J8" i="22"/>
  <c r="M28" i="11"/>
  <c r="K6" i="22" s="1"/>
  <c r="J6" i="22"/>
  <c r="AS15" i="5"/>
  <c r="AS13" i="5" s="1"/>
  <c r="U13" i="14"/>
  <c r="L26" i="11" s="1"/>
  <c r="T8" i="5"/>
  <c r="B21" i="12"/>
  <c r="B20" i="12"/>
  <c r="B9" i="12"/>
  <c r="Q20" i="14"/>
  <c r="I20" i="14"/>
  <c r="E6" i="25" s="1"/>
  <c r="Q17" i="14"/>
  <c r="Q10" i="14"/>
  <c r="D8" i="14"/>
  <c r="D7" i="14"/>
  <c r="D6" i="14"/>
  <c r="D5" i="14"/>
  <c r="M26" i="11" l="1"/>
  <c r="K4" i="22" s="1"/>
  <c r="J4" i="22"/>
  <c r="Q15" i="14"/>
  <c r="Q13" i="14" s="1"/>
  <c r="L24" i="11" s="1"/>
  <c r="AS41" i="5"/>
  <c r="AS40" i="5" s="1"/>
  <c r="AS32" i="5" s="1"/>
  <c r="AD16" i="24" s="1"/>
  <c r="L18" i="14"/>
  <c r="O18" i="14" s="1"/>
  <c r="N18" i="14" s="1"/>
  <c r="L19" i="14"/>
  <c r="O19" i="14" s="1"/>
  <c r="N19" i="14" s="1"/>
  <c r="L21" i="14"/>
  <c r="M24" i="11" l="1"/>
  <c r="K2" i="22" s="1"/>
  <c r="J2" i="22"/>
  <c r="O21" i="14"/>
  <c r="I15" i="14"/>
  <c r="E2" i="25" s="1"/>
  <c r="O20" i="14"/>
  <c r="N21" i="14"/>
  <c r="L20" i="14"/>
  <c r="L17" i="14"/>
  <c r="O17" i="14"/>
  <c r="I13" i="14" l="1"/>
  <c r="O15" i="14"/>
  <c r="L15" i="14"/>
  <c r="L13" i="14" s="1"/>
  <c r="I7" i="14" s="1"/>
  <c r="AA10" i="5"/>
  <c r="AC9" i="5"/>
  <c r="AA8" i="5"/>
  <c r="A22" i="22" l="1"/>
  <c r="H18" i="14"/>
  <c r="D4" i="25" s="1"/>
  <c r="H19" i="14"/>
  <c r="D5" i="25" s="1"/>
  <c r="H21" i="14"/>
  <c r="O13" i="14"/>
  <c r="AD10" i="5"/>
  <c r="AF9" i="5"/>
  <c r="AD8" i="5"/>
  <c r="H20" i="14" l="1"/>
  <c r="D6" i="25" s="1"/>
  <c r="D7" i="25"/>
  <c r="A23" i="22"/>
  <c r="E22" i="22"/>
  <c r="C22" i="22"/>
  <c r="B22" i="22"/>
  <c r="J22" i="22"/>
  <c r="K22" i="22" s="1"/>
  <c r="F22" i="22"/>
  <c r="H17" i="14"/>
  <c r="AI9" i="5"/>
  <c r="AG10" i="5"/>
  <c r="AG8" i="5"/>
  <c r="H15" i="14" l="1"/>
  <c r="D3" i="25"/>
  <c r="I22" i="22"/>
  <c r="G22" i="22"/>
  <c r="H22" i="22" s="1"/>
  <c r="L22" i="22"/>
  <c r="M22" i="22" s="1"/>
  <c r="N22" i="22" s="1"/>
  <c r="C23" i="22"/>
  <c r="J23" i="22"/>
  <c r="K23" i="22" s="1"/>
  <c r="A24" i="22"/>
  <c r="F23" i="22"/>
  <c r="E23" i="22"/>
  <c r="B23" i="22"/>
  <c r="AJ10" i="5"/>
  <c r="AL9" i="5"/>
  <c r="AJ8" i="5"/>
  <c r="D2" i="25" l="1"/>
  <c r="H13" i="14"/>
  <c r="A25" i="22"/>
  <c r="E24" i="22"/>
  <c r="B24" i="22"/>
  <c r="J24" i="22"/>
  <c r="K24" i="22" s="1"/>
  <c r="C24" i="22"/>
  <c r="F24" i="22"/>
  <c r="L23" i="22"/>
  <c r="M23" i="22" s="1"/>
  <c r="N23" i="22" s="1"/>
  <c r="G23" i="22"/>
  <c r="H23" i="22" s="1"/>
  <c r="I23" i="22"/>
  <c r="AM10" i="5"/>
  <c r="AM8" i="5"/>
  <c r="AO9" i="5"/>
  <c r="G24" i="22" l="1"/>
  <c r="H24" i="22" s="1"/>
  <c r="I24" i="22"/>
  <c r="L24" i="22"/>
  <c r="M24" i="22" s="1"/>
  <c r="N24" i="22" s="1"/>
  <c r="J25" i="22"/>
  <c r="K25" i="22" s="1"/>
  <c r="F25" i="22"/>
  <c r="E25" i="22"/>
  <c r="C25" i="22"/>
  <c r="B25" i="22"/>
  <c r="A26" i="22"/>
  <c r="AP8" i="5"/>
  <c r="AP10" i="5"/>
  <c r="AR9" i="5"/>
  <c r="AU9" i="5" s="1"/>
  <c r="J9" i="11"/>
  <c r="J7" i="11"/>
  <c r="T10" i="5"/>
  <c r="C25" i="11"/>
  <c r="Q37" i="5"/>
  <c r="M36" i="5"/>
  <c r="Q36" i="5" s="1"/>
  <c r="T18" i="5"/>
  <c r="N3" i="24" s="1"/>
  <c r="M38" i="5"/>
  <c r="Q38" i="5" s="1"/>
  <c r="M35" i="5"/>
  <c r="P18" i="5"/>
  <c r="O18" i="5" l="1"/>
  <c r="K3" i="24"/>
  <c r="L25" i="22"/>
  <c r="M25" i="22" s="1"/>
  <c r="N25" i="22" s="1"/>
  <c r="I25" i="22"/>
  <c r="G25" i="22"/>
  <c r="H25" i="22" s="1"/>
  <c r="E26" i="22"/>
  <c r="B26" i="22"/>
  <c r="A27" i="22"/>
  <c r="F26" i="22"/>
  <c r="J26" i="22"/>
  <c r="K26" i="22" s="1"/>
  <c r="C26" i="22"/>
  <c r="H25" i="11"/>
  <c r="F3" i="22" s="1"/>
  <c r="M34" i="5"/>
  <c r="AV10" i="5"/>
  <c r="AV8" i="5"/>
  <c r="E24" i="11"/>
  <c r="I6" i="14"/>
  <c r="I8" i="14" s="1"/>
  <c r="AS8" i="5"/>
  <c r="AS10" i="5"/>
  <c r="D25" i="11" s="1"/>
  <c r="B3" i="22" s="1"/>
  <c r="T17" i="5"/>
  <c r="N2" i="24" s="1"/>
  <c r="Q35" i="5"/>
  <c r="Q34" i="5" s="1"/>
  <c r="L16" i="24" s="1"/>
  <c r="H24" i="11"/>
  <c r="F2" i="22" s="1"/>
  <c r="H16" i="24" l="1"/>
  <c r="J16" i="24"/>
  <c r="C2" i="22"/>
  <c r="LR10" i="12"/>
  <c r="F27" i="22"/>
  <c r="C27" i="22"/>
  <c r="B27" i="22"/>
  <c r="J27" i="22"/>
  <c r="K27" i="22" s="1"/>
  <c r="E27" i="22"/>
  <c r="A28" i="22"/>
  <c r="I26" i="22"/>
  <c r="G26" i="22"/>
  <c r="H26" i="22" s="1"/>
  <c r="L26" i="22"/>
  <c r="M26" i="22" s="1"/>
  <c r="N26" i="22" s="1"/>
  <c r="E26" i="11"/>
  <c r="E30" i="11"/>
  <c r="H26" i="11"/>
  <c r="F4" i="22" s="1"/>
  <c r="D28" i="11"/>
  <c r="B6" i="22" s="1"/>
  <c r="H29" i="11"/>
  <c r="F7" i="22" s="1"/>
  <c r="H30" i="11"/>
  <c r="F8" i="22" s="1"/>
  <c r="H28" i="11"/>
  <c r="F6" i="22" s="1"/>
  <c r="D29" i="11"/>
  <c r="B7" i="22" s="1"/>
  <c r="H27" i="11"/>
  <c r="F5" i="22" s="1"/>
  <c r="E52" i="11"/>
  <c r="D27" i="11"/>
  <c r="B5" i="22" s="1"/>
  <c r="E29" i="11"/>
  <c r="E28" i="11"/>
  <c r="E27" i="11"/>
  <c r="D26" i="11"/>
  <c r="B4" i="22" s="1"/>
  <c r="E25" i="11"/>
  <c r="C27" i="11"/>
  <c r="C4" i="22" l="1"/>
  <c r="LR12" i="12"/>
  <c r="C8" i="22"/>
  <c r="LR16" i="12"/>
  <c r="C7" i="22"/>
  <c r="LR15" i="12"/>
  <c r="LR14" i="12"/>
  <c r="C6" i="22"/>
  <c r="C5" i="22"/>
  <c r="LR13" i="12"/>
  <c r="C3" i="22"/>
  <c r="LR11" i="12"/>
  <c r="B28" i="22"/>
  <c r="A29" i="22"/>
  <c r="F28" i="22"/>
  <c r="E28" i="22"/>
  <c r="C28" i="22"/>
  <c r="J28" i="22"/>
  <c r="K28" i="22" s="1"/>
  <c r="L27" i="22"/>
  <c r="M27" i="22" s="1"/>
  <c r="N27" i="22" s="1"/>
  <c r="I27" i="22"/>
  <c r="G27" i="22"/>
  <c r="H27" i="22" s="1"/>
  <c r="C28" i="11"/>
  <c r="I28" i="22" l="1"/>
  <c r="G28" i="22"/>
  <c r="H28" i="22" s="1"/>
  <c r="L28" i="22"/>
  <c r="M28" i="22" s="1"/>
  <c r="N28" i="22" s="1"/>
  <c r="F29" i="22"/>
  <c r="C29" i="22"/>
  <c r="J29" i="22"/>
  <c r="K29" i="22" s="1"/>
  <c r="A30" i="22"/>
  <c r="B29" i="22"/>
  <c r="E29" i="22"/>
  <c r="C29" i="11"/>
  <c r="L29" i="22" l="1"/>
  <c r="M29" i="22" s="1"/>
  <c r="N29" i="22" s="1"/>
  <c r="I29" i="22"/>
  <c r="G29" i="22"/>
  <c r="H29" i="22" s="1"/>
  <c r="A31" i="22"/>
  <c r="E30" i="22"/>
  <c r="C30" i="22"/>
  <c r="B30" i="22"/>
  <c r="J30" i="22"/>
  <c r="K30" i="22" s="1"/>
  <c r="F30" i="22"/>
  <c r="C30" i="11"/>
  <c r="I30" i="22" l="1"/>
  <c r="G30" i="22"/>
  <c r="H30" i="22" s="1"/>
  <c r="L30" i="22"/>
  <c r="M30" i="22" s="1"/>
  <c r="N30" i="22" s="1"/>
  <c r="C31" i="22"/>
  <c r="J31" i="22"/>
  <c r="K31" i="22" s="1"/>
  <c r="A32" i="22"/>
  <c r="F31" i="22"/>
  <c r="E31" i="22"/>
  <c r="B31" i="22"/>
  <c r="D30" i="11"/>
  <c r="B8" i="22" s="1"/>
  <c r="C31" i="11"/>
  <c r="A33" i="22" l="1"/>
  <c r="E32" i="22"/>
  <c r="B32" i="22"/>
  <c r="J32" i="22"/>
  <c r="K32" i="22" s="1"/>
  <c r="C32" i="22"/>
  <c r="F32" i="22"/>
  <c r="L31" i="22"/>
  <c r="M31" i="22" s="1"/>
  <c r="N31" i="22" s="1"/>
  <c r="G31" i="22"/>
  <c r="H31" i="22" s="1"/>
  <c r="I31" i="22"/>
  <c r="D31" i="11"/>
  <c r="B9" i="22" s="1"/>
  <c r="E31" i="11"/>
  <c r="L31" i="11"/>
  <c r="C32" i="11"/>
  <c r="C9" i="22" l="1"/>
  <c r="LR17" i="12"/>
  <c r="M31" i="11"/>
  <c r="K9" i="22" s="1"/>
  <c r="J9" i="22"/>
  <c r="G32" i="22"/>
  <c r="H32" i="22" s="1"/>
  <c r="I32" i="22"/>
  <c r="L32" i="22"/>
  <c r="M32" i="22" s="1"/>
  <c r="N32" i="22" s="1"/>
  <c r="J33" i="22"/>
  <c r="K33" i="22" s="1"/>
  <c r="F33" i="22"/>
  <c r="E33" i="22"/>
  <c r="C33" i="22"/>
  <c r="B33" i="22"/>
  <c r="A34" i="22"/>
  <c r="E32" i="11"/>
  <c r="D32" i="11"/>
  <c r="B10" i="22" s="1"/>
  <c r="L32" i="11"/>
  <c r="H32" i="11"/>
  <c r="F10" i="22" s="1"/>
  <c r="H31" i="11"/>
  <c r="F9" i="22" s="1"/>
  <c r="C33" i="11"/>
  <c r="H33" i="11" s="1"/>
  <c r="F11" i="22" s="1"/>
  <c r="C10" i="22" l="1"/>
  <c r="LR18" i="12"/>
  <c r="M32" i="11"/>
  <c r="K10" i="22" s="1"/>
  <c r="J10" i="22"/>
  <c r="L33" i="22"/>
  <c r="M33" i="22" s="1"/>
  <c r="N33" i="22" s="1"/>
  <c r="I33" i="22"/>
  <c r="G33" i="22"/>
  <c r="H33" i="22" s="1"/>
  <c r="E34" i="22"/>
  <c r="B34" i="22"/>
  <c r="A35" i="22"/>
  <c r="F34" i="22"/>
  <c r="J34" i="22"/>
  <c r="K34" i="22" s="1"/>
  <c r="C34" i="22"/>
  <c r="D33" i="11"/>
  <c r="B11" i="22" s="1"/>
  <c r="E33" i="11"/>
  <c r="L33" i="11"/>
  <c r="C34" i="11"/>
  <c r="C11" i="22" l="1"/>
  <c r="LR19" i="12"/>
  <c r="M33" i="11"/>
  <c r="K11" i="22" s="1"/>
  <c r="J11" i="22"/>
  <c r="F35" i="22"/>
  <c r="C35" i="22"/>
  <c r="B35" i="22"/>
  <c r="J35" i="22"/>
  <c r="K35" i="22" s="1"/>
  <c r="A36" i="22"/>
  <c r="E35" i="22"/>
  <c r="I34" i="22"/>
  <c r="G34" i="22"/>
  <c r="H34" i="22" s="1"/>
  <c r="L34" i="22"/>
  <c r="M34" i="22" s="1"/>
  <c r="N34" i="22" s="1"/>
  <c r="E34" i="11"/>
  <c r="D34" i="11"/>
  <c r="B12" i="22" s="1"/>
  <c r="L34" i="11"/>
  <c r="H34" i="11"/>
  <c r="F12" i="22" s="1"/>
  <c r="C35" i="11"/>
  <c r="C12" i="22" l="1"/>
  <c r="LR20" i="12"/>
  <c r="M34" i="11"/>
  <c r="K12" i="22" s="1"/>
  <c r="J12" i="22"/>
  <c r="L35" i="22"/>
  <c r="M35" i="22" s="1"/>
  <c r="N35" i="22" s="1"/>
  <c r="I35" i="22"/>
  <c r="G35" i="22"/>
  <c r="H35" i="22" s="1"/>
  <c r="B36" i="22"/>
  <c r="A37" i="22"/>
  <c r="F36" i="22"/>
  <c r="E36" i="22"/>
  <c r="C36" i="22"/>
  <c r="J36" i="22"/>
  <c r="K36" i="22" s="1"/>
  <c r="E35" i="11"/>
  <c r="C13" i="22" s="1"/>
  <c r="D35" i="11"/>
  <c r="B13" i="22" s="1"/>
  <c r="L35" i="11"/>
  <c r="G35" i="11"/>
  <c r="E13" i="22" s="1"/>
  <c r="H35" i="11"/>
  <c r="F13" i="22" s="1"/>
  <c r="C36" i="11"/>
  <c r="M35" i="11" l="1"/>
  <c r="K13" i="22" s="1"/>
  <c r="J13" i="22"/>
  <c r="I36" i="22"/>
  <c r="G36" i="22"/>
  <c r="H36" i="22" s="1"/>
  <c r="L36" i="22"/>
  <c r="M36" i="22" s="1"/>
  <c r="N36" i="22" s="1"/>
  <c r="F37" i="22"/>
  <c r="C37" i="22"/>
  <c r="J37" i="22"/>
  <c r="B37" i="22"/>
  <c r="E37" i="22"/>
  <c r="E36" i="11"/>
  <c r="C14" i="22" s="1"/>
  <c r="D36" i="11"/>
  <c r="B14" i="22" s="1"/>
  <c r="L36" i="11"/>
  <c r="H36" i="11"/>
  <c r="F14" i="22" s="1"/>
  <c r="G36" i="11"/>
  <c r="E14" i="22" s="1"/>
  <c r="I35" i="11"/>
  <c r="N35" i="11"/>
  <c r="K35" i="11"/>
  <c r="I13" i="22" s="1"/>
  <c r="C37" i="11"/>
  <c r="M36" i="11" l="1"/>
  <c r="K14" i="22" s="1"/>
  <c r="J14" i="22"/>
  <c r="J35" i="11"/>
  <c r="H13" i="22" s="1"/>
  <c r="G13" i="22"/>
  <c r="O35" i="11"/>
  <c r="L13" i="22"/>
  <c r="L37" i="22"/>
  <c r="I37" i="22"/>
  <c r="G37" i="22"/>
  <c r="K37" i="22"/>
  <c r="N36" i="11"/>
  <c r="K36" i="11"/>
  <c r="I14" i="22" s="1"/>
  <c r="I36" i="11"/>
  <c r="E37" i="11"/>
  <c r="C15" i="22" s="1"/>
  <c r="D37" i="11"/>
  <c r="B15" i="22" s="1"/>
  <c r="L37" i="11"/>
  <c r="H37" i="11"/>
  <c r="F15" i="22" s="1"/>
  <c r="G37" i="11"/>
  <c r="E15" i="22" s="1"/>
  <c r="C38" i="11"/>
  <c r="M37" i="11" l="1"/>
  <c r="K15" i="22" s="1"/>
  <c r="J15" i="22"/>
  <c r="J36" i="11"/>
  <c r="H14" i="22" s="1"/>
  <c r="G14" i="22"/>
  <c r="P35" i="11"/>
  <c r="N13" i="22" s="1"/>
  <c r="M13" i="22"/>
  <c r="O36" i="11"/>
  <c r="L14" i="22"/>
  <c r="H37" i="22"/>
  <c r="M37" i="22"/>
  <c r="N37" i="22" s="1"/>
  <c r="I37" i="11"/>
  <c r="N37" i="11"/>
  <c r="K37" i="11"/>
  <c r="I15" i="22" s="1"/>
  <c r="D38" i="11"/>
  <c r="B16" i="22" s="1"/>
  <c r="E38" i="11"/>
  <c r="C16" i="22" s="1"/>
  <c r="L38" i="11"/>
  <c r="H38" i="11"/>
  <c r="F16" i="22" s="1"/>
  <c r="G38" i="11"/>
  <c r="E16" i="22" s="1"/>
  <c r="C39" i="11"/>
  <c r="M38" i="11" l="1"/>
  <c r="K16" i="22" s="1"/>
  <c r="J16" i="22"/>
  <c r="O37" i="11"/>
  <c r="L15" i="22"/>
  <c r="J37" i="11"/>
  <c r="H15" i="22" s="1"/>
  <c r="G15" i="22"/>
  <c r="P36" i="11"/>
  <c r="N14" i="22" s="1"/>
  <c r="M14" i="22"/>
  <c r="D39" i="11"/>
  <c r="B17" i="22" s="1"/>
  <c r="E39" i="11"/>
  <c r="C17" i="22" s="1"/>
  <c r="L39" i="11"/>
  <c r="H39" i="11"/>
  <c r="F17" i="22" s="1"/>
  <c r="G39" i="11"/>
  <c r="E17" i="22" s="1"/>
  <c r="N38" i="11"/>
  <c r="I38" i="11"/>
  <c r="K38" i="11"/>
  <c r="I16" i="22" s="1"/>
  <c r="C40" i="11"/>
  <c r="M39" i="11" l="1"/>
  <c r="K17" i="22" s="1"/>
  <c r="J17" i="22"/>
  <c r="P37" i="11"/>
  <c r="N15" i="22" s="1"/>
  <c r="M15" i="22"/>
  <c r="O38" i="11"/>
  <c r="L16" i="22"/>
  <c r="J38" i="11"/>
  <c r="H16" i="22" s="1"/>
  <c r="G16" i="22"/>
  <c r="K39" i="11"/>
  <c r="I17" i="22" s="1"/>
  <c r="N39" i="11"/>
  <c r="I39" i="11"/>
  <c r="D40" i="11"/>
  <c r="B18" i="22" s="1"/>
  <c r="E40" i="11"/>
  <c r="C18" i="22" s="1"/>
  <c r="L40" i="11"/>
  <c r="H40" i="11"/>
  <c r="F18" i="22" s="1"/>
  <c r="G40" i="11"/>
  <c r="E18" i="22" s="1"/>
  <c r="C41" i="11"/>
  <c r="M40" i="11" l="1"/>
  <c r="K18" i="22" s="1"/>
  <c r="J18" i="22"/>
  <c r="P38" i="11"/>
  <c r="N16" i="22" s="1"/>
  <c r="M16" i="22"/>
  <c r="J39" i="11"/>
  <c r="H17" i="22" s="1"/>
  <c r="G17" i="22"/>
  <c r="O39" i="11"/>
  <c r="L17" i="22"/>
  <c r="K40" i="11"/>
  <c r="I18" i="22" s="1"/>
  <c r="N40" i="11"/>
  <c r="I40" i="11"/>
  <c r="E41" i="11"/>
  <c r="C19" i="22" s="1"/>
  <c r="D41" i="11"/>
  <c r="B19" i="22" s="1"/>
  <c r="L41" i="11"/>
  <c r="G41" i="11"/>
  <c r="E19" i="22" s="1"/>
  <c r="H41" i="11"/>
  <c r="F19" i="22" s="1"/>
  <c r="C42" i="11"/>
  <c r="M41" i="11" l="1"/>
  <c r="K19" i="22" s="1"/>
  <c r="J19" i="22"/>
  <c r="J40" i="11"/>
  <c r="H18" i="22" s="1"/>
  <c r="G18" i="22"/>
  <c r="O40" i="11"/>
  <c r="L18" i="22"/>
  <c r="P39" i="11"/>
  <c r="N17" i="22" s="1"/>
  <c r="M17" i="22"/>
  <c r="K41" i="11"/>
  <c r="I19" i="22" s="1"/>
  <c r="N41" i="11"/>
  <c r="I41" i="11"/>
  <c r="E42" i="11"/>
  <c r="C20" i="22" s="1"/>
  <c r="D42" i="11"/>
  <c r="B20" i="22" s="1"/>
  <c r="L42" i="11"/>
  <c r="G42" i="11"/>
  <c r="E20" i="22" s="1"/>
  <c r="H42" i="11"/>
  <c r="F20" i="22" s="1"/>
  <c r="C43" i="11"/>
  <c r="M42" i="11" l="1"/>
  <c r="K20" i="22" s="1"/>
  <c r="J20" i="22"/>
  <c r="P40" i="11"/>
  <c r="N18" i="22" s="1"/>
  <c r="M18" i="22"/>
  <c r="J41" i="11"/>
  <c r="H19" i="22" s="1"/>
  <c r="G19" i="22"/>
  <c r="O41" i="11"/>
  <c r="L19" i="22"/>
  <c r="N42" i="11"/>
  <c r="I42" i="11"/>
  <c r="K42" i="11"/>
  <c r="I20" i="22" s="1"/>
  <c r="E43" i="11"/>
  <c r="C21" i="22" s="1"/>
  <c r="D43" i="11"/>
  <c r="B21" i="22" s="1"/>
  <c r="L43" i="11"/>
  <c r="H43" i="11"/>
  <c r="F21" i="22" s="1"/>
  <c r="G43" i="11"/>
  <c r="E21" i="22" s="1"/>
  <c r="C44" i="11"/>
  <c r="M43" i="11" l="1"/>
  <c r="K21" i="22" s="1"/>
  <c r="J21" i="22"/>
  <c r="P41" i="11"/>
  <c r="N19" i="22" s="1"/>
  <c r="M19" i="22"/>
  <c r="J42" i="11"/>
  <c r="H20" i="22" s="1"/>
  <c r="G20" i="22"/>
  <c r="O42" i="11"/>
  <c r="L20" i="22"/>
  <c r="K43" i="11"/>
  <c r="I21" i="22" s="1"/>
  <c r="I43" i="11"/>
  <c r="N43" i="11"/>
  <c r="D44" i="11"/>
  <c r="E44" i="11"/>
  <c r="L44" i="11"/>
  <c r="M44" i="11" s="1"/>
  <c r="H44" i="11"/>
  <c r="G44" i="11"/>
  <c r="C45" i="11"/>
  <c r="O43" i="11" l="1"/>
  <c r="L21" i="22"/>
  <c r="J43" i="11"/>
  <c r="H21" i="22" s="1"/>
  <c r="G21" i="22"/>
  <c r="P42" i="11"/>
  <c r="N20" i="22" s="1"/>
  <c r="M20" i="22"/>
  <c r="K44" i="11"/>
  <c r="I44" i="11"/>
  <c r="J44" i="11" s="1"/>
  <c r="N44" i="11"/>
  <c r="O44" i="11" s="1"/>
  <c r="P44" i="11" s="1"/>
  <c r="D45" i="11"/>
  <c r="E45" i="11"/>
  <c r="L45" i="11"/>
  <c r="M45" i="11" s="1"/>
  <c r="H45" i="11"/>
  <c r="G45" i="11"/>
  <c r="C46" i="11"/>
  <c r="P43" i="11" l="1"/>
  <c r="N21" i="22" s="1"/>
  <c r="M21" i="22"/>
  <c r="I45" i="11"/>
  <c r="J45" i="11" s="1"/>
  <c r="K45" i="11"/>
  <c r="N45" i="11"/>
  <c r="O45" i="11" s="1"/>
  <c r="P45" i="11" s="1"/>
  <c r="D46" i="11"/>
  <c r="E46" i="11"/>
  <c r="L46" i="11"/>
  <c r="M46" i="11" s="1"/>
  <c r="G46" i="11"/>
  <c r="H46" i="11"/>
  <c r="C47" i="11"/>
  <c r="I46" i="11" l="1"/>
  <c r="J46" i="11" s="1"/>
  <c r="N46" i="11"/>
  <c r="O46" i="11" s="1"/>
  <c r="P46" i="11" s="1"/>
  <c r="K46" i="11"/>
  <c r="D47" i="11"/>
  <c r="E47" i="11"/>
  <c r="L47" i="11"/>
  <c r="M47" i="11" s="1"/>
  <c r="G47" i="11"/>
  <c r="H47" i="11"/>
  <c r="C48" i="11"/>
  <c r="N47" i="11" l="1"/>
  <c r="O47" i="11" s="1"/>
  <c r="P47" i="11" s="1"/>
  <c r="K47" i="11"/>
  <c r="I47" i="11"/>
  <c r="J47" i="11" s="1"/>
  <c r="E48" i="11"/>
  <c r="D48" i="11"/>
  <c r="L48" i="11"/>
  <c r="M48" i="11" s="1"/>
  <c r="C49" i="11"/>
  <c r="H48" i="11"/>
  <c r="G48" i="11"/>
  <c r="I17" i="5"/>
  <c r="H2" i="24" s="1"/>
  <c r="E49" i="11" l="1"/>
  <c r="D49" i="11"/>
  <c r="L49" i="11"/>
  <c r="M49" i="11" s="1"/>
  <c r="C50" i="11"/>
  <c r="G49" i="11"/>
  <c r="H49" i="11"/>
  <c r="N48" i="11"/>
  <c r="O48" i="11" s="1"/>
  <c r="P48" i="11" s="1"/>
  <c r="K48" i="11"/>
  <c r="I48" i="11"/>
  <c r="J48" i="11" s="1"/>
  <c r="I49" i="11" l="1"/>
  <c r="J49" i="11" s="1"/>
  <c r="K49" i="11"/>
  <c r="N49" i="11"/>
  <c r="O49" i="11" s="1"/>
  <c r="P49" i="11" s="1"/>
  <c r="E50" i="11"/>
  <c r="D50" i="11"/>
  <c r="L50" i="11"/>
  <c r="M50" i="11" s="1"/>
  <c r="C51" i="11"/>
  <c r="G50" i="11"/>
  <c r="H50" i="11"/>
  <c r="M18" i="5"/>
  <c r="M17" i="5" l="1"/>
  <c r="J2" i="24" s="1"/>
  <c r="J3" i="24"/>
  <c r="N50" i="11"/>
  <c r="O50" i="11" s="1"/>
  <c r="P50" i="11" s="1"/>
  <c r="E51" i="11"/>
  <c r="D51" i="11"/>
  <c r="L51" i="11"/>
  <c r="M51" i="11" s="1"/>
  <c r="C52" i="11"/>
  <c r="G51" i="11"/>
  <c r="H51" i="11"/>
  <c r="K50" i="11"/>
  <c r="I50" i="11"/>
  <c r="J50" i="11" s="1"/>
  <c r="Q18" i="5"/>
  <c r="Q17" i="5" l="1"/>
  <c r="L2" i="24" s="1"/>
  <c r="L3" i="24"/>
  <c r="K51" i="11"/>
  <c r="N51" i="11"/>
  <c r="O51" i="11" s="1"/>
  <c r="P51" i="11" s="1"/>
  <c r="I51" i="11"/>
  <c r="J51" i="11" s="1"/>
  <c r="D52" i="11"/>
  <c r="L52" i="11"/>
  <c r="M52" i="11" s="1"/>
  <c r="C53" i="11"/>
  <c r="H52" i="11"/>
  <c r="G52" i="11"/>
  <c r="D53" i="11" l="1"/>
  <c r="E53" i="11"/>
  <c r="L53" i="11"/>
  <c r="M53" i="11" s="1"/>
  <c r="C54" i="11"/>
  <c r="G53" i="11"/>
  <c r="H53" i="11"/>
  <c r="I52" i="11"/>
  <c r="J52" i="11" s="1"/>
  <c r="N52" i="11"/>
  <c r="O52" i="11" s="1"/>
  <c r="P52" i="11" s="1"/>
  <c r="K52" i="11"/>
  <c r="M40" i="5"/>
  <c r="M32" i="5" l="1"/>
  <c r="H21" i="24"/>
  <c r="N53" i="11"/>
  <c r="O53" i="11" s="1"/>
  <c r="P53" i="11" s="1"/>
  <c r="I53" i="11"/>
  <c r="J53" i="11" s="1"/>
  <c r="K53" i="11"/>
  <c r="D54" i="11"/>
  <c r="E54" i="11"/>
  <c r="L54" i="11"/>
  <c r="M54" i="11" s="1"/>
  <c r="C55" i="11"/>
  <c r="G54" i="11"/>
  <c r="H54" i="11"/>
  <c r="Q41" i="5"/>
  <c r="Q40" i="5" s="1"/>
  <c r="Q32" i="5" s="1"/>
  <c r="D55" i="11" l="1"/>
  <c r="E55" i="11"/>
  <c r="L55" i="11"/>
  <c r="M55" i="11" s="1"/>
  <c r="C56" i="11"/>
  <c r="H55" i="11"/>
  <c r="G55" i="11"/>
  <c r="I54" i="11"/>
  <c r="K54" i="11"/>
  <c r="N54" i="11"/>
  <c r="D56" i="11" l="1"/>
  <c r="E56" i="11"/>
  <c r="L56" i="11"/>
  <c r="M56" i="11" s="1"/>
  <c r="C57" i="11"/>
  <c r="G56" i="11"/>
  <c r="H56" i="11"/>
  <c r="J54" i="11"/>
  <c r="K55" i="11"/>
  <c r="N55" i="11"/>
  <c r="O55" i="11" s="1"/>
  <c r="P55" i="11" s="1"/>
  <c r="I55" i="11"/>
  <c r="J55" i="11" s="1"/>
  <c r="O54" i="11"/>
  <c r="P54" i="11" s="1"/>
  <c r="I56" i="11" l="1"/>
  <c r="K56" i="11"/>
  <c r="N56" i="11"/>
  <c r="E57" i="11"/>
  <c r="D57" i="11"/>
  <c r="L57" i="11"/>
  <c r="M57" i="11" s="1"/>
  <c r="G57" i="11"/>
  <c r="H57" i="11"/>
  <c r="C58" i="11"/>
  <c r="O56" i="11" l="1"/>
  <c r="P56" i="11" s="1"/>
  <c r="K57" i="11"/>
  <c r="N57" i="11"/>
  <c r="O57" i="11" s="1"/>
  <c r="P57" i="11" s="1"/>
  <c r="I57" i="11"/>
  <c r="J57" i="11" s="1"/>
  <c r="E58" i="11"/>
  <c r="D58" i="11"/>
  <c r="L58" i="11"/>
  <c r="M58" i="11" s="1"/>
  <c r="G58" i="11"/>
  <c r="C59" i="11"/>
  <c r="H58" i="11"/>
  <c r="J56" i="11"/>
  <c r="E59" i="11" l="1"/>
  <c r="D59" i="11"/>
  <c r="L59" i="11"/>
  <c r="H59" i="11"/>
  <c r="H21" i="11" s="1"/>
  <c r="G59" i="11"/>
  <c r="I58" i="11"/>
  <c r="K58" i="11"/>
  <c r="N58" i="11"/>
  <c r="O58" i="11" s="1"/>
  <c r="P58" i="11" s="1"/>
  <c r="J58" i="11" l="1"/>
  <c r="K59" i="11"/>
  <c r="I59" i="11"/>
  <c r="N59" i="11"/>
  <c r="O59" i="11" s="1"/>
  <c r="P59" i="11" s="1"/>
  <c r="M59" i="11"/>
  <c r="L21" i="11"/>
  <c r="M21" i="11" s="1"/>
  <c r="J59" i="11" l="1"/>
  <c r="AA15" i="5" l="1"/>
  <c r="AA13" i="5" s="1"/>
  <c r="W15" i="5"/>
  <c r="W13" i="5" s="1"/>
  <c r="W41" i="5" s="1"/>
  <c r="W40" i="5" s="1"/>
  <c r="W32" i="5" s="1"/>
  <c r="P16" i="24" s="1"/>
  <c r="AV15" i="5"/>
  <c r="AV13" i="5" s="1"/>
  <c r="G33" i="11" s="1"/>
  <c r="E11" i="22" s="1"/>
  <c r="AD15" i="5"/>
  <c r="AD13" i="5" s="1"/>
  <c r="AJ15" i="5"/>
  <c r="AJ13" i="5" s="1"/>
  <c r="AP15" i="5"/>
  <c r="AP13" i="5" s="1"/>
  <c r="AM15" i="5"/>
  <c r="AM13" i="5" s="1"/>
  <c r="AG15" i="5"/>
  <c r="AG13" i="5" s="1"/>
  <c r="T15" i="5"/>
  <c r="T13" i="5" s="1"/>
  <c r="I15" i="5"/>
  <c r="I13" i="5" s="1"/>
  <c r="K24" i="11" l="1"/>
  <c r="I2" i="22" s="1"/>
  <c r="E2" i="22"/>
  <c r="E6" i="22"/>
  <c r="I33" i="11"/>
  <c r="K33" i="11"/>
  <c r="I11" i="22" s="1"/>
  <c r="N33" i="11"/>
  <c r="G29" i="11"/>
  <c r="E7" i="22" s="1"/>
  <c r="AG41" i="5"/>
  <c r="AG40" i="5" s="1"/>
  <c r="AG32" i="5" s="1"/>
  <c r="V16" i="24" s="1"/>
  <c r="G34" i="11"/>
  <c r="E12" i="22" s="1"/>
  <c r="AV41" i="5"/>
  <c r="AV40" i="5" s="1"/>
  <c r="AV32" i="5" s="1"/>
  <c r="AE16" i="24" s="1"/>
  <c r="G30" i="11"/>
  <c r="E8" i="22" s="1"/>
  <c r="AJ41" i="5"/>
  <c r="AJ40" i="5" s="1"/>
  <c r="AJ32" i="5" s="1"/>
  <c r="X16" i="24" s="1"/>
  <c r="G31" i="11"/>
  <c r="E9" i="22" s="1"/>
  <c r="AM41" i="5"/>
  <c r="AM40" i="5" s="1"/>
  <c r="AM32" i="5" s="1"/>
  <c r="Z16" i="24" s="1"/>
  <c r="H21" i="5"/>
  <c r="G6" i="24" s="1"/>
  <c r="H20" i="5"/>
  <c r="G5" i="24" s="1"/>
  <c r="H30" i="5"/>
  <c r="G15" i="24" s="1"/>
  <c r="H28" i="5"/>
  <c r="G13" i="24" s="1"/>
  <c r="H27" i="5"/>
  <c r="H24" i="5"/>
  <c r="G9" i="24" s="1"/>
  <c r="H25" i="5"/>
  <c r="G10" i="24" s="1"/>
  <c r="H29" i="5"/>
  <c r="G14" i="24" s="1"/>
  <c r="H23" i="5"/>
  <c r="G8" i="24" s="1"/>
  <c r="H18" i="5"/>
  <c r="G3" i="24" s="1"/>
  <c r="H19" i="5"/>
  <c r="G4" i="24" s="1"/>
  <c r="H22" i="5"/>
  <c r="G7" i="24" s="1"/>
  <c r="AA41" i="5"/>
  <c r="AA40" i="5" s="1"/>
  <c r="AA32" i="5" s="1"/>
  <c r="R16" i="24" s="1"/>
  <c r="T41" i="5"/>
  <c r="T40" i="5" s="1"/>
  <c r="T32" i="5" s="1"/>
  <c r="N16" i="24" s="1"/>
  <c r="G32" i="11"/>
  <c r="AP41" i="5"/>
  <c r="AP40" i="5" s="1"/>
  <c r="AP32" i="5" s="1"/>
  <c r="AB16" i="24" s="1"/>
  <c r="AD41" i="5"/>
  <c r="AD40" i="5" s="1"/>
  <c r="AD32" i="5" s="1"/>
  <c r="T16" i="24" s="1"/>
  <c r="E3" i="22"/>
  <c r="H26" i="5" l="1"/>
  <c r="G11" i="24" s="1"/>
  <c r="G12" i="24"/>
  <c r="G21" i="11"/>
  <c r="AB13" i="21" s="1"/>
  <c r="J33" i="11"/>
  <c r="H11" i="22" s="1"/>
  <c r="G11" i="22"/>
  <c r="N26" i="11"/>
  <c r="L4" i="22" s="1"/>
  <c r="E4" i="22"/>
  <c r="N27" i="11"/>
  <c r="L5" i="22" s="1"/>
  <c r="E5" i="22"/>
  <c r="O33" i="11"/>
  <c r="L11" i="22"/>
  <c r="K32" i="11"/>
  <c r="I10" i="22" s="1"/>
  <c r="E10" i="22"/>
  <c r="I27" i="11"/>
  <c r="I26" i="11"/>
  <c r="N28" i="11"/>
  <c r="L6" i="22" s="1"/>
  <c r="I28" i="11"/>
  <c r="I31" i="11"/>
  <c r="K31" i="11"/>
  <c r="I9" i="22" s="1"/>
  <c r="I30" i="11"/>
  <c r="G8" i="22" s="1"/>
  <c r="N30" i="11"/>
  <c r="K30" i="11"/>
  <c r="I8" i="22" s="1"/>
  <c r="I34" i="11"/>
  <c r="K34" i="11"/>
  <c r="I12" i="22" s="1"/>
  <c r="N29" i="11"/>
  <c r="K29" i="11"/>
  <c r="I7" i="22" s="1"/>
  <c r="I29" i="11"/>
  <c r="N25" i="11"/>
  <c r="L3" i="22" s="1"/>
  <c r="I25" i="11"/>
  <c r="K25" i="11"/>
  <c r="M15" i="5"/>
  <c r="M13" i="5" s="1"/>
  <c r="I7" i="5" s="1"/>
  <c r="I8" i="5" s="1"/>
  <c r="N13" i="21" s="1"/>
  <c r="N34" i="11"/>
  <c r="Q15" i="5"/>
  <c r="Q13" i="5" s="1"/>
  <c r="I32" i="11"/>
  <c r="N32" i="11"/>
  <c r="H17" i="5"/>
  <c r="G2" i="24" s="1"/>
  <c r="I24" i="11"/>
  <c r="N24" i="11"/>
  <c r="L2" i="22" s="1"/>
  <c r="N31" i="11"/>
  <c r="J30" i="11" l="1"/>
  <c r="H8" i="22" s="1"/>
  <c r="I21" i="11"/>
  <c r="B4" i="34" s="1"/>
  <c r="B2" i="34"/>
  <c r="J34" i="11"/>
  <c r="H12" i="22" s="1"/>
  <c r="G12" i="22"/>
  <c r="K26" i="11"/>
  <c r="I3" i="22"/>
  <c r="J26" i="11"/>
  <c r="H4" i="22" s="1"/>
  <c r="G4" i="22"/>
  <c r="J24" i="11"/>
  <c r="H2" i="22" s="1"/>
  <c r="G2" i="22"/>
  <c r="J25" i="11"/>
  <c r="H3" i="22" s="1"/>
  <c r="G3" i="22"/>
  <c r="J27" i="11"/>
  <c r="H5" i="22" s="1"/>
  <c r="G5" i="22"/>
  <c r="O30" i="11"/>
  <c r="L8" i="22"/>
  <c r="O32" i="11"/>
  <c r="L10" i="22"/>
  <c r="J29" i="11"/>
  <c r="H7" i="22" s="1"/>
  <c r="G7" i="22"/>
  <c r="J32" i="11"/>
  <c r="H10" i="22" s="1"/>
  <c r="G10" i="22"/>
  <c r="O31" i="11"/>
  <c r="L9" i="22"/>
  <c r="O34" i="11"/>
  <c r="L12" i="22"/>
  <c r="J28" i="11"/>
  <c r="H6" i="22" s="1"/>
  <c r="G6" i="22"/>
  <c r="O29" i="11"/>
  <c r="L7" i="22"/>
  <c r="J31" i="11"/>
  <c r="H9" i="22" s="1"/>
  <c r="G9" i="22"/>
  <c r="P33" i="11"/>
  <c r="N11" i="22" s="1"/>
  <c r="M11" i="22"/>
  <c r="W7" i="14"/>
  <c r="AG7" i="14"/>
  <c r="AE6" i="14"/>
  <c r="AG6" i="14"/>
  <c r="S6" i="14"/>
  <c r="Y6" i="14"/>
  <c r="W6" i="14"/>
  <c r="AC7" i="14"/>
  <c r="AA7" i="14"/>
  <c r="AA6" i="14"/>
  <c r="U6" i="14"/>
  <c r="U7" i="14"/>
  <c r="AE7" i="14"/>
  <c r="AI6" i="14"/>
  <c r="S7" i="14"/>
  <c r="AC6" i="14"/>
  <c r="Y7" i="14"/>
  <c r="AI7" i="14"/>
  <c r="H15" i="5"/>
  <c r="H13" i="5" s="1"/>
  <c r="K21" i="11"/>
  <c r="N21" i="11"/>
  <c r="O24" i="11"/>
  <c r="M2" i="22" s="1"/>
  <c r="J21" i="11" l="1"/>
  <c r="W13" i="21" s="1"/>
  <c r="O21" i="11"/>
  <c r="P21" i="11" s="1"/>
  <c r="B3" i="34"/>
  <c r="P32" i="11"/>
  <c r="N10" i="22" s="1"/>
  <c r="M10" i="22"/>
  <c r="P31" i="11"/>
  <c r="N9" i="22" s="1"/>
  <c r="M9" i="22"/>
  <c r="P30" i="11"/>
  <c r="N8" i="22" s="1"/>
  <c r="M8" i="22"/>
  <c r="P34" i="11"/>
  <c r="N12" i="22" s="1"/>
  <c r="M12" i="22"/>
  <c r="K27" i="11"/>
  <c r="I4" i="22"/>
  <c r="P29" i="11"/>
  <c r="N7" i="22" s="1"/>
  <c r="M7" i="22"/>
  <c r="P24" i="11"/>
  <c r="N2" i="22" s="1"/>
  <c r="O25" i="11"/>
  <c r="M3" i="22" s="1"/>
  <c r="K28" i="11" l="1"/>
  <c r="I6" i="22" s="1"/>
  <c r="I5" i="22"/>
  <c r="P25" i="11"/>
  <c r="N3" i="22" s="1"/>
  <c r="O26" i="11"/>
  <c r="M4" i="22" s="1"/>
  <c r="P26" i="11" l="1"/>
  <c r="N4" i="22" s="1"/>
  <c r="O27" i="11"/>
  <c r="M5" i="22" s="1"/>
  <c r="P27" i="11" l="1"/>
  <c r="N5" i="22" s="1"/>
  <c r="O28" i="11"/>
  <c r="P28" i="11" l="1"/>
  <c r="N6" i="22" s="1"/>
  <c r="M6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</author>
  </authors>
  <commentList>
    <comment ref="R21" authorId="0" shapeId="0" xr:uid="{92206AD9-8B88-46EF-9324-1CC8C5ACF133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S21" authorId="0" shapeId="0" xr:uid="{336A3AE7-EEAB-404E-80E0-43A123A7050D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T21" authorId="0" shapeId="0" xr:uid="{D189C3DF-F544-4481-BE0C-6026CAD3E7DF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U21" authorId="0" shapeId="0" xr:uid="{B99B6D38-2B6B-4418-9181-AFBD1995EB06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AC21" authorId="0" shapeId="0" xr:uid="{6DFD8A96-A1DA-4BA5-8052-7B4CCEF6C181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AD21" authorId="0" shapeId="0" xr:uid="{F21B8B84-8727-4A76-A65A-35BB48E10A0F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AE21" authorId="0" shapeId="0" xr:uid="{FCC5C847-F8F3-4A7C-BE18-902F0BD42766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AF21" authorId="0" shapeId="0" xr:uid="{5908C4B7-355C-4974-84BA-DC9FA65257CB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AI21" authorId="0" shapeId="0" xr:uid="{D9CB646C-FD5E-4AD2-ADBE-A6D46FBBBFC0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ACADEMIA</t>
        </r>
      </text>
    </comment>
    <comment ref="BC21" authorId="0" shapeId="0" xr:uid="{550EC36A-12A7-480A-B6FB-AC313079CFA0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BD21" authorId="0" shapeId="0" xr:uid="{E8B9D6C2-A006-4909-B0A0-EFB12F93D274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BE21" authorId="0" shapeId="0" xr:uid="{A1BC084F-2006-4B46-8E4C-5CDBEF3680F5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BF21" authorId="0" shapeId="0" xr:uid="{78ECE617-3D5E-47B8-B2FD-128CFC132916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BI21" authorId="0" shapeId="0" xr:uid="{E86517C3-0196-4AE6-BE2F-112A125B7DC6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ACADEMIA</t>
        </r>
      </text>
    </comment>
    <comment ref="CG21" authorId="0" shapeId="0" xr:uid="{FADBAEB1-72B0-499E-BD4B-339501286161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CH21" authorId="0" shapeId="0" xr:uid="{820C1DD7-FE76-4BB2-A34B-2000533A9B2F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CI21" authorId="0" shapeId="0" xr:uid="{1B61F3DB-B52C-4394-B0F1-97F17329D9DC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CJ21" authorId="0" shapeId="0" xr:uid="{6EABACB3-04FB-444D-B6D9-213DF86BED69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CR21" authorId="0" shapeId="0" xr:uid="{87AF41A0-CFA4-4569-AF7E-E51B990AA322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CS21" authorId="0" shapeId="0" xr:uid="{1911EB82-3C74-452F-81C8-FD018CCB9B68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CT21" authorId="0" shapeId="0" xr:uid="{1D6ADBE0-F6F1-45E6-8141-EDCC53708F87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CU21" authorId="0" shapeId="0" xr:uid="{3D7FD08F-6B02-4E5D-89E7-339D65295185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DP21" authorId="0" shapeId="0" xr:uid="{60DF46A0-6756-4354-96DF-50628C253BDB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DQ21" authorId="0" shapeId="0" xr:uid="{F1A2FF77-7907-4DA2-9DF9-5327E12CE490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DR21" authorId="0" shapeId="0" xr:uid="{A8FC3F10-CDAD-4A2D-8F66-4B05B5D31F17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DS21" authorId="0" shapeId="0" xr:uid="{96E832FB-EC49-4C6F-B832-432DBD0A091F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DV21" authorId="0" shapeId="0" xr:uid="{19016694-AD9D-487A-BB56-2BF294040C59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ACADEMIA</t>
        </r>
      </text>
    </comment>
    <comment ref="EU21" authorId="0" shapeId="0" xr:uid="{DB88257E-8F9C-4CD3-8663-3F3312B9B7C2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EV21" authorId="0" shapeId="0" xr:uid="{9B75A400-1787-4449-9770-6ED056C1CF61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EW21" authorId="0" shapeId="0" xr:uid="{86BDA60D-D193-4973-A804-61735F8CA0DC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EX21" authorId="0" shapeId="0" xr:uid="{E4258B08-DD21-4A6C-BC34-099B9A90D8F1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FF21" authorId="0" shapeId="0" xr:uid="{820FCEE4-E7F2-4852-81C3-26DBEE0CB9FC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FG21" authorId="0" shapeId="0" xr:uid="{D6E34A00-846F-4FA2-B07B-39B095984AEA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FH21" authorId="0" shapeId="0" xr:uid="{EDBBF3F6-4CC2-4DC9-BC17-86FC2435445B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FI21" authorId="0" shapeId="0" xr:uid="{C9073E23-6B80-4580-8735-B8E193779CAB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GD21" authorId="0" shapeId="0" xr:uid="{CBE6A1E7-272C-4A70-BAA4-7B62EB9C6814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GE21" authorId="0" shapeId="0" xr:uid="{048D2B35-293B-435C-8699-4CA1BA466202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GF21" authorId="0" shapeId="0" xr:uid="{58EF636C-2D64-42AF-B3A4-66AC176FCA9A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GG21" authorId="0" shapeId="0" xr:uid="{2035CC99-4988-47BA-9AE6-D59C2A9B0AF4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GJ21" authorId="0" shapeId="0" xr:uid="{F14ACF74-B562-4BA0-8FB9-DFC81A2B07FD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ACADEMIA</t>
        </r>
      </text>
    </comment>
    <comment ref="HH21" authorId="0" shapeId="0" xr:uid="{9417E387-481A-41C3-AB9B-EAB9859BEAAF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HI21" authorId="0" shapeId="0" xr:uid="{E1B7B065-DD9C-424F-BB50-8E726DE09981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HJ21" authorId="0" shapeId="0" xr:uid="{9A867037-1619-408A-92A3-D7D433D07ECB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HK21" authorId="0" shapeId="0" xr:uid="{0FDCA1FE-08E7-4C9F-B5FD-6DD5E9FD42D0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HS21" authorId="0" shapeId="0" xr:uid="{F468019A-AD36-4140-B9D6-59CFA15832C8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HT21" authorId="0" shapeId="0" xr:uid="{F4E1E4E2-CD26-42AE-BE1E-EE163E635AED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HU21" authorId="0" shapeId="0" xr:uid="{216090C6-7AE9-411B-83C4-FB72595E43BC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HV21" authorId="0" shapeId="0" xr:uid="{572CE441-AD57-45D3-8F1D-0B460836D0AC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IQ21" authorId="0" shapeId="0" xr:uid="{91881CC7-8B04-4DFB-AAD1-F326B6575E9C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IR21" authorId="0" shapeId="0" xr:uid="{A6EB6BFD-18B7-41C2-B719-4BCA4570A33C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IS21" authorId="0" shapeId="0" xr:uid="{F5011FDB-E3DA-48B9-80DC-A94BD008F026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IT21" authorId="0" shapeId="0" xr:uid="{4E9184D8-BDC1-41AE-AD36-3973DC353DBD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IW21" authorId="0" shapeId="0" xr:uid="{685442E8-D54F-4C7B-A67A-83EB23A40D0C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ACADEMIA</t>
        </r>
      </text>
    </comment>
    <comment ref="JT21" authorId="0" shapeId="0" xr:uid="{FBB05D0A-7955-4845-B047-F4E309CDADBC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JU21" authorId="0" shapeId="0" xr:uid="{B4FD17AF-2880-46B9-8EDD-448E8878A442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JV21" authorId="0" shapeId="0" xr:uid="{6DFC3D7E-1164-4633-917A-F421F6D49145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JW21" authorId="0" shapeId="0" xr:uid="{3D8C5CD2-B5FF-4078-A915-7B6270829B19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KE21" authorId="0" shapeId="0" xr:uid="{DA121CE7-6FF1-4E32-9352-6DE49881B49A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KF21" authorId="0" shapeId="0" xr:uid="{8BC71013-5C11-449F-9708-CD2A4B95D1B2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KG21" authorId="0" shapeId="0" xr:uid="{6BB1854C-06F3-4A74-88B7-DF39B82AF505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KH21" authorId="0" shapeId="0" xr:uid="{8CF85654-FEAD-4F37-9322-7451CC779FCB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LC21" authorId="0" shapeId="0" xr:uid="{ACC1B9C9-7882-450C-977C-1B6533DAD409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SALÃO DE JOGOS</t>
        </r>
      </text>
    </comment>
    <comment ref="LD21" authorId="0" shapeId="0" xr:uid="{8FF1FFC8-465F-4802-B33D-24A00B4CDEF6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BICICLETÁRIO
</t>
        </r>
      </text>
    </comment>
    <comment ref="LE21" authorId="0" shapeId="0" xr:uid="{41651216-D4AE-41B3-BCDE-E65B774E50B9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FEMININO
</t>
        </r>
      </text>
    </comment>
    <comment ref="LF21" authorId="0" shapeId="0" xr:uid="{3559820F-A8C5-44CE-AA01-596577529A49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VESTIÁRIO MASCULINO
</t>
        </r>
      </text>
    </comment>
    <comment ref="LI21" authorId="0" shapeId="0" xr:uid="{BE472CD5-F43D-4505-BEE1-AD7810727B35}">
      <text>
        <r>
          <rPr>
            <b/>
            <sz val="9"/>
            <color indexed="81"/>
            <rFont val="Segoe UI"/>
            <family val="2"/>
          </rPr>
          <t>Roberto:</t>
        </r>
        <r>
          <rPr>
            <sz val="9"/>
            <color indexed="81"/>
            <rFont val="Segoe UI"/>
            <family val="2"/>
          </rPr>
          <t xml:space="preserve">
ACADEMIA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4FB195-0B66-4B4E-A7A5-F5F79681788B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120D632-0182-4245-9559-7B2C96CC5F53}" name="WorksheetConnection_CONTROLE MEDIÇÕES - CTF.2681 (1)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CONTROLEMEDIÇÕESCTF.26811.xlsxTabela11"/>
        </x15:connection>
      </ext>
    </extLst>
  </connection>
  <connection id="3" xr16:uid="{37120EF0-0F3D-43ED-9A49-3EECE11BFB7E}" name="WorksheetConnection_CONTROLE MEDIÇÕES - CTF.2681 (1).xlsx!Tabela5" type="102" refreshedVersion="8" minRefreshableVersion="5">
    <extLst>
      <ext xmlns:x15="http://schemas.microsoft.com/office/spreadsheetml/2010/11/main" uri="{DE250136-89BD-433C-8126-D09CA5730AF9}">
        <x15:connection id="Tabela5">
          <x15:rangePr sourceName="_xlcn.WorksheetConnection_CONTROLEMEDIÇÕESCTF.26811.xlsxTabela51"/>
        </x15:connection>
      </ext>
    </extLst>
  </connection>
  <connection id="4" xr16:uid="{A061E6ED-B4C8-49A4-BD2D-2A50B4774ED7}" name="WorksheetConnection_CONTROLE MEDIÇÕES - CTF.2681 (1).xlsx!Tabela511" type="102" refreshedVersion="8" minRefreshableVersion="5">
    <extLst>
      <ext xmlns:x15="http://schemas.microsoft.com/office/spreadsheetml/2010/11/main" uri="{DE250136-89BD-433C-8126-D09CA5730AF9}">
        <x15:connection id="Tabela511">
          <x15:rangePr sourceName="_xlcn.WorksheetConnection_CONTROLEMEDIÇÕESCTF.26811.xlsxTabela5111"/>
        </x15:connection>
      </ext>
    </extLst>
  </connection>
  <connection id="5" xr16:uid="{C459B333-DE07-4D7E-ABF9-C784DAF73B52}" name="WorksheetConnection_CONTROLE MEDIÇÕES - CTF.2681 (1).xlsx!Tabela51112" type="102" refreshedVersion="8" minRefreshableVersion="5">
    <extLst>
      <ext xmlns:x15="http://schemas.microsoft.com/office/spreadsheetml/2010/11/main" uri="{DE250136-89BD-433C-8126-D09CA5730AF9}">
        <x15:connection id="Tabela51112">
          <x15:rangePr sourceName="_xlcn.WorksheetConnection_CONTROLEMEDIÇÕESCTF.26811.xlsxTabela511121"/>
        </x15:connection>
      </ext>
    </extLst>
  </connection>
  <connection id="6" xr16:uid="{8BEF9EB1-7604-4024-912C-BDBCEC2B80DA}" name="WorksheetConnection_CONTROLE MEDIÇÕES - CTF.2681 (1).xlsx!Tabela57" type="102" refreshedVersion="8" minRefreshableVersion="5">
    <extLst>
      <ext xmlns:x15="http://schemas.microsoft.com/office/spreadsheetml/2010/11/main" uri="{DE250136-89BD-433C-8126-D09CA5730AF9}">
        <x15:connection id="Tabela57">
          <x15:rangePr sourceName="_xlcn.WorksheetConnection_CONTROLEMEDIÇÕESCTF.26811.xlsxTabela571"/>
        </x15:connection>
      </ext>
    </extLst>
  </connection>
  <connection id="7" xr16:uid="{10880FB2-11E9-4CCA-B948-6A14311DE19F}" name="WorksheetConnection_CONTROLE MEDIÇÕES - CTF.2681 (1).xlsx!Tabela573" type="102" refreshedVersion="8" minRefreshableVersion="5">
    <extLst>
      <ext xmlns:x15="http://schemas.microsoft.com/office/spreadsheetml/2010/11/main" uri="{DE250136-89BD-433C-8126-D09CA5730AF9}">
        <x15:connection id="Tabela573">
          <x15:rangePr sourceName="_xlcn.WorksheetConnection_CONTROLEMEDIÇÕESCTF.26811.xlsxTabela5731"/>
        </x15:connection>
      </ext>
    </extLst>
  </connection>
  <connection id="8" xr16:uid="{DFED395F-3FCE-456B-AE20-2ADAF088EA46}" name="WorksheetConnection_CONTROLE MEDIÇÕES - CTF.2681 (1).xlsx!Tabela5739" type="102" refreshedVersion="8" minRefreshableVersion="5">
    <extLst>
      <ext xmlns:x15="http://schemas.microsoft.com/office/spreadsheetml/2010/11/main" uri="{DE250136-89BD-433C-8126-D09CA5730AF9}">
        <x15:connection id="Tabela5739">
          <x15:rangePr sourceName="_xlcn.WorksheetConnection_CONTROLEMEDIÇÕESCTF.26811.xlsxTabela57391"/>
        </x15:connection>
      </ext>
    </extLst>
  </connection>
  <connection id="9" xr16:uid="{A2735414-6DC3-4EC4-8405-8A35D04AA62E}" name="WorksheetConnection_CONTROLE MEDIÇÕES - CTF.2681 (1).xlsx!Tabela9" type="102" refreshedVersion="8" minRefreshableVersion="5">
    <extLst>
      <ext xmlns:x15="http://schemas.microsoft.com/office/spreadsheetml/2010/11/main" uri="{DE250136-89BD-433C-8126-D09CA5730AF9}">
        <x15:connection id="Tabela9">
          <x15:rangePr sourceName="_xlcn.WorksheetConnection_CONTROLEMEDIÇÕESCTF.26811.xlsxTabela9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<sst xmlns="http://schemas.openxmlformats.org/spreadsheetml/2006/main" count="952" uniqueCount="263">
  <si>
    <t>CONTROLE DO CONTRATO</t>
  </si>
  <si>
    <t>OBRA:</t>
  </si>
  <si>
    <t>CONTATO:</t>
  </si>
  <si>
    <t>VALOR CONTRATADO:</t>
  </si>
  <si>
    <t>ADITIVO DE CONTRATO:</t>
  </si>
  <si>
    <t>CONTRATADO:</t>
  </si>
  <si>
    <t>TELEFONE:</t>
  </si>
  <si>
    <t>MÃO DE OBRA:</t>
  </si>
  <si>
    <t>Nº DO CONTRATO:</t>
  </si>
  <si>
    <t>FATURAMENTO DIRETO:</t>
  </si>
  <si>
    <t>ATIVIDADE:</t>
  </si>
  <si>
    <t>RETENÇÃO CONTRATUAL:</t>
  </si>
  <si>
    <t>Controle de Aditivos Contratuais</t>
  </si>
  <si>
    <t>Nº do Aditivo</t>
  </si>
  <si>
    <t>Motivo</t>
  </si>
  <si>
    <t>Valor</t>
  </si>
  <si>
    <t>Mão de Obra</t>
  </si>
  <si>
    <t>Fat. Direto</t>
  </si>
  <si>
    <t>Observações</t>
  </si>
  <si>
    <t>1.</t>
  </si>
  <si>
    <t>2.</t>
  </si>
  <si>
    <t>3.</t>
  </si>
  <si>
    <t>4.</t>
  </si>
  <si>
    <t>5.</t>
  </si>
  <si>
    <t>RESUMO DO CONTRATO</t>
  </si>
  <si>
    <t>Nº Medição</t>
  </si>
  <si>
    <t>Período</t>
  </si>
  <si>
    <t>Data</t>
  </si>
  <si>
    <t>Nº NF</t>
  </si>
  <si>
    <t>Valor Medição</t>
  </si>
  <si>
    <t>Dedução Medição</t>
  </si>
  <si>
    <t>Retenção Medição</t>
  </si>
  <si>
    <t>Valor Medição Líquido</t>
  </si>
  <si>
    <t xml:space="preserve">Saldo Medição </t>
  </si>
  <si>
    <t>Faturamento Direto</t>
  </si>
  <si>
    <t>Saldo Faturamento Direto</t>
  </si>
  <si>
    <t>Total Pago</t>
  </si>
  <si>
    <t>Saldo Contratual</t>
  </si>
  <si>
    <t>Status</t>
  </si>
  <si>
    <t xml:space="preserve">   RETENÇÃO CONTRATUAL</t>
  </si>
  <si>
    <t xml:space="preserve">   VALOR TOTAL</t>
  </si>
  <si>
    <t xml:space="preserve">   MEDIDO ACUMULADO</t>
  </si>
  <si>
    <t xml:space="preserve">   SALDO DISPONÍVEL</t>
  </si>
  <si>
    <t>TOTAL MEDIDO</t>
  </si>
  <si>
    <t>SALDO</t>
  </si>
  <si>
    <t>ITEM</t>
  </si>
  <si>
    <t>CÓDIGO TAREFA</t>
  </si>
  <si>
    <t>DESCRIÇÃO DO ITEM</t>
  </si>
  <si>
    <t>UNIDADE</t>
  </si>
  <si>
    <t>QUANTIDADE</t>
  </si>
  <si>
    <t>UNITÁRIO</t>
  </si>
  <si>
    <t>PESO</t>
  </si>
  <si>
    <t>TOTAL</t>
  </si>
  <si>
    <t>VALOR</t>
  </si>
  <si>
    <t>VALOR TOTAL</t>
  </si>
  <si>
    <t>TOTAL CONTRATADO</t>
  </si>
  <si>
    <t>1.1</t>
  </si>
  <si>
    <t>1.1.1</t>
  </si>
  <si>
    <t>1.1.2</t>
  </si>
  <si>
    <t>1.2</t>
  </si>
  <si>
    <t>1.2.1</t>
  </si>
  <si>
    <t>D</t>
  </si>
  <si>
    <t>DEDUÇÕES</t>
  </si>
  <si>
    <t>D.1</t>
  </si>
  <si>
    <t>DEDUÇÃO</t>
  </si>
  <si>
    <t>D.1.1</t>
  </si>
  <si>
    <t>ALIMENTAÇÃO</t>
  </si>
  <si>
    <t>D.1.2</t>
  </si>
  <si>
    <t>ALOJAMENTO</t>
  </si>
  <si>
    <t>D.1.3</t>
  </si>
  <si>
    <t>EPI</t>
  </si>
  <si>
    <t>D.1.4</t>
  </si>
  <si>
    <t>OUTROS (ESPECIFICAR)</t>
  </si>
  <si>
    <t>D.2</t>
  </si>
  <si>
    <t>RETENÇÃO</t>
  </si>
  <si>
    <t>D.2.1</t>
  </si>
  <si>
    <t>Barr.</t>
  </si>
  <si>
    <t>12º</t>
  </si>
  <si>
    <t>11º</t>
  </si>
  <si>
    <t>10º</t>
  </si>
  <si>
    <t>9º</t>
  </si>
  <si>
    <t>8º</t>
  </si>
  <si>
    <t>7º</t>
  </si>
  <si>
    <t>6º</t>
  </si>
  <si>
    <t>5º</t>
  </si>
  <si>
    <t>4º</t>
  </si>
  <si>
    <t>3º</t>
  </si>
  <si>
    <t>2º</t>
  </si>
  <si>
    <t>1º</t>
  </si>
  <si>
    <t>Tº</t>
  </si>
  <si>
    <t>BOLETIM DE FATURAMENTO DIRETO</t>
  </si>
  <si>
    <t>1.1.3</t>
  </si>
  <si>
    <t>1.1.4</t>
  </si>
  <si>
    <t>1.1.5</t>
  </si>
  <si>
    <t>1.1.6</t>
  </si>
  <si>
    <t>1.1.7</t>
  </si>
  <si>
    <t>Apto</t>
  </si>
  <si>
    <t>1.5.2</t>
  </si>
  <si>
    <t>1.5.3</t>
  </si>
  <si>
    <t>1.5.4</t>
  </si>
  <si>
    <t>Cob.</t>
  </si>
  <si>
    <t>F1</t>
  </si>
  <si>
    <t>F2</t>
  </si>
  <si>
    <t>F3</t>
  </si>
  <si>
    <t>F4</t>
  </si>
  <si>
    <t>F5</t>
  </si>
  <si>
    <t>F6</t>
  </si>
  <si>
    <t>F7</t>
  </si>
  <si>
    <t>F8</t>
  </si>
  <si>
    <t>1.7</t>
  </si>
  <si>
    <t>1.7.1</t>
  </si>
  <si>
    <t>DATA:</t>
  </si>
  <si>
    <t>1º MEDIÇÃO</t>
  </si>
  <si>
    <t>2º MEDIÇÃO</t>
  </si>
  <si>
    <t>3º MEDIÇÃO</t>
  </si>
  <si>
    <t>4º MEDIÇÃO</t>
  </si>
  <si>
    <t>5º MEDIÇÃO</t>
  </si>
  <si>
    <t>6º MEDIÇÃO</t>
  </si>
  <si>
    <t>7º MEDIÇÃO</t>
  </si>
  <si>
    <t>8º MEDIÇÃO</t>
  </si>
  <si>
    <t>9º MEDIÇÃO</t>
  </si>
  <si>
    <t>10º MEDIÇÃO</t>
  </si>
  <si>
    <t>DATA</t>
  </si>
  <si>
    <t>OK</t>
  </si>
  <si>
    <t xml:space="preserve">OBRA: </t>
  </si>
  <si>
    <t>TORRE:</t>
  </si>
  <si>
    <t>CONFERENTE:</t>
  </si>
  <si>
    <t>PAV</t>
  </si>
  <si>
    <t>FINAL 1</t>
  </si>
  <si>
    <t>FINAL 2</t>
  </si>
  <si>
    <t>FINAL 3</t>
  </si>
  <si>
    <t>FINAL 4</t>
  </si>
  <si>
    <t>FINAL 5</t>
  </si>
  <si>
    <t>FINAL 6</t>
  </si>
  <si>
    <t>FINAL 7</t>
  </si>
  <si>
    <t>FINAL 8</t>
  </si>
  <si>
    <t>OBSERVAÇÃO</t>
  </si>
  <si>
    <t>DATA RECONFERÊNCIA</t>
  </si>
  <si>
    <t>STATUS</t>
  </si>
  <si>
    <t>BARR</t>
  </si>
  <si>
    <t>COB</t>
  </si>
  <si>
    <t>T</t>
  </si>
  <si>
    <t>LEGENDA</t>
  </si>
  <si>
    <t>REPROVADO</t>
  </si>
  <si>
    <t>ASS. ENG.:</t>
  </si>
  <si>
    <t xml:space="preserve">CONFERENCIA DE PINTURA </t>
  </si>
  <si>
    <t>P</t>
  </si>
  <si>
    <t>11º MEDIÇÃO</t>
  </si>
  <si>
    <t>INSTALAÇÕES ELÉTRICAS</t>
  </si>
  <si>
    <t>BOLETIM DE MEDIÇÃO - GIL REVEST</t>
  </si>
  <si>
    <t>BELLA VERONA</t>
  </si>
  <si>
    <t>GIL REVEST</t>
  </si>
  <si>
    <t>M.O EXECUÇÃO PISO E AZULEJO</t>
  </si>
  <si>
    <t>CTF/2681</t>
  </si>
  <si>
    <t>GISVALDO</t>
  </si>
  <si>
    <t>Mao de Obra Colocacao de Azulejo</t>
  </si>
  <si>
    <t>M²</t>
  </si>
  <si>
    <t>Mao de Obra Colocacao Piso Ceramico</t>
  </si>
  <si>
    <t>M.O para colocação de soleiras</t>
  </si>
  <si>
    <t>M</t>
  </si>
  <si>
    <t>M.O. para colocação de baguetes</t>
  </si>
  <si>
    <t xml:space="preserve">	Rodapé Cerâmico | Porcelanato - Serviço M.O Subcontrato</t>
  </si>
  <si>
    <t>Desconto Limpeza</t>
  </si>
  <si>
    <t>F9</t>
  </si>
  <si>
    <t>F0</t>
  </si>
  <si>
    <t>TORRE A</t>
  </si>
  <si>
    <t>TORRE B</t>
  </si>
  <si>
    <t>TORRE C</t>
  </si>
  <si>
    <t>TORRE D</t>
  </si>
  <si>
    <t>TORRE E</t>
  </si>
  <si>
    <t>ATUALIZADO EM:</t>
  </si>
  <si>
    <t xml:space="preserve">    INDICADORES GERAIS</t>
  </si>
  <si>
    <t>|</t>
  </si>
  <si>
    <t>MEDIÇÃO 1</t>
  </si>
  <si>
    <t>MEDIÇÃO 2</t>
  </si>
  <si>
    <t>MEDIÇÃO 3</t>
  </si>
  <si>
    <t>MEDIÇÃO 4</t>
  </si>
  <si>
    <t>MEDIÇÃO 5</t>
  </si>
  <si>
    <t>MEDIÇÃO 6</t>
  </si>
  <si>
    <t>MEDIÇÃO 7</t>
  </si>
  <si>
    <t>MEDIÇÃO 8</t>
  </si>
  <si>
    <t>MEDIÇÃO 9</t>
  </si>
  <si>
    <t>MEDIÇÃO 10</t>
  </si>
  <si>
    <t>VALOR MEDIDO</t>
  </si>
  <si>
    <t>VALOR SALDO</t>
  </si>
  <si>
    <t>VALOR MEDIÇÃO 1</t>
  </si>
  <si>
    <t>VALOR MEDIÇÃO 2</t>
  </si>
  <si>
    <t>VALOR MEDIÇÃO 3</t>
  </si>
  <si>
    <t>VALOR MEDIÇÃO 4</t>
  </si>
  <si>
    <t>VALOR MEDIÇÃO 5</t>
  </si>
  <si>
    <t>VALOR MEDIÇÃO 6</t>
  </si>
  <si>
    <t>VALOR MEDIÇÃO 7</t>
  </si>
  <si>
    <t>VALOR MEDIÇÃO 8</t>
  </si>
  <si>
    <t>VALOR MEDIÇÃO 9</t>
  </si>
  <si>
    <t>VALOR MEDIÇÃO 10</t>
  </si>
  <si>
    <t>CÓD</t>
  </si>
  <si>
    <t>DESCRIÇÃO</t>
  </si>
  <si>
    <t>TORRE</t>
  </si>
  <si>
    <t>A</t>
  </si>
  <si>
    <t xml:space="preserve"> </t>
  </si>
  <si>
    <t>MEDIÇÃO</t>
  </si>
  <si>
    <t>TOTAL F0</t>
  </si>
  <si>
    <t>TOTAL F1</t>
  </si>
  <si>
    <t>TOTAL F2</t>
  </si>
  <si>
    <t>TOTAL F3</t>
  </si>
  <si>
    <t>TOTAL F4</t>
  </si>
  <si>
    <t>TOTAL F5</t>
  </si>
  <si>
    <t>TOTAL F6</t>
  </si>
  <si>
    <t>TOTAL F7</t>
  </si>
  <si>
    <t>TOTAL F8</t>
  </si>
  <si>
    <t>TOTAL F9</t>
  </si>
  <si>
    <t>Rodapé Cerâmico | Porcelanato - Serviço M.O Subcontrato</t>
  </si>
  <si>
    <t>Rótulos de Linha</t>
  </si>
  <si>
    <t>Total Geral</t>
  </si>
  <si>
    <t>EXECUTADO</t>
  </si>
  <si>
    <t>MÊS/ANO</t>
  </si>
  <si>
    <t>% Financeiro</t>
  </si>
  <si>
    <t>EVOLUÇÃO FÍSICA X FINANCEIRA</t>
  </si>
  <si>
    <t>CATEGORIA</t>
  </si>
  <si>
    <t>Executado</t>
  </si>
  <si>
    <t>Saldo</t>
  </si>
  <si>
    <t>Retenção</t>
  </si>
  <si>
    <t>Soma de VALOR</t>
  </si>
  <si>
    <t>DISTRIBUIÇÃO FINANCEIRA</t>
  </si>
  <si>
    <t>PAVIMENTO</t>
  </si>
  <si>
    <t>PREVISTO</t>
  </si>
  <si>
    <t>%</t>
  </si>
  <si>
    <t>PREVISTO TOTAL</t>
  </si>
  <si>
    <t>STATUS DOS PAVIMENTOS</t>
  </si>
  <si>
    <t>Soma de %</t>
  </si>
  <si>
    <t>PRODUTIVIDADE m²</t>
  </si>
  <si>
    <t>ACUMULADO</t>
  </si>
  <si>
    <t>PENDENTE</t>
  </si>
  <si>
    <t>PENDÊNCIA POR SERVIÇO</t>
  </si>
  <si>
    <t>Soma de PENDENTE</t>
  </si>
  <si>
    <t>Colocacao de Azulejo</t>
  </si>
  <si>
    <t>Colocacao Piso Ceramico</t>
  </si>
  <si>
    <t>Colocação de soleiras</t>
  </si>
  <si>
    <t>Colocação de baguetes</t>
  </si>
  <si>
    <t>Rodapé Cerâmico | Porcelanato</t>
  </si>
  <si>
    <t>PREVISTO ACUM.</t>
  </si>
  <si>
    <t>REALIZADO</t>
  </si>
  <si>
    <t xml:space="preserve">REALIZADO ACUM. </t>
  </si>
  <si>
    <t>MEDIÇÕES</t>
  </si>
  <si>
    <t>Soma de PREVISTO ACUM.</t>
  </si>
  <si>
    <t>Soma de REALIZADO ACUM.</t>
  </si>
  <si>
    <t>m²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</si>
  <si>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</si>
  <si>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</si>
  <si>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</si>
  <si>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</si>
  <si>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</si>
  <si>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</si>
  <si>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</si>
  <si>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</si>
  <si>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</si>
  <si>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</si>
  <si>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21/10/2025</t>
  </si>
  <si>
    <t>22/04/2026</t>
  </si>
  <si>
    <t>23/12/2025</t>
  </si>
  <si>
    <t>24/11/2025</t>
  </si>
  <si>
    <t>27/04/2026</t>
  </si>
  <si>
    <t>Contagem de EXECUTADO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</si>
</sst>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&quot;MEDIÇÃO&quot;\ ##"/>
    <numFmt numFmtId="167" formatCode="&quot;TORRE&quot;\ ##"/>
    <numFmt numFmtId="168" formatCode="_(&quot;R$&quot;* #,##0.00_);_(&quot;R$&quot;* \(#,##0.00\);_(&quot;R$&quot;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  <scheme val="minor"/>
    </font>
    <font>
      <b/>
      <sz val="11"/>
      <name val="Calibri"/>
      <family val="2"/>
    </font>
    <font>
      <b/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theme="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2"/>
      <color rgb="FFF76409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Segoe UI"/>
      <family val="2"/>
    </font>
    <font>
      <b/>
      <sz val="18"/>
      <color theme="9" tint="-0.249977111117893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Arial"/>
      <family val="2"/>
    </font>
    <font>
      <sz val="14"/>
      <color theme="0"/>
      <name val="Montserrat Regula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20"/>
      <color theme="3"/>
      <name val="Montserrat Bold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640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0" fontId="35" fillId="0" borderId="0"/>
    <xf numFmtId="164" fontId="35" fillId="0" borderId="0" applyFont="0" applyFill="0" applyBorder="0" applyAlignment="0" applyProtection="0"/>
    <xf numFmtId="168" fontId="35" fillId="0" borderId="0" applyFont="0" applyFill="0" applyBorder="0" applyAlignment="0" applyProtection="0"/>
  </cellStyleXfs>
  <cellXfs count="404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 indent="1"/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7" fillId="3" borderId="6" xfId="0" applyFont="1" applyFill="1" applyBorder="1" applyAlignment="1">
      <alignment horizontal="left" vertical="center" wrapText="1" inden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2" xfId="0" quotePrefix="1" applyFont="1" applyFill="1" applyBorder="1" applyAlignment="1">
      <alignment horizontal="center" vertical="center" wrapText="1"/>
    </xf>
    <xf numFmtId="9" fontId="9" fillId="3" borderId="2" xfId="2" quotePrefix="1" applyFont="1" applyFill="1" applyBorder="1" applyAlignment="1">
      <alignment horizontal="center" vertical="center" wrapText="1"/>
    </xf>
    <xf numFmtId="44" fontId="7" fillId="3" borderId="9" xfId="1" applyFont="1" applyFill="1" applyBorder="1" applyAlignment="1">
      <alignment horizontal="center" vertical="center" wrapText="1"/>
    </xf>
    <xf numFmtId="44" fontId="7" fillId="3" borderId="6" xfId="1" applyFont="1" applyFill="1" applyBorder="1" applyAlignment="1" applyProtection="1">
      <alignment horizontal="left" vertical="center"/>
      <protection locked="0"/>
    </xf>
    <xf numFmtId="44" fontId="7" fillId="3" borderId="2" xfId="1" applyFont="1" applyFill="1" applyBorder="1" applyAlignment="1">
      <alignment horizontal="center" vertical="center" wrapText="1"/>
    </xf>
    <xf numFmtId="0" fontId="0" fillId="0" borderId="7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10" fillId="0" borderId="4" xfId="0" applyFont="1" applyBorder="1" applyAlignment="1" applyProtection="1">
      <alignment horizontal="right" vertical="center" indent="2"/>
      <protection locked="0"/>
    </xf>
    <xf numFmtId="14" fontId="11" fillId="0" borderId="5" xfId="0" applyNumberFormat="1" applyFont="1" applyBorder="1" applyAlignment="1">
      <alignment horizontal="left" vertical="center" indent="1"/>
    </xf>
    <xf numFmtId="0" fontId="0" fillId="0" borderId="10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0" fillId="0" borderId="0" xfId="0" applyFont="1" applyAlignment="1" applyProtection="1">
      <alignment horizontal="right" vertical="center" indent="2"/>
      <protection locked="0"/>
    </xf>
    <xf numFmtId="14" fontId="11" fillId="0" borderId="11" xfId="0" applyNumberFormat="1" applyFont="1" applyBorder="1" applyAlignment="1">
      <alignment horizontal="left" vertical="center" indent="1"/>
    </xf>
    <xf numFmtId="0" fontId="0" fillId="0" borderId="8" xfId="0" applyBorder="1" applyAlignment="1" applyProtection="1">
      <alignment vertical="center"/>
      <protection locked="0"/>
    </xf>
    <xf numFmtId="14" fontId="10" fillId="0" borderId="1" xfId="0" applyNumberFormat="1" applyFont="1" applyBorder="1" applyAlignment="1" applyProtection="1">
      <alignment horizontal="left" vertical="center" indent="2"/>
      <protection locked="0"/>
    </xf>
    <xf numFmtId="0" fontId="10" fillId="0" borderId="1" xfId="0" applyFont="1" applyBorder="1" applyAlignment="1" applyProtection="1">
      <alignment horizontal="right" vertical="center" indent="2"/>
      <protection locked="0"/>
    </xf>
    <xf numFmtId="14" fontId="11" fillId="0" borderId="3" xfId="0" applyNumberFormat="1" applyFont="1" applyBorder="1" applyAlignment="1">
      <alignment horizontal="left" vertical="center" indent="1"/>
    </xf>
    <xf numFmtId="0" fontId="10" fillId="4" borderId="0" xfId="0" applyFont="1" applyFill="1" applyAlignment="1" applyProtection="1">
      <alignment horizontal="left" vertical="center" indent="2"/>
      <protection locked="0"/>
    </xf>
    <xf numFmtId="9" fontId="2" fillId="6" borderId="2" xfId="2" quotePrefix="1" applyFont="1" applyFill="1" applyBorder="1" applyAlignment="1" applyProtection="1">
      <alignment horizontal="center" vertical="center" wrapText="1"/>
      <protection locked="0"/>
    </xf>
    <xf numFmtId="0" fontId="2" fillId="6" borderId="6" xfId="0" quotePrefix="1" applyFont="1" applyFill="1" applyBorder="1" applyAlignment="1" applyProtection="1">
      <alignment horizontal="center" vertical="center" wrapText="1"/>
      <protection locked="0"/>
    </xf>
    <xf numFmtId="44" fontId="2" fillId="6" borderId="9" xfId="1" quotePrefix="1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4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indent="1"/>
      <protection locked="0"/>
    </xf>
    <xf numFmtId="0" fontId="2" fillId="0" borderId="0" xfId="0" applyFont="1" applyAlignment="1" applyProtection="1">
      <alignment horizontal="left" vertical="center" wrapText="1" inden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quotePrefix="1" applyFont="1" applyFill="1" applyBorder="1" applyAlignment="1" applyProtection="1">
      <alignment horizontal="center" vertical="center" wrapText="1"/>
      <protection locked="0"/>
    </xf>
    <xf numFmtId="9" fontId="2" fillId="2" borderId="2" xfId="2" quotePrefix="1" applyFont="1" applyFill="1" applyBorder="1" applyAlignment="1" applyProtection="1">
      <alignment horizontal="center" vertical="center" wrapText="1"/>
      <protection locked="0"/>
    </xf>
    <xf numFmtId="44" fontId="2" fillId="2" borderId="9" xfId="1" applyFont="1" applyFill="1" applyBorder="1" applyAlignment="1">
      <alignment horizontal="center" vertical="center" wrapText="1"/>
    </xf>
    <xf numFmtId="4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0" borderId="2" xfId="0" quotePrefix="1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9" fontId="13" fillId="0" borderId="1" xfId="2" quotePrefix="1" applyFont="1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left" vertical="center" wrapText="1"/>
    </xf>
    <xf numFmtId="44" fontId="15" fillId="0" borderId="11" xfId="0" applyNumberFormat="1" applyFont="1" applyBorder="1" applyAlignment="1">
      <alignment horizontal="left" vertical="center" indent="1"/>
    </xf>
    <xf numFmtId="0" fontId="10" fillId="0" borderId="2" xfId="0" applyFont="1" applyBorder="1" applyAlignment="1" applyProtection="1">
      <alignment vertical="center"/>
      <protection locked="0"/>
    </xf>
    <xf numFmtId="44" fontId="10" fillId="0" borderId="2" xfId="0" applyNumberFormat="1" applyFont="1" applyBorder="1" applyAlignment="1" applyProtection="1">
      <alignment horizontal="right" vertical="center" indent="2"/>
      <protection locked="0"/>
    </xf>
    <xf numFmtId="0" fontId="10" fillId="0" borderId="2" xfId="0" applyFont="1" applyBorder="1" applyAlignment="1" applyProtection="1">
      <alignment horizontal="right" vertical="center" indent="2"/>
      <protection locked="0"/>
    </xf>
    <xf numFmtId="14" fontId="11" fillId="0" borderId="4" xfId="0" applyNumberFormat="1" applyFont="1" applyBorder="1" applyAlignment="1">
      <alignment horizontal="left" vertical="center" indent="1"/>
    </xf>
    <xf numFmtId="14" fontId="11" fillId="0" borderId="1" xfId="0" applyNumberFormat="1" applyFont="1" applyBorder="1" applyAlignment="1">
      <alignment horizontal="left" vertical="center" indent="1"/>
    </xf>
    <xf numFmtId="44" fontId="2" fillId="2" borderId="2" xfId="1" applyFont="1" applyFill="1" applyBorder="1" applyAlignment="1">
      <alignment horizontal="center" vertical="center" wrapText="1"/>
    </xf>
    <xf numFmtId="0" fontId="7" fillId="7" borderId="2" xfId="0" applyFont="1" applyFill="1" applyBorder="1" applyAlignment="1" applyProtection="1">
      <alignment horizontal="right" vertical="center" indent="2"/>
      <protection locked="0"/>
    </xf>
    <xf numFmtId="44" fontId="9" fillId="7" borderId="2" xfId="0" applyNumberFormat="1" applyFont="1" applyFill="1" applyBorder="1" applyAlignment="1">
      <alignment horizontal="left" vertical="center" indent="1"/>
    </xf>
    <xf numFmtId="0" fontId="7" fillId="7" borderId="2" xfId="0" applyFont="1" applyFill="1" applyBorder="1" applyAlignment="1" applyProtection="1">
      <alignment vertical="center"/>
      <protection locked="0"/>
    </xf>
    <xf numFmtId="44" fontId="0" fillId="4" borderId="9" xfId="1" applyFont="1" applyFill="1" applyBorder="1" applyAlignment="1">
      <alignment horizontal="center" vertical="center" wrapText="1"/>
    </xf>
    <xf numFmtId="44" fontId="0" fillId="4" borderId="3" xfId="1" applyFont="1" applyFill="1" applyBorder="1" applyAlignment="1">
      <alignment horizontal="center" vertical="center" wrapText="1"/>
    </xf>
    <xf numFmtId="0" fontId="2" fillId="4" borderId="6" xfId="0" applyFont="1" applyFill="1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 applyProtection="1">
      <alignment horizontal="centerContinuous" vertical="center"/>
      <protection locked="0"/>
    </xf>
    <xf numFmtId="166" fontId="10" fillId="4" borderId="6" xfId="0" applyNumberFormat="1" applyFont="1" applyFill="1" applyBorder="1" applyAlignment="1" applyProtection="1">
      <alignment horizontal="centerContinuous" vertical="center"/>
      <protection locked="0"/>
    </xf>
    <xf numFmtId="0" fontId="10" fillId="4" borderId="9" xfId="0" applyFont="1" applyFill="1" applyBorder="1" applyAlignment="1" applyProtection="1">
      <alignment horizontal="centerContinuous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vertical="center"/>
      <protection locked="0"/>
    </xf>
    <xf numFmtId="0" fontId="0" fillId="4" borderId="0" xfId="0" applyFill="1"/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166" fontId="0" fillId="0" borderId="0" xfId="0" applyNumberFormat="1" applyAlignment="1">
      <alignment horizontal="center"/>
    </xf>
    <xf numFmtId="166" fontId="20" fillId="0" borderId="0" xfId="0" applyNumberFormat="1" applyFont="1" applyAlignment="1" applyProtection="1">
      <alignment horizontal="centerContinuous" vertical="center"/>
      <protection locked="0"/>
    </xf>
    <xf numFmtId="0" fontId="10" fillId="4" borderId="2" xfId="0" applyFont="1" applyFill="1" applyBorder="1" applyAlignment="1" applyProtection="1">
      <alignment horizontal="left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14" fontId="20" fillId="0" borderId="2" xfId="0" applyNumberFormat="1" applyFont="1" applyBorder="1" applyAlignment="1" applyProtection="1">
      <alignment horizontal="center" vertical="center"/>
      <protection locked="0"/>
    </xf>
    <xf numFmtId="166" fontId="8" fillId="0" borderId="0" xfId="0" applyNumberFormat="1" applyFont="1" applyAlignment="1" applyProtection="1">
      <alignment vertical="center"/>
      <protection locked="0"/>
    </xf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44" fontId="10" fillId="4" borderId="0" xfId="1" applyFont="1" applyFill="1" applyBorder="1" applyAlignment="1" applyProtection="1">
      <alignment horizontal="center" vertical="center"/>
      <protection locked="0"/>
    </xf>
    <xf numFmtId="44" fontId="0" fillId="4" borderId="0" xfId="1" applyFont="1" applyFill="1"/>
    <xf numFmtId="44" fontId="0" fillId="2" borderId="0" xfId="0" applyNumberFormat="1" applyFill="1"/>
    <xf numFmtId="0" fontId="12" fillId="4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44" fontId="16" fillId="3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2" fillId="6" borderId="6" xfId="2" quotePrefix="1" applyFont="1" applyFill="1" applyBorder="1" applyAlignment="1" applyProtection="1">
      <alignment horizontal="center" vertical="center" wrapText="1"/>
      <protection locked="0"/>
    </xf>
    <xf numFmtId="0" fontId="16" fillId="8" borderId="0" xfId="0" applyFont="1" applyFill="1" applyAlignment="1">
      <alignment vertical="center"/>
    </xf>
    <xf numFmtId="44" fontId="16" fillId="8" borderId="0" xfId="0" applyNumberFormat="1" applyFont="1" applyFill="1" applyAlignment="1">
      <alignment vertical="center"/>
    </xf>
    <xf numFmtId="44" fontId="7" fillId="3" borderId="12" xfId="1" applyFont="1" applyFill="1" applyBorder="1" applyAlignment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/>
      <protection locked="0"/>
    </xf>
    <xf numFmtId="0" fontId="7" fillId="3" borderId="12" xfId="0" applyFont="1" applyFill="1" applyBorder="1" applyAlignment="1" applyProtection="1">
      <alignment horizontal="centerContinuous" vertical="center"/>
      <protection locked="0"/>
    </xf>
    <xf numFmtId="44" fontId="2" fillId="2" borderId="12" xfId="1" applyFont="1" applyFill="1" applyBorder="1" applyAlignment="1">
      <alignment horizontal="center" vertical="center" wrapText="1"/>
    </xf>
    <xf numFmtId="44" fontId="0" fillId="4" borderId="12" xfId="1" applyFont="1" applyFill="1" applyBorder="1" applyAlignment="1">
      <alignment horizontal="center" vertical="center" wrapText="1"/>
    </xf>
    <xf numFmtId="44" fontId="0" fillId="4" borderId="13" xfId="1" applyFont="1" applyFill="1" applyBorder="1" applyAlignment="1">
      <alignment horizontal="center" vertical="center" wrapText="1"/>
    </xf>
    <xf numFmtId="0" fontId="7" fillId="3" borderId="6" xfId="0" applyFont="1" applyFill="1" applyBorder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7" fillId="3" borderId="9" xfId="0" applyFont="1" applyFill="1" applyBorder="1" applyAlignment="1" applyProtection="1">
      <alignment horizontal="center" vertical="center" wrapText="1"/>
      <protection locked="0"/>
    </xf>
    <xf numFmtId="44" fontId="15" fillId="4" borderId="2" xfId="0" applyNumberFormat="1" applyFont="1" applyFill="1" applyBorder="1" applyAlignment="1">
      <alignment horizontal="left" vertical="center" indent="1"/>
    </xf>
    <xf numFmtId="44" fontId="0" fillId="4" borderId="1" xfId="1" applyFont="1" applyFill="1" applyBorder="1" applyAlignment="1">
      <alignment horizontal="center" vertical="center" wrapText="1"/>
    </xf>
    <xf numFmtId="44" fontId="10" fillId="0" borderId="0" xfId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9" fontId="2" fillId="0" borderId="0" xfId="2" applyFont="1" applyFill="1" applyAlignment="1" applyProtection="1">
      <alignment horizontal="center" vertical="center"/>
      <protection locked="0"/>
    </xf>
    <xf numFmtId="166" fontId="10" fillId="4" borderId="12" xfId="0" applyNumberFormat="1" applyFont="1" applyFill="1" applyBorder="1" applyAlignment="1" applyProtection="1">
      <alignment horizontal="centerContinuous" vertical="center"/>
      <protection locked="0"/>
    </xf>
    <xf numFmtId="0" fontId="2" fillId="4" borderId="12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44" fontId="0" fillId="4" borderId="0" xfId="0" applyNumberFormat="1" applyFill="1"/>
    <xf numFmtId="0" fontId="10" fillId="0" borderId="0" xfId="0" applyFont="1" applyAlignment="1" applyProtection="1">
      <alignment horizontal="left" vertical="center" indent="2"/>
      <protection locked="0"/>
    </xf>
    <xf numFmtId="9" fontId="0" fillId="0" borderId="0" xfId="0" applyNumberFormat="1" applyAlignment="1">
      <alignment horizontal="center"/>
    </xf>
    <xf numFmtId="9" fontId="10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2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6" borderId="2" xfId="0" quotePrefix="1" applyFont="1" applyFill="1" applyBorder="1" applyAlignment="1" applyProtection="1">
      <alignment horizontal="center" vertical="center" wrapText="1"/>
      <protection locked="0"/>
    </xf>
    <xf numFmtId="9" fontId="23" fillId="4" borderId="6" xfId="2" quotePrefix="1" applyFont="1" applyFill="1" applyBorder="1" applyAlignment="1">
      <alignment horizontal="center" vertical="center" wrapText="1"/>
    </xf>
    <xf numFmtId="0" fontId="21" fillId="0" borderId="0" xfId="0" applyFont="1" applyAlignment="1" applyProtection="1">
      <alignment vertical="center"/>
      <protection locked="0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10" fillId="0" borderId="4" xfId="0" applyFont="1" applyBorder="1" applyAlignment="1">
      <alignment horizontal="right" vertical="center" indent="2"/>
    </xf>
    <xf numFmtId="0" fontId="0" fillId="0" borderId="10" xfId="0" applyBorder="1" applyAlignment="1">
      <alignment vertical="center"/>
    </xf>
    <xf numFmtId="0" fontId="10" fillId="0" borderId="0" xfId="0" applyFont="1" applyAlignment="1">
      <alignment horizontal="right" vertical="center" indent="2"/>
    </xf>
    <xf numFmtId="0" fontId="10" fillId="4" borderId="0" xfId="0" applyFont="1" applyFill="1" applyAlignment="1">
      <alignment horizontal="left" vertical="center" indent="2"/>
    </xf>
    <xf numFmtId="0" fontId="0" fillId="0" borderId="8" xfId="0" applyBorder="1" applyAlignment="1">
      <alignment vertical="center"/>
    </xf>
    <xf numFmtId="14" fontId="10" fillId="0" borderId="1" xfId="0" applyNumberFormat="1" applyFont="1" applyBorder="1" applyAlignment="1">
      <alignment horizontal="left" vertical="center" indent="2"/>
    </xf>
    <xf numFmtId="0" fontId="10" fillId="0" borderId="1" xfId="0" applyFont="1" applyBorder="1" applyAlignment="1">
      <alignment horizontal="right" vertical="center" indent="2"/>
    </xf>
    <xf numFmtId="0" fontId="13" fillId="4" borderId="8" xfId="0" quotePrefix="1" applyFont="1" applyFill="1" applyBorder="1" applyAlignment="1" applyProtection="1">
      <alignment horizontal="center" vertical="center" wrapText="1"/>
      <protection locked="0"/>
    </xf>
    <xf numFmtId="44" fontId="0" fillId="4" borderId="3" xfId="1" applyFont="1" applyFill="1" applyBorder="1" applyAlignment="1" applyProtection="1">
      <alignment horizontal="center" vertical="center" wrapText="1"/>
      <protection locked="0"/>
    </xf>
    <xf numFmtId="0" fontId="13" fillId="4" borderId="1" xfId="0" quotePrefix="1" applyFont="1" applyFill="1" applyBorder="1" applyAlignment="1" applyProtection="1">
      <alignment horizontal="center" vertical="center" wrapText="1"/>
      <protection locked="0"/>
    </xf>
    <xf numFmtId="44" fontId="2" fillId="6" borderId="9" xfId="1" applyFont="1" applyFill="1" applyBorder="1" applyAlignment="1" applyProtection="1">
      <alignment horizontal="center" vertical="center" wrapText="1"/>
      <protection locked="0"/>
    </xf>
    <xf numFmtId="44" fontId="0" fillId="0" borderId="3" xfId="1" applyFont="1" applyBorder="1" applyAlignment="1" applyProtection="1">
      <alignment horizontal="center" vertical="center" wrapText="1"/>
      <protection locked="0"/>
    </xf>
    <xf numFmtId="44" fontId="13" fillId="4" borderId="8" xfId="0" quotePrefix="1" applyNumberFormat="1" applyFont="1" applyFill="1" applyBorder="1" applyAlignment="1" applyProtection="1">
      <alignment horizontal="center" vertical="center" wrapText="1"/>
      <protection locked="0"/>
    </xf>
    <xf numFmtId="44" fontId="13" fillId="4" borderId="1" xfId="0" quotePrefix="1" applyNumberFormat="1" applyFont="1" applyFill="1" applyBorder="1" applyAlignment="1" applyProtection="1">
      <alignment horizontal="center" vertical="center" wrapText="1"/>
      <protection locked="0"/>
    </xf>
    <xf numFmtId="44" fontId="0" fillId="4" borderId="9" xfId="1" applyFont="1" applyFill="1" applyBorder="1" applyAlignment="1" applyProtection="1">
      <alignment horizontal="center" vertical="center" wrapText="1"/>
      <protection locked="0"/>
    </xf>
    <xf numFmtId="44" fontId="2" fillId="2" borderId="9" xfId="1" applyFont="1" applyFill="1" applyBorder="1" applyAlignment="1" applyProtection="1">
      <alignment horizontal="center" vertical="center" wrapText="1"/>
      <protection locked="0"/>
    </xf>
    <xf numFmtId="9" fontId="13" fillId="0" borderId="1" xfId="2" quotePrefix="1" applyFont="1" applyBorder="1" applyAlignment="1" applyProtection="1">
      <alignment horizontal="center" vertical="center" wrapText="1"/>
      <protection locked="0"/>
    </xf>
    <xf numFmtId="44" fontId="7" fillId="3" borderId="2" xfId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13" fillId="4" borderId="8" xfId="0" quotePrefix="1" applyFont="1" applyFill="1" applyBorder="1" applyAlignment="1">
      <alignment horizontal="center" vertical="center" wrapText="1"/>
    </xf>
    <xf numFmtId="44" fontId="0" fillId="4" borderId="3" xfId="1" applyFont="1" applyFill="1" applyBorder="1" applyAlignment="1" applyProtection="1">
      <alignment horizontal="center" vertical="center" wrapText="1"/>
    </xf>
    <xf numFmtId="44" fontId="0" fillId="0" borderId="3" xfId="1" applyFont="1" applyBorder="1" applyAlignment="1" applyProtection="1">
      <alignment horizontal="center" vertical="center" wrapText="1"/>
    </xf>
    <xf numFmtId="44" fontId="0" fillId="4" borderId="9" xfId="1" applyFont="1" applyFill="1" applyBorder="1" applyAlignment="1" applyProtection="1">
      <alignment horizontal="center" vertical="center" wrapText="1"/>
    </xf>
    <xf numFmtId="44" fontId="2" fillId="2" borderId="9" xfId="1" applyFont="1" applyFill="1" applyBorder="1" applyAlignment="1" applyProtection="1">
      <alignment horizontal="center" vertical="center" wrapText="1"/>
    </xf>
    <xf numFmtId="44" fontId="0" fillId="4" borderId="1" xfId="1" applyFont="1" applyFill="1" applyBorder="1" applyAlignment="1" applyProtection="1">
      <alignment horizontal="center" vertical="center" wrapText="1"/>
    </xf>
    <xf numFmtId="9" fontId="23" fillId="4" borderId="6" xfId="2" quotePrefix="1" applyFont="1" applyFill="1" applyBorder="1" applyAlignment="1" applyProtection="1">
      <alignment horizontal="center" vertical="center" wrapText="1"/>
    </xf>
    <xf numFmtId="0" fontId="13" fillId="4" borderId="2" xfId="0" quotePrefix="1" applyFont="1" applyFill="1" applyBorder="1" applyAlignment="1">
      <alignment horizontal="center" vertical="center" wrapText="1"/>
    </xf>
    <xf numFmtId="9" fontId="2" fillId="2" borderId="2" xfId="2" quotePrefix="1" applyFont="1" applyFill="1" applyBorder="1" applyAlignment="1" applyProtection="1">
      <alignment horizontal="center" vertical="center" wrapText="1"/>
    </xf>
    <xf numFmtId="44" fontId="2" fillId="2" borderId="2" xfId="1" applyFont="1" applyFill="1" applyBorder="1" applyAlignment="1" applyProtection="1">
      <alignment horizontal="center" vertical="center" wrapText="1"/>
    </xf>
    <xf numFmtId="4" fontId="2" fillId="2" borderId="6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0" fontId="13" fillId="4" borderId="6" xfId="0" quotePrefix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horizontal="right" vertical="center" indent="2"/>
    </xf>
    <xf numFmtId="0" fontId="14" fillId="0" borderId="0" xfId="0" applyFont="1" applyAlignment="1">
      <alignment vertical="center"/>
    </xf>
    <xf numFmtId="0" fontId="7" fillId="3" borderId="6" xfId="0" applyFont="1" applyFill="1" applyBorder="1" applyAlignment="1">
      <alignment horizontal="centerContinuous" vertical="center"/>
    </xf>
    <xf numFmtId="0" fontId="7" fillId="3" borderId="9" xfId="0" applyFont="1" applyFill="1" applyBorder="1" applyAlignment="1">
      <alignment horizontal="centerContinuous" vertical="center"/>
    </xf>
    <xf numFmtId="0" fontId="7" fillId="3" borderId="2" xfId="0" applyFont="1" applyFill="1" applyBorder="1" applyAlignment="1">
      <alignment horizontal="centerContinuous" vertical="center"/>
    </xf>
    <xf numFmtId="0" fontId="0" fillId="0" borderId="0" xfId="0" applyAlignment="1">
      <alignment horizontal="left" vertical="center" inden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9" fontId="9" fillId="3" borderId="2" xfId="2" quotePrefix="1" applyFont="1" applyFill="1" applyBorder="1" applyAlignment="1" applyProtection="1">
      <alignment horizontal="center" vertical="center" wrapText="1"/>
    </xf>
    <xf numFmtId="44" fontId="7" fillId="3" borderId="2" xfId="1" applyFont="1" applyFill="1" applyBorder="1" applyAlignment="1" applyProtection="1">
      <alignment horizontal="center" vertical="center" wrapText="1"/>
    </xf>
    <xf numFmtId="44" fontId="7" fillId="3" borderId="9" xfId="1" applyFont="1" applyFill="1" applyBorder="1" applyAlignment="1" applyProtection="1">
      <alignment horizontal="center" vertical="center" wrapText="1"/>
    </xf>
    <xf numFmtId="44" fontId="7" fillId="3" borderId="6" xfId="1" applyFont="1" applyFill="1" applyBorder="1" applyAlignment="1" applyProtection="1">
      <alignment horizontal="left" vertical="center"/>
    </xf>
    <xf numFmtId="44" fontId="7" fillId="3" borderId="2" xfId="1" applyFont="1" applyFill="1" applyBorder="1" applyAlignment="1" applyProtection="1">
      <alignment horizontal="left"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right" vertical="center" indent="2"/>
    </xf>
    <xf numFmtId="0" fontId="10" fillId="0" borderId="0" xfId="0" applyFont="1" applyAlignment="1">
      <alignment horizontal="left" vertical="center"/>
    </xf>
    <xf numFmtId="44" fontId="10" fillId="0" borderId="2" xfId="0" applyNumberFormat="1" applyFont="1" applyBorder="1" applyAlignment="1">
      <alignment horizontal="right" vertical="center" indent="2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17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9" fontId="2" fillId="4" borderId="0" xfId="2" applyFont="1" applyFill="1" applyAlignment="1" applyProtection="1">
      <alignment horizontal="center" vertical="center"/>
    </xf>
    <xf numFmtId="0" fontId="13" fillId="0" borderId="6" xfId="0" quotePrefix="1" applyFont="1" applyBorder="1" applyAlignment="1" applyProtection="1">
      <alignment horizontal="center" vertical="center" wrapText="1"/>
      <protection locked="0"/>
    </xf>
    <xf numFmtId="44" fontId="0" fillId="0" borderId="3" xfId="1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3" fillId="5" borderId="2" xfId="0" applyFont="1" applyFill="1" applyBorder="1" applyAlignment="1" applyProtection="1">
      <alignment horizontal="left" vertical="top" wrapText="1"/>
      <protection locked="0"/>
    </xf>
    <xf numFmtId="0" fontId="13" fillId="0" borderId="2" xfId="0" quotePrefix="1" applyFont="1" applyBorder="1" applyAlignment="1" applyProtection="1">
      <alignment horizontal="center" vertical="center" wrapText="1"/>
      <protection locked="0"/>
    </xf>
    <xf numFmtId="0" fontId="13" fillId="0" borderId="1" xfId="0" quotePrefix="1" applyFont="1" applyBorder="1" applyAlignment="1" applyProtection="1">
      <alignment horizontal="center" vertical="center" wrapText="1"/>
      <protection locked="0"/>
    </xf>
    <xf numFmtId="0" fontId="13" fillId="0" borderId="2" xfId="0" quotePrefix="1" applyFont="1" applyBorder="1" applyAlignment="1" applyProtection="1">
      <alignment horizontal="left" vertical="center" wrapText="1"/>
      <protection locked="0"/>
    </xf>
    <xf numFmtId="44" fontId="2" fillId="6" borderId="2" xfId="1" applyFont="1" applyFill="1" applyBorder="1" applyAlignment="1" applyProtection="1">
      <alignment horizontal="right" vertical="center"/>
      <protection locked="0"/>
    </xf>
    <xf numFmtId="9" fontId="13" fillId="0" borderId="8" xfId="2" quotePrefix="1" applyFont="1" applyBorder="1" applyAlignment="1" applyProtection="1">
      <alignment horizontal="center" vertical="center" wrapText="1"/>
      <protection locked="0"/>
    </xf>
    <xf numFmtId="44" fontId="0" fillId="0" borderId="1" xfId="1" applyFont="1" applyBorder="1" applyAlignment="1" applyProtection="1">
      <alignment horizontal="right" vertical="center"/>
      <protection locked="0"/>
    </xf>
    <xf numFmtId="9" fontId="13" fillId="4" borderId="8" xfId="2" quotePrefix="1" applyFont="1" applyFill="1" applyBorder="1" applyAlignment="1" applyProtection="1">
      <alignment horizontal="center" vertical="center" wrapText="1"/>
      <protection locked="0"/>
    </xf>
    <xf numFmtId="9" fontId="13" fillId="4" borderId="1" xfId="2" quotePrefix="1" applyFont="1" applyFill="1" applyBorder="1" applyAlignment="1" applyProtection="1">
      <alignment horizontal="center" vertical="center" wrapText="1"/>
      <protection locked="0"/>
    </xf>
    <xf numFmtId="44" fontId="0" fillId="4" borderId="1" xfId="1" applyFont="1" applyFill="1" applyBorder="1" applyAlignment="1" applyProtection="1">
      <alignment horizontal="right" vertical="center"/>
      <protection locked="0"/>
    </xf>
    <xf numFmtId="9" fontId="13" fillId="4" borderId="1" xfId="2" quotePrefix="1" applyFont="1" applyFill="1" applyBorder="1" applyAlignment="1" applyProtection="1">
      <alignment horizontal="center" vertical="center" wrapText="1"/>
    </xf>
    <xf numFmtId="44" fontId="13" fillId="0" borderId="12" xfId="1" quotePrefix="1" applyFont="1" applyBorder="1" applyAlignment="1" applyProtection="1">
      <alignment horizontal="center" vertical="center" wrapText="1"/>
      <protection locked="0"/>
    </xf>
    <xf numFmtId="43" fontId="8" fillId="2" borderId="0" xfId="5" applyFont="1" applyFill="1" applyAlignment="1">
      <alignment horizontal="center"/>
    </xf>
    <xf numFmtId="43" fontId="8" fillId="3" borderId="0" xfId="5" applyFont="1" applyFill="1" applyAlignment="1">
      <alignment horizontal="center" vertical="center"/>
    </xf>
    <xf numFmtId="0" fontId="2" fillId="4" borderId="0" xfId="0" applyFont="1" applyFill="1"/>
    <xf numFmtId="0" fontId="10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9" borderId="2" xfId="0" quotePrefix="1" applyFont="1" applyFill="1" applyBorder="1" applyAlignment="1">
      <alignment horizontal="center" vertical="center" wrapText="1"/>
    </xf>
    <xf numFmtId="9" fontId="9" fillId="9" borderId="2" xfId="2" quotePrefix="1" applyFont="1" applyFill="1" applyBorder="1" applyAlignment="1">
      <alignment horizontal="center" vertical="center" wrapText="1"/>
    </xf>
    <xf numFmtId="44" fontId="7" fillId="9" borderId="2" xfId="1" applyFont="1" applyFill="1" applyBorder="1" applyAlignment="1">
      <alignment horizontal="center" vertical="center" wrapText="1"/>
    </xf>
    <xf numFmtId="44" fontId="7" fillId="9" borderId="9" xfId="1" applyFont="1" applyFill="1" applyBorder="1" applyAlignment="1">
      <alignment horizontal="center" vertical="center" wrapText="1"/>
    </xf>
    <xf numFmtId="44" fontId="2" fillId="0" borderId="0" xfId="1" applyFont="1" applyBorder="1" applyAlignment="1" applyProtection="1">
      <alignment horizontal="center" vertical="center" wrapText="1"/>
      <protection locked="0"/>
    </xf>
    <xf numFmtId="0" fontId="7" fillId="9" borderId="6" xfId="0" applyFont="1" applyFill="1" applyBorder="1" applyAlignment="1">
      <alignment horizontal="center" vertical="center" wrapText="1"/>
    </xf>
    <xf numFmtId="0" fontId="9" fillId="9" borderId="6" xfId="0" quotePrefix="1" applyFont="1" applyFill="1" applyBorder="1" applyAlignment="1">
      <alignment horizontal="center" vertical="center" wrapText="1"/>
    </xf>
    <xf numFmtId="0" fontId="0" fillId="9" borderId="6" xfId="0" applyFill="1" applyBorder="1"/>
    <xf numFmtId="0" fontId="0" fillId="9" borderId="2" xfId="0" applyFill="1" applyBorder="1"/>
    <xf numFmtId="44" fontId="9" fillId="9" borderId="9" xfId="1" quotePrefix="1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10" borderId="2" xfId="0" quotePrefix="1" applyFont="1" applyFill="1" applyBorder="1" applyAlignment="1">
      <alignment horizontal="center" vertical="center" wrapText="1"/>
    </xf>
    <xf numFmtId="9" fontId="9" fillId="10" borderId="2" xfId="2" quotePrefix="1" applyFont="1" applyFill="1" applyBorder="1" applyAlignment="1">
      <alignment horizontal="center" vertical="center" wrapText="1"/>
    </xf>
    <xf numFmtId="44" fontId="7" fillId="10" borderId="2" xfId="1" applyFont="1" applyFill="1" applyBorder="1" applyAlignment="1">
      <alignment horizontal="center" vertical="center" wrapText="1"/>
    </xf>
    <xf numFmtId="44" fontId="7" fillId="10" borderId="9" xfId="1" applyFont="1" applyFill="1" applyBorder="1" applyAlignment="1">
      <alignment horizontal="center" vertical="center" wrapText="1"/>
    </xf>
    <xf numFmtId="0" fontId="9" fillId="10" borderId="6" xfId="0" quotePrefix="1" applyFont="1" applyFill="1" applyBorder="1" applyAlignment="1">
      <alignment horizontal="center" vertical="center" wrapText="1"/>
    </xf>
    <xf numFmtId="44" fontId="9" fillId="10" borderId="9" xfId="1" quotePrefix="1" applyFont="1" applyFill="1" applyBorder="1" applyAlignment="1">
      <alignment horizontal="center" vertical="center" wrapText="1"/>
    </xf>
    <xf numFmtId="0" fontId="0" fillId="10" borderId="2" xfId="0" applyFill="1" applyBorder="1"/>
    <xf numFmtId="0" fontId="0" fillId="10" borderId="6" xfId="0" applyFill="1" applyBorder="1"/>
    <xf numFmtId="0" fontId="2" fillId="11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9" fontId="10" fillId="4" borderId="0" xfId="0" applyNumberFormat="1" applyFont="1" applyFill="1" applyAlignment="1" applyProtection="1">
      <alignment horizontal="center" vertical="center"/>
      <protection locked="0"/>
    </xf>
    <xf numFmtId="9" fontId="0" fillId="4" borderId="0" xfId="0" applyNumberFormat="1" applyFill="1" applyAlignment="1">
      <alignment horizontal="center"/>
    </xf>
    <xf numFmtId="44" fontId="7" fillId="9" borderId="12" xfId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4" fillId="0" borderId="2" xfId="0" applyFont="1" applyBorder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4" fillId="0" borderId="2" xfId="0" applyFont="1" applyBorder="1" applyAlignment="1">
      <alignment horizontal="left" vertical="center" wrapText="1"/>
    </xf>
    <xf numFmtId="8" fontId="10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 wrapText="1"/>
    </xf>
    <xf numFmtId="4" fontId="13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left"/>
    </xf>
    <xf numFmtId="44" fontId="22" fillId="0" borderId="0" xfId="0" applyNumberFormat="1" applyFont="1" applyAlignment="1">
      <alignment horizontal="left" vertical="center"/>
    </xf>
    <xf numFmtId="8" fontId="22" fillId="0" borderId="0" xfId="0" applyNumberFormat="1" applyFont="1" applyAlignment="1">
      <alignment horizontal="left" vertical="center"/>
    </xf>
    <xf numFmtId="14" fontId="11" fillId="0" borderId="4" xfId="0" applyNumberFormat="1" applyFont="1" applyBorder="1" applyAlignment="1">
      <alignment horizontal="left" vertical="center"/>
    </xf>
    <xf numFmtId="44" fontId="15" fillId="4" borderId="2" xfId="0" applyNumberFormat="1" applyFont="1" applyFill="1" applyBorder="1" applyAlignment="1">
      <alignment horizontal="left" vertical="center"/>
    </xf>
    <xf numFmtId="44" fontId="9" fillId="7" borderId="2" xfId="0" applyNumberFormat="1" applyFont="1" applyFill="1" applyBorder="1" applyAlignment="1">
      <alignment horizontal="left" vertical="center"/>
    </xf>
    <xf numFmtId="14" fontId="11" fillId="0" borderId="1" xfId="0" applyNumberFormat="1" applyFont="1" applyBorder="1" applyAlignment="1">
      <alignment horizontal="left" vertical="center"/>
    </xf>
    <xf numFmtId="0" fontId="0" fillId="0" borderId="0" xfId="0" applyAlignment="1" applyProtection="1">
      <alignment horizontal="right" vertical="center"/>
      <protection locked="0"/>
    </xf>
    <xf numFmtId="43" fontId="13" fillId="0" borderId="1" xfId="1" quotePrefix="1" applyNumberFormat="1" applyFont="1" applyBorder="1" applyAlignment="1" applyProtection="1">
      <alignment horizontal="center" vertical="center" wrapText="1"/>
      <protection locked="0"/>
    </xf>
    <xf numFmtId="43" fontId="2" fillId="2" borderId="2" xfId="1" quotePrefix="1" applyNumberFormat="1" applyFont="1" applyFill="1" applyBorder="1" applyAlignment="1" applyProtection="1">
      <alignment horizontal="center" vertical="center" wrapText="1"/>
      <protection locked="0"/>
    </xf>
    <xf numFmtId="44" fontId="10" fillId="0" borderId="0" xfId="0" applyNumberFormat="1" applyFont="1" applyAlignment="1">
      <alignment horizontal="left" vertical="center"/>
    </xf>
    <xf numFmtId="0" fontId="18" fillId="13" borderId="0" xfId="0" applyFont="1" applyFill="1" applyAlignment="1">
      <alignment horizontal="centerContinuous" vertical="center"/>
    </xf>
    <xf numFmtId="0" fontId="18" fillId="13" borderId="4" xfId="0" applyFont="1" applyFill="1" applyBorder="1" applyAlignment="1">
      <alignment horizontal="centerContinuous" vertical="center"/>
    </xf>
    <xf numFmtId="0" fontId="19" fillId="13" borderId="4" xfId="0" applyFont="1" applyFill="1" applyBorder="1" applyAlignment="1">
      <alignment horizontal="centerContinuous" vertical="center"/>
    </xf>
    <xf numFmtId="0" fontId="19" fillId="13" borderId="5" xfId="0" applyFont="1" applyFill="1" applyBorder="1" applyAlignment="1">
      <alignment horizontal="centerContinuous" vertical="center"/>
    </xf>
    <xf numFmtId="0" fontId="18" fillId="13" borderId="6" xfId="0" applyFont="1" applyFill="1" applyBorder="1" applyAlignment="1" applyProtection="1">
      <alignment horizontal="centerContinuous" vertical="center"/>
      <protection locked="0"/>
    </xf>
    <xf numFmtId="0" fontId="18" fillId="13" borderId="2" xfId="0" applyFont="1" applyFill="1" applyBorder="1" applyAlignment="1" applyProtection="1">
      <alignment horizontal="centerContinuous" vertical="center"/>
      <protection locked="0"/>
    </xf>
    <xf numFmtId="0" fontId="19" fillId="13" borderId="2" xfId="0" applyFont="1" applyFill="1" applyBorder="1" applyAlignment="1" applyProtection="1">
      <alignment horizontal="centerContinuous" vertical="center"/>
      <protection locked="0"/>
    </xf>
    <xf numFmtId="0" fontId="19" fillId="13" borderId="9" xfId="0" applyFont="1" applyFill="1" applyBorder="1" applyAlignment="1" applyProtection="1">
      <alignment horizontal="centerContinuous" vertical="center"/>
      <protection locked="0"/>
    </xf>
    <xf numFmtId="0" fontId="18" fillId="13" borderId="0" xfId="0" applyFont="1" applyFill="1" applyAlignment="1" applyProtection="1">
      <alignment horizontal="centerContinuous" vertical="center"/>
      <protection locked="0"/>
    </xf>
    <xf numFmtId="0" fontId="18" fillId="13" borderId="4" xfId="0" applyFont="1" applyFill="1" applyBorder="1" applyAlignment="1" applyProtection="1">
      <alignment horizontal="centerContinuous" vertical="center"/>
      <protection locked="0"/>
    </xf>
    <xf numFmtId="0" fontId="19" fillId="13" borderId="4" xfId="0" applyFont="1" applyFill="1" applyBorder="1" applyAlignment="1" applyProtection="1">
      <alignment horizontal="centerContinuous" vertical="center"/>
      <protection locked="0"/>
    </xf>
    <xf numFmtId="0" fontId="19" fillId="13" borderId="5" xfId="0" applyFont="1" applyFill="1" applyBorder="1" applyAlignment="1" applyProtection="1">
      <alignment horizontal="centerContinuous" vertical="center"/>
      <protection locked="0"/>
    </xf>
    <xf numFmtId="0" fontId="29" fillId="4" borderId="0" xfId="0" applyFont="1" applyFill="1" applyAlignment="1">
      <alignment horizontal="left" vertical="center" indent="2"/>
    </xf>
    <xf numFmtId="0" fontId="29" fillId="0" borderId="0" xfId="0" applyFont="1" applyAlignment="1" applyProtection="1">
      <alignment horizontal="left" vertical="center" indent="2"/>
      <protection locked="0"/>
    </xf>
    <xf numFmtId="0" fontId="29" fillId="4" borderId="0" xfId="0" applyFont="1" applyFill="1" applyAlignment="1" applyProtection="1">
      <alignment horizontal="left" vertical="center" indent="2"/>
      <protection locked="0"/>
    </xf>
    <xf numFmtId="0" fontId="6" fillId="0" borderId="0" xfId="0" applyFont="1" applyAlignment="1">
      <alignment vertical="center"/>
    </xf>
    <xf numFmtId="0" fontId="31" fillId="0" borderId="12" xfId="6" applyFont="1" applyBorder="1"/>
    <xf numFmtId="0" fontId="31" fillId="15" borderId="12" xfId="6" applyFont="1" applyFill="1" applyBorder="1"/>
    <xf numFmtId="14" fontId="0" fillId="0" borderId="12" xfId="6" applyNumberFormat="1" applyFont="1" applyBorder="1"/>
    <xf numFmtId="0" fontId="31" fillId="12" borderId="12" xfId="6" applyFont="1" applyFill="1" applyBorder="1"/>
    <xf numFmtId="0" fontId="31" fillId="16" borderId="12" xfId="6" applyFont="1" applyFill="1" applyBorder="1"/>
    <xf numFmtId="0" fontId="31" fillId="17" borderId="12" xfId="6" applyFont="1" applyFill="1" applyBorder="1"/>
    <xf numFmtId="0" fontId="31" fillId="18" borderId="12" xfId="6" applyFont="1" applyFill="1" applyBorder="1"/>
    <xf numFmtId="0" fontId="31" fillId="19" borderId="12" xfId="6" applyFont="1" applyFill="1" applyBorder="1"/>
    <xf numFmtId="0" fontId="31" fillId="20" borderId="12" xfId="6" applyFont="1" applyFill="1" applyBorder="1"/>
    <xf numFmtId="0" fontId="31" fillId="21" borderId="12" xfId="6" applyFont="1" applyFill="1" applyBorder="1"/>
    <xf numFmtId="0" fontId="31" fillId="22" borderId="12" xfId="6" applyFont="1" applyFill="1" applyBorder="1"/>
    <xf numFmtId="2" fontId="13" fillId="0" borderId="6" xfId="0" quotePrefix="1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/>
    <xf numFmtId="0" fontId="0" fillId="0" borderId="17" xfId="0" applyBorder="1"/>
    <xf numFmtId="0" fontId="2" fillId="0" borderId="1" xfId="0" applyFont="1" applyBorder="1"/>
    <xf numFmtId="0" fontId="0" fillId="0" borderId="1" xfId="0" applyBorder="1"/>
    <xf numFmtId="0" fontId="0" fillId="0" borderId="18" xfId="0" applyBorder="1"/>
    <xf numFmtId="0" fontId="33" fillId="23" borderId="25" xfId="0" applyFont="1" applyFill="1" applyBorder="1" applyAlignment="1">
      <alignment horizontal="center" vertical="center"/>
    </xf>
    <xf numFmtId="0" fontId="33" fillId="23" borderId="19" xfId="0" applyFont="1" applyFill="1" applyBorder="1" applyAlignment="1">
      <alignment horizontal="center" vertical="center"/>
    </xf>
    <xf numFmtId="0" fontId="34" fillId="23" borderId="19" xfId="0" applyFont="1" applyFill="1" applyBorder="1" applyAlignment="1">
      <alignment horizontal="center" vertical="center" wrapText="1"/>
    </xf>
    <xf numFmtId="0" fontId="33" fillId="23" borderId="20" xfId="0" applyFont="1" applyFill="1" applyBorder="1" applyAlignment="1">
      <alignment horizontal="center" vertical="center"/>
    </xf>
    <xf numFmtId="0" fontId="0" fillId="0" borderId="26" xfId="0" applyBorder="1"/>
    <xf numFmtId="0" fontId="2" fillId="0" borderId="12" xfId="0" applyFont="1" applyBorder="1" applyAlignment="1">
      <alignment horizontal="center" vertical="center"/>
    </xf>
    <xf numFmtId="0" fontId="0" fillId="0" borderId="27" xfId="0" applyBorder="1"/>
    <xf numFmtId="0" fontId="0" fillId="0" borderId="30" xfId="0" applyBorder="1"/>
    <xf numFmtId="0" fontId="2" fillId="0" borderId="23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" fillId="0" borderId="0" xfId="0" applyFont="1"/>
    <xf numFmtId="0" fontId="25" fillId="0" borderId="26" xfId="0" applyFont="1" applyBorder="1"/>
    <xf numFmtId="0" fontId="25" fillId="0" borderId="30" xfId="0" applyFont="1" applyBorder="1"/>
    <xf numFmtId="0" fontId="0" fillId="0" borderId="21" xfId="0" applyBorder="1"/>
    <xf numFmtId="0" fontId="0" fillId="0" borderId="29" xfId="0" applyBorder="1"/>
    <xf numFmtId="0" fontId="0" fillId="0" borderId="22" xfId="0" applyBorder="1"/>
    <xf numFmtId="0" fontId="22" fillId="17" borderId="12" xfId="0" applyFont="1" applyFill="1" applyBorder="1" applyAlignment="1">
      <alignment vertical="center"/>
    </xf>
    <xf numFmtId="1" fontId="13" fillId="0" borderId="6" xfId="0" quotePrefix="1" applyNumberFormat="1" applyFont="1" applyBorder="1" applyAlignment="1" applyProtection="1">
      <alignment horizontal="center" vertical="center" wrapText="1"/>
      <protection locked="0"/>
    </xf>
    <xf numFmtId="43" fontId="13" fillId="0" borderId="6" xfId="0" quotePrefix="1" applyNumberFormat="1" applyFont="1" applyBorder="1" applyAlignment="1" applyProtection="1">
      <alignment horizontal="center" vertical="center" wrapText="1"/>
      <protection locked="0"/>
    </xf>
    <xf numFmtId="0" fontId="31" fillId="24" borderId="12" xfId="6" applyFont="1" applyFill="1" applyBorder="1"/>
    <xf numFmtId="0" fontId="0" fillId="25" borderId="14" xfId="0" applyFill="1" applyBorder="1"/>
    <xf numFmtId="44" fontId="13" fillId="0" borderId="1" xfId="1" quotePrefix="1" applyFont="1" applyBorder="1" applyAlignment="1" applyProtection="1">
      <alignment horizontal="center" vertical="center" wrapText="1"/>
      <protection locked="0"/>
    </xf>
    <xf numFmtId="17" fontId="20" fillId="0" borderId="2" xfId="0" applyNumberFormat="1" applyFont="1" applyBorder="1" applyAlignment="1" applyProtection="1">
      <alignment horizontal="center" vertical="center"/>
      <protection locked="0"/>
    </xf>
    <xf numFmtId="44" fontId="0" fillId="26" borderId="9" xfId="1" applyFont="1" applyFill="1" applyBorder="1" applyAlignment="1" applyProtection="1">
      <alignment horizontal="center" vertical="center" wrapText="1"/>
      <protection locked="0"/>
    </xf>
    <xf numFmtId="0" fontId="22" fillId="26" borderId="12" xfId="0" applyFont="1" applyFill="1" applyBorder="1" applyAlignment="1">
      <alignment vertical="center"/>
    </xf>
    <xf numFmtId="0" fontId="22" fillId="26" borderId="0" xfId="0" applyFont="1" applyFill="1" applyAlignment="1">
      <alignment vertical="center"/>
    </xf>
    <xf numFmtId="167" fontId="7" fillId="26" borderId="0" xfId="0" applyNumberFormat="1" applyFont="1" applyFill="1" applyAlignment="1">
      <alignment horizontal="center" vertical="center"/>
    </xf>
    <xf numFmtId="2" fontId="22" fillId="26" borderId="12" xfId="0" applyNumberFormat="1" applyFont="1" applyFill="1" applyBorder="1" applyAlignment="1">
      <alignment vertical="center"/>
    </xf>
    <xf numFmtId="2" fontId="22" fillId="1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27" borderId="0" xfId="0" applyFill="1"/>
    <xf numFmtId="0" fontId="37" fillId="27" borderId="0" xfId="0" applyFont="1" applyFill="1"/>
    <xf numFmtId="44" fontId="37" fillId="27" borderId="0" xfId="0" applyNumberFormat="1" applyFont="1" applyFill="1"/>
    <xf numFmtId="14" fontId="0" fillId="0" borderId="0" xfId="0" applyNumberFormat="1" applyAlignment="1">
      <alignment horizontal="center"/>
    </xf>
    <xf numFmtId="44" fontId="0" fillId="0" borderId="0" xfId="1" applyFont="1" applyFill="1" applyBorder="1"/>
    <xf numFmtId="44" fontId="0" fillId="0" borderId="0" xfId="0" applyNumberFormat="1"/>
    <xf numFmtId="43" fontId="8" fillId="0" borderId="0" xfId="5" applyFont="1" applyFill="1" applyBorder="1" applyAlignment="1">
      <alignment horizontal="center"/>
    </xf>
    <xf numFmtId="4" fontId="2" fillId="0" borderId="0" xfId="0" applyNumberFormat="1" applyFont="1" applyAlignment="1" applyProtection="1">
      <alignment horizontal="center" vertical="center" wrapText="1"/>
      <protection locked="0"/>
    </xf>
    <xf numFmtId="44" fontId="0" fillId="0" borderId="0" xfId="1" applyFont="1" applyFill="1" applyBorder="1" applyAlignment="1" applyProtection="1">
      <alignment horizontal="center" vertical="center" wrapText="1"/>
      <protection locked="0"/>
    </xf>
    <xf numFmtId="9" fontId="2" fillId="0" borderId="0" xfId="2" quotePrefix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7" fillId="0" borderId="0" xfId="0" applyFont="1" applyAlignment="1" applyProtection="1">
      <alignment horizontal="centerContinuous" vertical="center"/>
      <protection locked="0"/>
    </xf>
    <xf numFmtId="44" fontId="2" fillId="0" borderId="0" xfId="1" applyFont="1" applyFill="1" applyBorder="1" applyAlignment="1">
      <alignment horizontal="center" vertical="center" wrapText="1"/>
    </xf>
    <xf numFmtId="0" fontId="38" fillId="0" borderId="0" xfId="0" applyFont="1" applyAlignment="1" applyProtection="1">
      <alignment horizontal="center" vertical="center" wrapText="1"/>
      <protection locked="0"/>
    </xf>
    <xf numFmtId="9" fontId="38" fillId="0" borderId="0" xfId="2" applyFont="1" applyFill="1" applyBorder="1" applyAlignment="1" applyProtection="1">
      <alignment horizontal="center" vertical="center" wrapText="1"/>
      <protection locked="0"/>
    </xf>
    <xf numFmtId="4" fontId="38" fillId="0" borderId="0" xfId="2" applyNumberFormat="1" applyFont="1" applyFill="1" applyBorder="1" applyAlignment="1" applyProtection="1">
      <alignment horizontal="center" vertical="center" wrapText="1"/>
      <protection locked="0"/>
    </xf>
    <xf numFmtId="44" fontId="38" fillId="0" borderId="0" xfId="1" applyFont="1" applyFill="1" applyBorder="1" applyAlignment="1" applyProtection="1">
      <alignment horizontal="center" vertical="center" wrapText="1"/>
      <protection locked="0"/>
    </xf>
    <xf numFmtId="44" fontId="2" fillId="0" borderId="0" xfId="0" applyNumberFormat="1" applyFont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12" xfId="6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12" xfId="6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/>
    </xf>
    <xf numFmtId="9" fontId="0" fillId="0" borderId="0" xfId="2" applyFont="1" applyBorder="1" applyAlignment="1">
      <alignment horizontal="center" vertical="center"/>
    </xf>
    <xf numFmtId="0" fontId="13" fillId="0" borderId="0" xfId="0" quotePrefix="1" applyFont="1" applyAlignment="1" applyProtection="1">
      <alignment horizontal="center" vertical="center" wrapText="1"/>
      <protection locked="0"/>
    </xf>
    <xf numFmtId="14" fontId="0" fillId="0" borderId="0" xfId="0" applyNumberFormat="1" applyAlignment="1">
      <alignment horizontal="left"/>
    </xf>
    <xf numFmtId="10" fontId="0" fillId="0" borderId="0" xfId="0" applyNumberFormat="1" applyAlignment="1">
      <alignment horizontal="center" vertical="center"/>
    </xf>
    <xf numFmtId="0" fontId="0" fillId="0" borderId="0" xfId="2" applyNumberFormat="1" applyFont="1" applyBorder="1" applyAlignment="1">
      <alignment horizontal="center" vertical="center"/>
    </xf>
    <xf numFmtId="9" fontId="37" fillId="4" borderId="0" xfId="2" applyFont="1" applyFill="1"/>
    <xf numFmtId="0" fontId="37" fillId="4" borderId="0" xfId="0" applyFont="1" applyFill="1"/>
    <xf numFmtId="2" fontId="37" fillId="27" borderId="0" xfId="0" applyNumberFormat="1" applyFont="1" applyFill="1"/>
    <xf numFmtId="4" fontId="0" fillId="0" borderId="12" xfId="6" applyNumberFormat="1" applyFont="1" applyBorder="1" applyAlignment="1">
      <alignment horizontal="center" vertical="center"/>
    </xf>
    <xf numFmtId="0" fontId="37" fillId="27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9" fillId="27" borderId="0" xfId="0" applyFont="1" applyFill="1"/>
    <xf numFmtId="44" fontId="39" fillId="27" borderId="0" xfId="0" applyNumberFormat="1" applyFont="1" applyFill="1"/>
    <xf numFmtId="0" fontId="0" fillId="29" borderId="0" xfId="0" applyFill="1"/>
    <xf numFmtId="0" fontId="36" fillId="29" borderId="0" xfId="0" applyFont="1" applyFill="1"/>
    <xf numFmtId="0" fontId="8" fillId="30" borderId="0" xfId="0" applyFont="1" applyFill="1"/>
    <xf numFmtId="0" fontId="0" fillId="30" borderId="0" xfId="0" applyFill="1"/>
    <xf numFmtId="14" fontId="36" fillId="29" borderId="0" xfId="0" applyNumberFormat="1" applyFont="1" applyFill="1" applyAlignment="1">
      <alignment horizontal="center"/>
    </xf>
    <xf numFmtId="0" fontId="36" fillId="29" borderId="0" xfId="0" applyFont="1" applyFill="1" applyAlignment="1">
      <alignment horizontal="center"/>
    </xf>
    <xf numFmtId="0" fontId="40" fillId="27" borderId="0" xfId="0" applyFont="1" applyFill="1" applyAlignment="1">
      <alignment horizontal="left" vertical="center"/>
    </xf>
    <xf numFmtId="44" fontId="0" fillId="27" borderId="0" xfId="0" applyNumberFormat="1" applyFill="1" applyAlignment="1">
      <alignment horizontal="center"/>
    </xf>
    <xf numFmtId="0" fontId="0" fillId="27" borderId="0" xfId="0" applyFill="1" applyAlignment="1">
      <alignment horizontal="center"/>
    </xf>
    <xf numFmtId="0" fontId="8" fillId="28" borderId="0" xfId="0" applyFont="1" applyFill="1" applyAlignment="1">
      <alignment horizontal="center"/>
    </xf>
    <xf numFmtId="0" fontId="22" fillId="26" borderId="6" xfId="0" applyFont="1" applyFill="1" applyBorder="1" applyAlignment="1">
      <alignment horizontal="center" vertical="center"/>
    </xf>
    <xf numFmtId="0" fontId="22" fillId="26" borderId="9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center"/>
    </xf>
    <xf numFmtId="167" fontId="7" fillId="13" borderId="12" xfId="0" applyNumberFormat="1" applyFont="1" applyFill="1" applyBorder="1" applyAlignment="1">
      <alignment horizontal="center" vertical="center"/>
    </xf>
    <xf numFmtId="0" fontId="30" fillId="14" borderId="10" xfId="0" applyFont="1" applyFill="1" applyBorder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7" fillId="23" borderId="25" xfId="0" applyFont="1" applyFill="1" applyBorder="1" applyAlignment="1">
      <alignment horizontal="center"/>
    </xf>
    <xf numFmtId="0" fontId="7" fillId="23" borderId="20" xfId="0" applyFont="1" applyFill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0" fontId="0" fillId="0" borderId="0" xfId="2" applyNumberFormat="1" applyFont="1" applyFill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</cellXfs>
  <cellStyles count="10">
    <cellStyle name="Moeda" xfId="1" builtinId="4"/>
    <cellStyle name="Moeda 2" xfId="4" xr:uid="{562A1090-7796-4509-A0AC-90E362386AFE}"/>
    <cellStyle name="Moeda 3" xfId="9" xr:uid="{179E9B0C-78CE-42C5-98BF-BC3B07211F8F}"/>
    <cellStyle name="Normal" xfId="0" builtinId="0"/>
    <cellStyle name="Normal 14" xfId="6" xr:uid="{4E8B1CDC-1186-4C8C-A14A-3BF77483A9D1}"/>
    <cellStyle name="Normal 2" xfId="7" xr:uid="{597E4EEB-3C20-4FED-9EB0-211720CD0000}"/>
    <cellStyle name="Porcentagem" xfId="2" builtinId="5"/>
    <cellStyle name="Vírgula" xfId="5" builtinId="3"/>
    <cellStyle name="Vírgula 2" xfId="3" xr:uid="{E921FB45-8868-4634-94EA-F9D3BADF6571}"/>
    <cellStyle name="Vírgula 3" xfId="8" xr:uid="{C4EB11D0-1514-4C18-AC6A-E18E180CB8C1}"/>
  </cellStyles>
  <dxfs count="315"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4" formatCode="_-&quot;R$&quot;\ * #,##0.00_-;\-&quot;R$&quot;\ * #,##0.00_-;_-&quot;R$&quot;\ * &quot;-&quot;??_-;_-@_-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4" formatCode="_-&quot;R$&quot;\ * #,##0.00_-;\-&quot;R$&quot;\ * #,##0.00_-;_-&quot;R$&quot;\ * &quot;-&quot;??_-;_-@_-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4" formatCode="_-&quot;R$&quot;\ * #,##0.00_-;\-&quot;R$&quot;\ * #,##0.00_-;_-&quot;R$&quot;\ * &quot;-&quot;??_-;_-@_-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4" formatCode="0.00%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Continuous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&quot;MEDIÇÃO&quot;\ #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14" formatCode="0.00%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  <dxf>
      <numFmt numFmtId="0" formatCode="General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3" formatCode="0%"/>
    </dxf>
  </dxfs>
  <tableStyles count="0" defaultTableStyle="TableStyleMedium2" defaultPivotStyle="PivotStyleLight16"/>
  <colors>
    <mruColors>
      <color rgb="FF666666"/>
      <color rgb="FF356B30"/>
      <color rgb="FF3A7D34"/>
      <color rgb="FF8A8A8A"/>
      <color rgb="FF707070"/>
      <color rgb="FF6F6F6F"/>
      <color rgb="FFE6F3E5"/>
      <color rgb="FF5B8A47"/>
      <color rgb="FF4E7D3A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1" Type="http://schemas.openxmlformats.org/officeDocument/2006/relationships/pivotCacheDefinition" Target="pivotCache/pivotCacheDefinition3.xml"/><Relationship Id="rId34" Type="http://schemas.openxmlformats.org/officeDocument/2006/relationships/customXml" Target="../customXml/item2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50" Type="http://schemas.openxmlformats.org/officeDocument/2006/relationships/customXml" Target="../customXml/item18.xml"/><Relationship Id="rId55" Type="http://schemas.openxmlformats.org/officeDocument/2006/relationships/customXml" Target="../customXml/item23.xml"/><Relationship Id="rId63" Type="http://schemas.openxmlformats.org/officeDocument/2006/relationships/customXml" Target="../customXml/item3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3" Type="http://schemas.openxmlformats.org/officeDocument/2006/relationships/customXml" Target="../customXml/item21.xml"/><Relationship Id="rId58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9.xml"/><Relationship Id="rId19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56" Type="http://schemas.openxmlformats.org/officeDocument/2006/relationships/customXml" Target="../customXml/item24.xml"/><Relationship Id="rId64" Type="http://schemas.openxmlformats.org/officeDocument/2006/relationships/customXml" Target="../customXml/item3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59" Type="http://schemas.openxmlformats.org/officeDocument/2006/relationships/customXml" Target="../customXml/item27.xml"/><Relationship Id="rId20" Type="http://schemas.openxmlformats.org/officeDocument/2006/relationships/pivotCacheDefinition" Target="pivotCache/pivotCacheDefinition2.xml"/><Relationship Id="rId41" Type="http://schemas.openxmlformats.org/officeDocument/2006/relationships/customXml" Target="../customXml/item9.xml"/><Relationship Id="rId54" Type="http://schemas.openxmlformats.org/officeDocument/2006/relationships/customXml" Target="../customXml/item22.xml"/><Relationship Id="rId62" Type="http://schemas.openxmlformats.org/officeDocument/2006/relationships/customXml" Target="../customXml/item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styles" Target="style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Relationship Id="rId57" Type="http://schemas.openxmlformats.org/officeDocument/2006/relationships/customXml" Target="../customXml/item25.xml"/><Relationship Id="rId10" Type="http://schemas.openxmlformats.org/officeDocument/2006/relationships/worksheet" Target="worksheets/sheet10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52" Type="http://schemas.openxmlformats.org/officeDocument/2006/relationships/customXml" Target="../customXml/item20.xml"/><Relationship Id="rId60" Type="http://schemas.openxmlformats.org/officeDocument/2006/relationships/customXml" Target="../customXml/item28.xml"/><Relationship Id="rId65" Type="http://schemas.openxmlformats.org/officeDocument/2006/relationships/customXml" Target="../customXml/item3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customXml" Target="../customXml/item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MEDIÇÕES - CTF.2681.xlsx]PIVOT!Tabela dinâmica2</c:name>
    <c:fmtId val="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Montserrat Bold" panose="000008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Montserrat Bold" panose="000008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7.5121292050734272E-3"/>
              <c:y val="-7.67692826152332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Montserrat Bold" panose="000008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4.1316710627903097E-2"/>
              <c:y val="-9.59616032690415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Montserrat Bold" panose="000008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-4.8828839832976381E-2"/>
              <c:y val="-0.10075968343249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Montserrat Bold" panose="000008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7.512129205073291E-2"/>
              <c:y val="-9.59616032690415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Montserrat Bold" panose="000008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3.7560646025366451E-3"/>
              <c:y val="4.31827214710687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Montserrat Bold" panose="000008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1.8780323012683225E-3"/>
              <c:y val="0.143942404903562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Montserrat Bold" panose="000008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1.6902290711415038E-2"/>
              <c:y val="-6.71731222883290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Montserrat Bold" panose="000008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>
            <a:solidFill>
              <a:schemeClr val="accent1">
                <a:lumMod val="75000"/>
              </a:schemeClr>
            </a:solidFill>
          </a:ln>
          <a:effectLst/>
        </c:spPr>
        <c:marker>
          <c:symbol val="circle"/>
          <c:size val="6"/>
          <c:spPr>
            <a:solidFill>
              <a:schemeClr val="accent1">
                <a:lumMod val="50000"/>
              </a:schemeClr>
            </a:solidFill>
            <a:ln w="6350">
              <a:solidFill>
                <a:schemeClr val="accent1">
                  <a:lumMod val="7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50000"/>
              <a:alpha val="10000"/>
            </a:schemeClr>
          </a:solidFill>
          <a:ln w="444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7"/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8100">
            <a:solidFill>
              <a:schemeClr val="accent1">
                <a:lumMod val="7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7334699515571179E-2"/>
          <c:y val="0.1343462445766582"/>
          <c:w val="0.92200694517047732"/>
          <c:h val="0.75014772042078026"/>
        </c:manualLayout>
      </c:layout>
      <c:areaChart>
        <c:grouping val="standard"/>
        <c:varyColors val="0"/>
        <c:ser>
          <c:idx val="0"/>
          <c:order val="0"/>
          <c:tx>
            <c:strRef>
              <c:f>PIVOT!$B$2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38100">
              <a:solidFill>
                <a:schemeClr val="accent1">
                  <a:lumMod val="75000"/>
                </a:schemeClr>
              </a:solidFill>
            </a:ln>
            <a:effectLst/>
          </c:spPr>
          <c:cat>
            <c:strRef>
              <c:f>PIVOT!$A$3:$A$8</c:f>
              <c:strCache>
                <c:ptCount val="5"/>
                <c:pt idx="0">
                  <c:v>23/12/2025</c:v>
                </c:pt>
                <c:pt idx="1">
                  <c:v>21/10/2025</c:v>
                </c:pt>
                <c:pt idx="2">
                  <c:v>27/04/2026</c:v>
                </c:pt>
                <c:pt idx="3">
                  <c:v>24/11/2025</c:v>
                </c:pt>
                <c:pt idx="4">
                  <c:v>22/04/2026</c:v>
                </c:pt>
              </c:strCache>
            </c:strRef>
          </c:cat>
          <c:val>
            <c:numRef>
              <c:f>PIVOT!$B$3:$B$8</c:f>
              <c:numCache>
                <c:formatCode>0%</c:formatCode>
                <c:ptCount val="5"/>
                <c:pt idx="0">
                  <c:v>4.4680904854336206E-2</c:v>
                </c:pt>
                <c:pt idx="1">
                  <c:v>9.9100819964549669E-2</c:v>
                </c:pt>
                <c:pt idx="2">
                  <c:v>0.11182586076614297</c:v>
                </c:pt>
                <c:pt idx="3">
                  <c:v>0.24315783264183646</c:v>
                </c:pt>
                <c:pt idx="4">
                  <c:v>0.2605431036177881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0-4763-A63E-934757C53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4533567"/>
        <c:axId val="844534527"/>
      </c:areaChart>
      <c:catAx>
        <c:axId val="84453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666666"/>
                </a:solidFill>
                <a:latin typeface="Montserrat SemiBold" panose="00000700000000000000" pitchFamily="2" charset="0"/>
                <a:ea typeface="+mn-ea"/>
                <a:cs typeface="+mn-cs"/>
              </a:defRPr>
            </a:pPr>
            <a:endParaRPr lang="pt-BR"/>
          </a:p>
        </c:txPr>
        <c:crossAx val="844534527"/>
        <c:crosses val="autoZero"/>
        <c:auto val="1"/>
        <c:lblAlgn val="ctr"/>
        <c:lblOffset val="100"/>
        <c:noMultiLvlLbl val="0"/>
      </c:catAx>
      <c:valAx>
        <c:axId val="84453452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666666"/>
                </a:solidFill>
                <a:latin typeface="Montserrat Bold" panose="00000800000000000000" pitchFamily="2" charset="0"/>
                <a:ea typeface="+mn-ea"/>
                <a:cs typeface="+mn-cs"/>
              </a:defRPr>
            </a:pPr>
            <a:endParaRPr lang="pt-BR"/>
          </a:p>
        </c:txPr>
        <c:crossAx val="84453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MEDIÇÕES - CTF.2681.xlsx]PIVOT!Tabela dinâmica3</c:name>
    <c:fmtId val="2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accent3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Montserrat semiBold" panose="000007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50000"/>
            </a:schemeClr>
          </a:solidFill>
          <a:ln>
            <a:solidFill>
              <a:schemeClr val="accent3">
                <a:lumMod val="50000"/>
              </a:schemeClr>
            </a:solidFill>
            <a:round/>
          </a:ln>
          <a:effectLst/>
        </c:spPr>
        <c:dLbl>
          <c:idx val="0"/>
          <c:layout>
            <c:manualLayout>
              <c:x val="0.41725610387860679"/>
              <c:y val="-0.14988327360962742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noAutofit/>
              </a:bodyPr>
              <a:lstStyle/>
              <a:p>
                <a:pPr algn="l">
                  <a:defRPr sz="105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Montserrat semiBold" panose="00000700000000000000" pitchFamily="2" charset="0"/>
                    <a:ea typeface="+mn-ea"/>
                    <a:cs typeface="+mn-cs"/>
                  </a:defRPr>
                </a:pPr>
                <a:fld id="{BB50A026-622B-482A-9F51-2AD7A18245C6}" type="CATEGORYNAME">
                  <a:rPr lang="en-US">
                    <a:latin typeface="Montserrat semiBold" panose="00000700000000000000" pitchFamily="2" charset="0"/>
                  </a:rPr>
                  <a:pPr algn="l">
                    <a:defRPr sz="1050">
                      <a:solidFill>
                        <a:schemeClr val="accent3">
                          <a:lumMod val="50000"/>
                        </a:schemeClr>
                      </a:solidFill>
                      <a:latin typeface="Montserrat semiBold" panose="00000700000000000000" pitchFamily="2" charset="0"/>
                    </a:defRPr>
                  </a:pPr>
                  <a:t>[NOME DA CATEGORIA]</a:t>
                </a:fld>
                <a:r>
                  <a:rPr lang="en-US" baseline="0">
                    <a:latin typeface="Montserrat semiBold" panose="00000700000000000000" pitchFamily="2" charset="0"/>
                  </a:rPr>
                  <a:t>       </a:t>
                </a:r>
                <a:fld id="{765BF1FE-4119-49A2-88CB-515249458790}" type="VALUE">
                  <a:rPr lang="en-US" baseline="0">
                    <a:latin typeface="Montserrat semiBold" panose="00000700000000000000" pitchFamily="2" charset="0"/>
                  </a:rPr>
                  <a:pPr algn="l">
                    <a:defRPr sz="1050">
                      <a:solidFill>
                        <a:schemeClr val="accent3">
                          <a:lumMod val="50000"/>
                        </a:schemeClr>
                      </a:solidFill>
                      <a:latin typeface="Montserrat semiBold" panose="00000700000000000000" pitchFamily="2" charset="0"/>
                    </a:defRPr>
                  </a:pPr>
                  <a:t>[VALOR]</a:t>
                </a:fld>
                <a:r>
                  <a:rPr lang="en-US" baseline="0">
                    <a:latin typeface="Montserrat semiBold" panose="00000700000000000000" pitchFamily="2" charset="0"/>
                  </a:rPr>
                  <a:t>  </a:t>
                </a:r>
                <a:fld id="{38595352-C741-4640-9061-5CA539CE04DC}" type="PERCENTAGE">
                  <a:rPr lang="en-US" baseline="0">
                    <a:latin typeface="Montserrat semiBold" panose="00000700000000000000" pitchFamily="2" charset="0"/>
                  </a:rPr>
                  <a:pPr algn="l">
                    <a:defRPr sz="1050">
                      <a:solidFill>
                        <a:schemeClr val="accent3">
                          <a:lumMod val="50000"/>
                        </a:schemeClr>
                      </a:solidFill>
                      <a:latin typeface="Montserrat semiBold" panose="00000700000000000000" pitchFamily="2" charset="0"/>
                    </a:defRPr>
                  </a:pPr>
                  <a:t>[PORCENTAGEM]</a:t>
                </a:fld>
                <a:endParaRPr lang="en-US" baseline="0">
                  <a:latin typeface="Montserrat semiBold" panose="00000700000000000000" pitchFamily="2" charset="0"/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l">
                <a:defRPr sz="105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Montserrat semiBold" panose="000007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3015249564640722"/>
                  <c:h val="0.26840885123887709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rgbClr val="707070"/>
          </a:solidFill>
          <a:ln>
            <a:solidFill>
              <a:schemeClr val="accent3">
                <a:lumMod val="50000"/>
              </a:schemeClr>
            </a:solidFill>
            <a:round/>
          </a:ln>
          <a:effectLst/>
        </c:spPr>
        <c:dLbl>
          <c:idx val="0"/>
          <c:layout>
            <c:manualLayout>
              <c:x val="0.48644944257911354"/>
              <c:y val="0.16781685631160534"/>
            </c:manualLayout>
          </c:layout>
          <c:tx>
            <c:rich>
              <a:bodyPr rot="0" spcFirstLastPara="1" vertOverflow="ellipsis" vert="horz" wrap="square" lIns="38100" tIns="19050" rIns="38100" bIns="19050" anchor="ctr" anchorCtr="0">
                <a:noAutofit/>
              </a:bodyPr>
              <a:lstStyle/>
              <a:p>
                <a:pPr algn="l">
                  <a:defRPr sz="105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Montserrat semiBold" panose="00000700000000000000" pitchFamily="2" charset="0"/>
                    <a:ea typeface="+mn-ea"/>
                    <a:cs typeface="+mn-cs"/>
                  </a:defRPr>
                </a:pPr>
                <a:fld id="{CE0DC934-0488-423E-A9E9-E193B15BD877}" type="CATEGORYNAME">
                  <a:rPr lang="en-US">
                    <a:latin typeface="Montserrat semiBold" panose="00000700000000000000" pitchFamily="2" charset="0"/>
                  </a:rPr>
                  <a:pPr algn="l">
                    <a:defRPr sz="1050">
                      <a:solidFill>
                        <a:schemeClr val="accent3">
                          <a:lumMod val="50000"/>
                        </a:schemeClr>
                      </a:solidFill>
                      <a:latin typeface="Montserrat semiBold" panose="00000700000000000000" pitchFamily="2" charset="0"/>
                    </a:defRPr>
                  </a:pPr>
                  <a:t>[NOME DA CATEGORIA]</a:t>
                </a:fld>
                <a:r>
                  <a:rPr lang="en-US" baseline="0">
                    <a:latin typeface="Montserrat semiBold" panose="00000700000000000000" pitchFamily="2" charset="0"/>
                  </a:rPr>
                  <a:t>        </a:t>
                </a:r>
                <a:fld id="{0DB75839-9D75-46C6-99FD-A9A7A1DAC6F6}" type="VALUE">
                  <a:rPr lang="en-US" baseline="0">
                    <a:latin typeface="Montserrat semiBold" panose="00000700000000000000" pitchFamily="2" charset="0"/>
                  </a:rPr>
                  <a:pPr algn="l">
                    <a:defRPr sz="1050">
                      <a:solidFill>
                        <a:schemeClr val="accent3">
                          <a:lumMod val="50000"/>
                        </a:schemeClr>
                      </a:solidFill>
                      <a:latin typeface="Montserrat semiBold" panose="00000700000000000000" pitchFamily="2" charset="0"/>
                    </a:defRPr>
                  </a:pPr>
                  <a:t>[VALOR]</a:t>
                </a:fld>
                <a:r>
                  <a:rPr lang="en-US" baseline="0">
                    <a:latin typeface="Montserrat semiBold" panose="00000700000000000000" pitchFamily="2" charset="0"/>
                  </a:rPr>
                  <a:t>    </a:t>
                </a:r>
                <a:fld id="{931684A3-94D5-4A73-9712-1228D3E0A449}" type="PERCENTAGE">
                  <a:rPr lang="en-US" baseline="0">
                    <a:latin typeface="Montserrat semiBold" panose="00000700000000000000" pitchFamily="2" charset="0"/>
                  </a:rPr>
                  <a:pPr algn="l">
                    <a:defRPr sz="1050">
                      <a:solidFill>
                        <a:schemeClr val="accent3">
                          <a:lumMod val="50000"/>
                        </a:schemeClr>
                      </a:solidFill>
                      <a:latin typeface="Montserrat semiBold" panose="00000700000000000000" pitchFamily="2" charset="0"/>
                    </a:defRPr>
                  </a:pPr>
                  <a:t>[PORCENTAGEM]</a:t>
                </a:fld>
                <a:endParaRPr lang="en-US" baseline="0">
                  <a:latin typeface="Montserrat semiBold" panose="00000700000000000000" pitchFamily="2" charset="0"/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l">
                <a:defRPr sz="1050" b="0" i="0" u="none" strike="noStrike" kern="1200" baseline="0">
                  <a:solidFill>
                    <a:schemeClr val="accent3">
                      <a:lumMod val="50000"/>
                    </a:schemeClr>
                  </a:solidFill>
                  <a:latin typeface="Montserrat semiBold" panose="000007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6630780557651"/>
                  <c:h val="0.21950896362386477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solidFill>
              <a:schemeClr val="accent3">
                <a:lumMod val="50000"/>
              </a:schemeClr>
            </a:solidFill>
            <a:round/>
          </a:ln>
          <a:effectLst/>
        </c:spPr>
        <c:dLbl>
          <c:idx val="0"/>
          <c:layout>
            <c:manualLayout>
              <c:x val="-0.19402131273158751"/>
              <c:y val="-1.9808010518226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l" rtl="0">
                <a:defRPr lang="en-US" sz="1050" b="0" i="0" u="none" strike="noStrike" kern="1200" baseline="0">
                  <a:solidFill>
                    <a:srgbClr val="A5A5A5">
                      <a:lumMod val="50000"/>
                    </a:srgbClr>
                  </a:solidFill>
                  <a:latin typeface="Montserrat semiBold" panose="000007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215383999101806"/>
                  <c:h val="0.29331276527135025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215255003760526"/>
          <c:y val="1.2254732495837915E-2"/>
          <c:w val="0.43513609592669605"/>
          <c:h val="0.86049847906364063"/>
        </c:manualLayout>
      </c:layout>
      <c:doughnutChart>
        <c:varyColors val="1"/>
        <c:ser>
          <c:idx val="0"/>
          <c:order val="0"/>
          <c:tx>
            <c:strRef>
              <c:f>PIVOT!$F$2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explosion val="3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3E1-4D55-854E-CECB6EE814C3}"/>
              </c:ext>
            </c:extLst>
          </c:dPt>
          <c:dPt>
            <c:idx val="1"/>
            <c:bubble3D val="0"/>
            <c:spPr>
              <a:solidFill>
                <a:srgbClr val="707070"/>
              </a:solidFill>
              <a:ln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E1-4D55-854E-CECB6EE814C3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E1-4D55-854E-CECB6EE814C3}"/>
              </c:ext>
            </c:extLst>
          </c:dPt>
          <c:dLbls>
            <c:dLbl>
              <c:idx val="0"/>
              <c:layout>
                <c:manualLayout>
                  <c:x val="0.41725610387860679"/>
                  <c:y val="-0.1498832736096274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1050" b="0" i="0" u="none" strike="noStrike" kern="1200" baseline="0">
                        <a:solidFill>
                          <a:schemeClr val="accent3">
                            <a:lumMod val="50000"/>
                          </a:schemeClr>
                        </a:solidFill>
                        <a:latin typeface="Montserrat semiBold" panose="00000700000000000000" pitchFamily="2" charset="0"/>
                        <a:ea typeface="+mn-ea"/>
                        <a:cs typeface="+mn-cs"/>
                      </a:defRPr>
                    </a:pPr>
                    <a:fld id="{BB50A026-622B-482A-9F51-2AD7A18245C6}" type="CATEGORYNAME">
                      <a:rPr lang="en-US">
                        <a:latin typeface="Montserrat semiBold" panose="00000700000000000000" pitchFamily="2" charset="0"/>
                      </a:rPr>
                      <a:pPr algn="l">
                        <a:defRPr sz="1050">
                          <a:solidFill>
                            <a:schemeClr val="accent3">
                              <a:lumMod val="50000"/>
                            </a:schemeClr>
                          </a:solidFill>
                          <a:latin typeface="Montserrat semiBold" panose="00000700000000000000" pitchFamily="2" charset="0"/>
                        </a:defRPr>
                      </a:pPr>
                      <a:t>[NOME DA CATEGORIA]</a:t>
                    </a:fld>
                    <a:r>
                      <a:rPr lang="en-US" baseline="0">
                        <a:latin typeface="Montserrat semiBold" panose="00000700000000000000" pitchFamily="2" charset="0"/>
                      </a:rPr>
                      <a:t>       </a:t>
                    </a:r>
                    <a:fld id="{765BF1FE-4119-49A2-88CB-515249458790}" type="VALUE">
                      <a:rPr lang="en-US" baseline="0">
                        <a:latin typeface="Montserrat semiBold" panose="00000700000000000000" pitchFamily="2" charset="0"/>
                      </a:rPr>
                      <a:pPr algn="l">
                        <a:defRPr sz="1050">
                          <a:solidFill>
                            <a:schemeClr val="accent3">
                              <a:lumMod val="50000"/>
                            </a:schemeClr>
                          </a:solidFill>
                          <a:latin typeface="Montserrat semiBold" panose="00000700000000000000" pitchFamily="2" charset="0"/>
                        </a:defRPr>
                      </a:pPr>
                      <a:t>[VALOR]</a:t>
                    </a:fld>
                    <a:r>
                      <a:rPr lang="en-US" baseline="0">
                        <a:latin typeface="Montserrat semiBold" panose="00000700000000000000" pitchFamily="2" charset="0"/>
                      </a:rPr>
                      <a:t>  </a:t>
                    </a:r>
                    <a:fld id="{38595352-C741-4640-9061-5CA539CE04DC}" type="PERCENTAGE">
                      <a:rPr lang="en-US" baseline="0">
                        <a:latin typeface="Montserrat semiBold" panose="00000700000000000000" pitchFamily="2" charset="0"/>
                      </a:rPr>
                      <a:pPr algn="l">
                        <a:defRPr sz="1050">
                          <a:solidFill>
                            <a:schemeClr val="accent3">
                              <a:lumMod val="50000"/>
                            </a:schemeClr>
                          </a:solidFill>
                          <a:latin typeface="Montserrat semiBold" panose="00000700000000000000" pitchFamily="2" charset="0"/>
                        </a:defRPr>
                      </a:pPr>
                      <a:t>[PORCENTAGEM]</a:t>
                    </a:fld>
                    <a:endParaRPr lang="en-US" baseline="0">
                      <a:latin typeface="Montserrat semiBold" panose="00000700000000000000" pitchFamily="2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050" b="0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latin typeface="Montserrat semiBold" panose="00000700000000000000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15249564640722"/>
                      <c:h val="0.2684088512388770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3E1-4D55-854E-CECB6EE814C3}"/>
                </c:ext>
              </c:extLst>
            </c:dLbl>
            <c:dLbl>
              <c:idx val="1"/>
              <c:layout>
                <c:manualLayout>
                  <c:x val="0.48644944257911354"/>
                  <c:y val="0.1678168563116053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l">
                      <a:defRPr sz="1050" b="0" i="0" u="none" strike="noStrike" kern="1200" baseline="0">
                        <a:solidFill>
                          <a:schemeClr val="accent3">
                            <a:lumMod val="50000"/>
                          </a:schemeClr>
                        </a:solidFill>
                        <a:latin typeface="Montserrat semiBold" panose="00000700000000000000" pitchFamily="2" charset="0"/>
                        <a:ea typeface="+mn-ea"/>
                        <a:cs typeface="+mn-cs"/>
                      </a:defRPr>
                    </a:pPr>
                    <a:fld id="{CE0DC934-0488-423E-A9E9-E193B15BD877}" type="CATEGORYNAME">
                      <a:rPr lang="en-US">
                        <a:latin typeface="Montserrat semiBold" panose="00000700000000000000" pitchFamily="2" charset="0"/>
                      </a:rPr>
                      <a:pPr algn="l">
                        <a:defRPr sz="1050">
                          <a:solidFill>
                            <a:schemeClr val="accent3">
                              <a:lumMod val="50000"/>
                            </a:schemeClr>
                          </a:solidFill>
                          <a:latin typeface="Montserrat semiBold" panose="00000700000000000000" pitchFamily="2" charset="0"/>
                        </a:defRPr>
                      </a:pPr>
                      <a:t>[NOME DA CATEGORIA]</a:t>
                    </a:fld>
                    <a:r>
                      <a:rPr lang="en-US" baseline="0">
                        <a:latin typeface="Montserrat semiBold" panose="00000700000000000000" pitchFamily="2" charset="0"/>
                      </a:rPr>
                      <a:t>        </a:t>
                    </a:r>
                    <a:fld id="{0DB75839-9D75-46C6-99FD-A9A7A1DAC6F6}" type="VALUE">
                      <a:rPr lang="en-US" baseline="0">
                        <a:latin typeface="Montserrat semiBold" panose="00000700000000000000" pitchFamily="2" charset="0"/>
                      </a:rPr>
                      <a:pPr algn="l">
                        <a:defRPr sz="1050">
                          <a:solidFill>
                            <a:schemeClr val="accent3">
                              <a:lumMod val="50000"/>
                            </a:schemeClr>
                          </a:solidFill>
                          <a:latin typeface="Montserrat semiBold" panose="00000700000000000000" pitchFamily="2" charset="0"/>
                        </a:defRPr>
                      </a:pPr>
                      <a:t>[VALOR]</a:t>
                    </a:fld>
                    <a:r>
                      <a:rPr lang="en-US" baseline="0">
                        <a:latin typeface="Montserrat semiBold" panose="00000700000000000000" pitchFamily="2" charset="0"/>
                      </a:rPr>
                      <a:t>    </a:t>
                    </a:r>
                    <a:fld id="{931684A3-94D5-4A73-9712-1228D3E0A449}" type="PERCENTAGE">
                      <a:rPr lang="en-US" baseline="0">
                        <a:latin typeface="Montserrat semiBold" panose="00000700000000000000" pitchFamily="2" charset="0"/>
                      </a:rPr>
                      <a:pPr algn="l">
                        <a:defRPr sz="1050">
                          <a:solidFill>
                            <a:schemeClr val="accent3">
                              <a:lumMod val="50000"/>
                            </a:schemeClr>
                          </a:solidFill>
                          <a:latin typeface="Montserrat semiBold" panose="00000700000000000000" pitchFamily="2" charset="0"/>
                        </a:defRPr>
                      </a:pPr>
                      <a:t>[PORCENTAGEM]</a:t>
                    </a:fld>
                    <a:endParaRPr lang="en-US" baseline="0">
                      <a:latin typeface="Montserrat semiBold" panose="00000700000000000000" pitchFamily="2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l">
                    <a:defRPr sz="1050" b="0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latin typeface="Montserrat semiBold" panose="00000700000000000000" pitchFamily="2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6630780557651"/>
                      <c:h val="0.219508963623864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3E1-4D55-854E-CECB6EE814C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24215383999101806"/>
                      <c:h val="0.293312765271350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3E1-4D55-854E-CECB6EE814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Montserrat semiBold" panose="000007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PIVOT!$E$3:$E$6</c:f>
              <c:strCache>
                <c:ptCount val="3"/>
                <c:pt idx="0">
                  <c:v>Executado</c:v>
                </c:pt>
                <c:pt idx="1">
                  <c:v>Retenção</c:v>
                </c:pt>
                <c:pt idx="2">
                  <c:v>Saldo</c:v>
                </c:pt>
              </c:strCache>
            </c:strRef>
          </c:cat>
          <c:val>
            <c:numRef>
              <c:f>PIVOT!$F$3:$F$6</c:f>
              <c:numCache>
                <c:formatCode>_("R$"* #,##0.00_);_("R$"* \(#,##0.00\);_("R$"* "-"??_);_(@_)</c:formatCode>
                <c:ptCount val="3"/>
                <c:pt idx="0">
                  <c:v>270307</c:v>
                </c:pt>
                <c:pt idx="1">
                  <c:v>18921.490000000002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E1-4D55-854E-CECB6EE814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6"/>
      </c:doughnutChart>
      <c:spPr>
        <a:noFill/>
        <a:ln>
          <a:noFill/>
        </a:ln>
        <a:effectLst>
          <a:glow rad="114300">
            <a:schemeClr val="accent1">
              <a:alpha val="40000"/>
            </a:schemeClr>
          </a:glo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>
      <a:outerShdw sx="1000" sy="1000" algn="ctr" rotWithShape="0">
        <a:srgbClr val="000000"/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MEDIÇÕES - CTF.2681.xlsx]PIVOT!Tabela dinâmica4</c:name>
    <c:fmtId val="3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666666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PIVOT!$H$3:$H$13</c:f>
              <c:strCache>
                <c:ptCount val="10"/>
                <c:pt idx="0">
                  <c:v>B2</c:v>
                </c:pt>
                <c:pt idx="1">
                  <c:v>B5</c:v>
                </c:pt>
                <c:pt idx="2">
                  <c:v>B6</c:v>
                </c:pt>
                <c:pt idx="3">
                  <c:v>B3</c:v>
                </c:pt>
                <c:pt idx="4">
                  <c:v>B0</c:v>
                </c:pt>
                <c:pt idx="5">
                  <c:v>B1</c:v>
                </c:pt>
                <c:pt idx="6">
                  <c:v>B4</c:v>
                </c:pt>
                <c:pt idx="7">
                  <c:v>B8</c:v>
                </c:pt>
                <c:pt idx="8">
                  <c:v>B7</c:v>
                </c:pt>
                <c:pt idx="9">
                  <c:v>B9</c:v>
                </c:pt>
              </c:strCache>
            </c:strRef>
          </c:cat>
          <c:val>
            <c:numRef>
              <c:f>PIVOT!$I$3:$I$13</c:f>
              <c:numCache>
                <c:formatCode>0.00%</c:formatCode>
                <c:ptCount val="10"/>
                <c:pt idx="0">
                  <c:v>1.4463161476944018E-2</c:v>
                </c:pt>
                <c:pt idx="1">
                  <c:v>3.9135613408201458E-2</c:v>
                </c:pt>
                <c:pt idx="2">
                  <c:v>4.7643355453462648E-2</c:v>
                </c:pt>
                <c:pt idx="3">
                  <c:v>7.2315807384720085E-2</c:v>
                </c:pt>
                <c:pt idx="4">
                  <c:v>7.74204526118768E-2</c:v>
                </c:pt>
                <c:pt idx="5">
                  <c:v>8.8480517270716347E-2</c:v>
                </c:pt>
                <c:pt idx="6">
                  <c:v>0.13952696954228347</c:v>
                </c:pt>
                <c:pt idx="7">
                  <c:v>0.14378084056491405</c:v>
                </c:pt>
                <c:pt idx="8">
                  <c:v>0.15228858261017525</c:v>
                </c:pt>
                <c:pt idx="9">
                  <c:v>0.2164369576314446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8-42C4-944C-4FDC48D41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43"/>
        <c:overlap val="-20"/>
        <c:axId val="943087967"/>
        <c:axId val="943088447"/>
      </c:barChart>
      <c:catAx>
        <c:axId val="943087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Montserrat semiBold" panose="00000700000000000000" pitchFamily="2" charset="0"/>
                <a:ea typeface="+mn-ea"/>
                <a:cs typeface="+mn-cs"/>
              </a:defRPr>
            </a:pPr>
            <a:endParaRPr lang="pt-BR"/>
          </a:p>
        </c:txPr>
        <c:crossAx val="943088447"/>
        <c:crosses val="autoZero"/>
        <c:auto val="1"/>
        <c:lblAlgn val="ctr"/>
        <c:lblOffset val="100"/>
        <c:noMultiLvlLbl val="0"/>
      </c:catAx>
      <c:valAx>
        <c:axId val="943088447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8A8A8A"/>
                </a:solidFill>
                <a:latin typeface="Montserrat semiBold" panose="00000700000000000000" pitchFamily="2" charset="0"/>
                <a:ea typeface="+mn-ea"/>
                <a:cs typeface="+mn-cs"/>
              </a:defRPr>
            </a:pPr>
            <a:endParaRPr lang="pt-BR"/>
          </a:p>
        </c:txPr>
        <c:crossAx val="94308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MEDIÇÕES - CTF.2681.xlsx]PIVOT!Tabela dinâmica5</c:name>
    <c:fmtId val="3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rgbClr val="C00000">
                <a:alpha val="99000"/>
              </a:srgbClr>
            </a:solidFill>
            <a:round/>
          </a:ln>
          <a:effectLst/>
        </c:spPr>
        <c:marker>
          <c:symbol val="circle"/>
          <c:size val="6"/>
          <c:spPr>
            <a:solidFill>
              <a:srgbClr val="C00000"/>
            </a:solidFill>
            <a:ln w="6350">
              <a:solidFill>
                <a:srgbClr val="C00000">
                  <a:alpha val="99000"/>
                </a:srgb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C00000">
                <a:alpha val="99000"/>
              </a:srgbClr>
            </a:solidFill>
            <a:round/>
          </a:ln>
          <a:effectLst/>
        </c:spPr>
        <c:marker>
          <c:symbol val="circle"/>
          <c:size val="6"/>
        </c:marker>
        <c:dLbl>
          <c:idx val="0"/>
          <c:layout>
            <c:manualLayout>
              <c:x val="-7.6375928627385576E-17"/>
              <c:y val="3.23289920418494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C00000">
                <a:alpha val="99000"/>
              </a:srgbClr>
            </a:solidFill>
            <a:round/>
          </a:ln>
          <a:effectLst/>
        </c:spPr>
        <c:marker>
          <c:symbol val="circle"/>
          <c:size val="6"/>
        </c:marker>
        <c:dLbl>
          <c:idx val="0"/>
          <c:layout>
            <c:manualLayout>
              <c:x val="0"/>
              <c:y val="2.02056200261559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C00000">
                <a:alpha val="99000"/>
              </a:srgbClr>
            </a:solidFill>
            <a:round/>
          </a:ln>
          <a:effectLst/>
        </c:spPr>
        <c:marker>
          <c:symbol val="circle"/>
          <c:size val="6"/>
        </c:marker>
        <c:dLbl>
          <c:idx val="0"/>
          <c:layout>
            <c:manualLayout>
              <c:x val="4.1660078688343901E-3"/>
              <c:y val="8.082248010462374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C00000">
                <a:alpha val="99000"/>
              </a:srgbClr>
            </a:solidFill>
            <a:round/>
          </a:ln>
          <a:effectLst/>
        </c:spPr>
        <c:marker>
          <c:symbol val="circle"/>
          <c:size val="6"/>
        </c:marker>
        <c:dLbl>
          <c:idx val="0"/>
          <c:layout>
            <c:manualLayout>
              <c:x val="1.0415019672085976E-2"/>
              <c:y val="-4.041124005231335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C00000">
                <a:alpha val="99000"/>
              </a:srgbClr>
            </a:solidFill>
            <a:round/>
          </a:ln>
          <a:effectLst/>
        </c:spPr>
        <c:marker>
          <c:symbol val="circle"/>
          <c:size val="6"/>
        </c:marker>
        <c:dLbl>
          <c:idx val="0"/>
          <c:layout>
            <c:manualLayout>
              <c:x val="-6.7892482364326299E-3"/>
              <c:y val="3.9655490583694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967747061478375E-2"/>
          <c:y val="6.4658121272735167E-2"/>
          <c:w val="0.75474268415067369"/>
          <c:h val="0.861483951646519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PIVOT!$L$2</c:f>
              <c:strCache>
                <c:ptCount val="1"/>
                <c:pt idx="0">
                  <c:v>EXECUTADO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PIVOT!$K$3:$K$8</c:f>
              <c:strCache>
                <c:ptCount val="5"/>
                <c:pt idx="0">
                  <c:v>21/10/2025</c:v>
                </c:pt>
                <c:pt idx="1">
                  <c:v>24/11/2025</c:v>
                </c:pt>
                <c:pt idx="2">
                  <c:v>23/12/2025</c:v>
                </c:pt>
                <c:pt idx="3">
                  <c:v>22/04/2026</c:v>
                </c:pt>
                <c:pt idx="4">
                  <c:v>27/04/2026</c:v>
                </c:pt>
              </c:strCache>
            </c:strRef>
          </c:cat>
          <c:val>
            <c:numRef>
              <c:f>PIVOT!$L$3:$L$8</c:f>
              <c:numCache>
                <c:formatCode>General</c:formatCode>
                <c:ptCount val="5"/>
                <c:pt idx="0">
                  <c:v>2195.1999999999998</c:v>
                </c:pt>
                <c:pt idx="1">
                  <c:v>3271.05</c:v>
                </c:pt>
                <c:pt idx="2">
                  <c:v>1315.9299999999998</c:v>
                </c:pt>
                <c:pt idx="3">
                  <c:v>829.79</c:v>
                </c:pt>
                <c:pt idx="4">
                  <c:v>265.2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5-4571-9FF6-150F68AC86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9"/>
        <c:axId val="1077036815"/>
        <c:axId val="1077035375"/>
      </c:barChart>
      <c:lineChart>
        <c:grouping val="standard"/>
        <c:varyColors val="0"/>
        <c:ser>
          <c:idx val="1"/>
          <c:order val="1"/>
          <c:tx>
            <c:strRef>
              <c:f>PIVOT!$M$2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rgbClr val="C00000">
                  <a:alpha val="99000"/>
                </a:srgb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C00000"/>
              </a:solidFill>
              <a:ln w="6350">
                <a:solidFill>
                  <a:srgbClr val="C00000">
                    <a:alpha val="99000"/>
                  </a:srgbClr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C00000"/>
                </a:solidFill>
                <a:ln w="6350">
                  <a:solidFill>
                    <a:srgbClr val="C00000">
                      <a:alpha val="99000"/>
                    </a:srgbClr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005-4571-9FF6-150F68AC86EC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C00000"/>
                </a:solidFill>
                <a:ln w="6350">
                  <a:solidFill>
                    <a:srgbClr val="C00000">
                      <a:alpha val="99000"/>
                    </a:srgbClr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005-4571-9FF6-150F68AC86EC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C00000"/>
                </a:solidFill>
                <a:ln w="6350">
                  <a:solidFill>
                    <a:srgbClr val="C00000">
                      <a:alpha val="99000"/>
                    </a:srgbClr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005-4571-9FF6-150F68AC86EC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C00000"/>
                </a:solidFill>
                <a:ln w="6350">
                  <a:solidFill>
                    <a:srgbClr val="C00000">
                      <a:alpha val="99000"/>
                    </a:srgbClr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005-4571-9FF6-150F68AC86EC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C00000"/>
                </a:solidFill>
                <a:ln w="6350">
                  <a:solidFill>
                    <a:srgbClr val="C00000">
                      <a:alpha val="99000"/>
                    </a:srgbClr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005-4571-9FF6-150F68AC86EC}"/>
              </c:ext>
            </c:extLst>
          </c:dPt>
          <c:dLbls>
            <c:dLbl>
              <c:idx val="0"/>
              <c:layout>
                <c:manualLayout>
                  <c:x val="1.0415019672085976E-2"/>
                  <c:y val="-4.04112400523133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05-4571-9FF6-150F68AC86EC}"/>
                </c:ext>
              </c:extLst>
            </c:dLbl>
            <c:dLbl>
              <c:idx val="1"/>
              <c:layout>
                <c:manualLayout>
                  <c:x val="4.1660078688343901E-3"/>
                  <c:y val="8.082248010462374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05-4571-9FF6-150F68AC86EC}"/>
                </c:ext>
              </c:extLst>
            </c:dLbl>
            <c:dLbl>
              <c:idx val="2"/>
              <c:layout>
                <c:manualLayout>
                  <c:x val="0"/>
                  <c:y val="2.0205620026155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05-4571-9FF6-150F68AC86EC}"/>
                </c:ext>
              </c:extLst>
            </c:dLbl>
            <c:dLbl>
              <c:idx val="3"/>
              <c:layout>
                <c:manualLayout>
                  <c:x val="-7.6375928627385576E-17"/>
                  <c:y val="3.23289920418494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05-4571-9FF6-150F68AC86EC}"/>
                </c:ext>
              </c:extLst>
            </c:dLbl>
            <c:dLbl>
              <c:idx val="4"/>
              <c:layout>
                <c:manualLayout>
                  <c:x val="-6.7892482364326299E-3"/>
                  <c:y val="3.9655490583694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05-4571-9FF6-150F68AC86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666666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PIVOT!$K$3:$K$8</c:f>
              <c:strCache>
                <c:ptCount val="5"/>
                <c:pt idx="0">
                  <c:v>21/10/2025</c:v>
                </c:pt>
                <c:pt idx="1">
                  <c:v>24/11/2025</c:v>
                </c:pt>
                <c:pt idx="2">
                  <c:v>23/12/2025</c:v>
                </c:pt>
                <c:pt idx="3">
                  <c:v>22/04/2026</c:v>
                </c:pt>
                <c:pt idx="4">
                  <c:v>27/04/2026</c:v>
                </c:pt>
              </c:strCache>
            </c:strRef>
          </c:cat>
          <c:val>
            <c:numRef>
              <c:f>PIVOT!$M$3:$M$8</c:f>
              <c:numCache>
                <c:formatCode>General</c:formatCode>
                <c:ptCount val="5"/>
                <c:pt idx="0">
                  <c:v>2195.1999999999998</c:v>
                </c:pt>
                <c:pt idx="1">
                  <c:v>5466.25</c:v>
                </c:pt>
                <c:pt idx="2">
                  <c:v>6782.18</c:v>
                </c:pt>
                <c:pt idx="3">
                  <c:v>7611.97</c:v>
                </c:pt>
                <c:pt idx="4">
                  <c:v>7877.17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5-4571-9FF6-150F68AC86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77036815"/>
        <c:axId val="1077035375"/>
      </c:lineChart>
      <c:catAx>
        <c:axId val="107703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8A8A"/>
                </a:solidFill>
                <a:latin typeface="Montserrat semiBold" panose="00000700000000000000" pitchFamily="2" charset="0"/>
                <a:ea typeface="+mn-ea"/>
                <a:cs typeface="+mn-cs"/>
              </a:defRPr>
            </a:pPr>
            <a:endParaRPr lang="pt-BR"/>
          </a:p>
        </c:txPr>
        <c:crossAx val="1077035375"/>
        <c:crosses val="autoZero"/>
        <c:auto val="1"/>
        <c:lblAlgn val="ctr"/>
        <c:lblOffset val="100"/>
        <c:noMultiLvlLbl val="0"/>
      </c:catAx>
      <c:valAx>
        <c:axId val="1077035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8A8A8A"/>
                </a:solidFill>
                <a:latin typeface="Montserrat semiBold" panose="00000700000000000000" pitchFamily="2" charset="0"/>
                <a:ea typeface="+mn-ea"/>
                <a:cs typeface="+mn-cs"/>
              </a:defRPr>
            </a:pPr>
            <a:endParaRPr lang="pt-BR"/>
          </a:p>
        </c:txPr>
        <c:crossAx val="107703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MEDIÇÕES - CTF.2681.xlsx]PIVOT!Tabela dinâmica1</c:name>
    <c:fmtId val="4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PIVOT!$P$2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666666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PIVOT!$O$3:$O$8</c:f>
              <c:strCache>
                <c:ptCount val="5"/>
                <c:pt idx="0">
                  <c:v>Colocacao de Azulejo</c:v>
                </c:pt>
                <c:pt idx="1">
                  <c:v>Colocação de soleiras</c:v>
                </c:pt>
                <c:pt idx="2">
                  <c:v>Colocação de baguetes</c:v>
                </c:pt>
                <c:pt idx="3">
                  <c:v>Colocacao Piso Ceramico</c:v>
                </c:pt>
                <c:pt idx="4">
                  <c:v>Rodapé Cerâmico | Porcelanato</c:v>
                </c:pt>
              </c:strCache>
            </c:strRef>
          </c:cat>
          <c:val>
            <c:numRef>
              <c:f>PIVOT!$P$3:$P$8</c:f>
              <c:numCache>
                <c:formatCode>General</c:formatCode>
                <c:ptCount val="5"/>
                <c:pt idx="0">
                  <c:v>235.3599999999999</c:v>
                </c:pt>
                <c:pt idx="1">
                  <c:v>337</c:v>
                </c:pt>
                <c:pt idx="2">
                  <c:v>353</c:v>
                </c:pt>
                <c:pt idx="3">
                  <c:v>2393.3199999999997</c:v>
                </c:pt>
                <c:pt idx="4">
                  <c:v>5942.8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5-45AA-B86A-7BD827BA53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544110000"/>
        <c:axId val="1544108560"/>
      </c:barChart>
      <c:catAx>
        <c:axId val="1544110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666666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44108560"/>
        <c:crosses val="autoZero"/>
        <c:auto val="1"/>
        <c:lblAlgn val="ctr"/>
        <c:lblOffset val="100"/>
        <c:noMultiLvlLbl val="0"/>
      </c:catAx>
      <c:valAx>
        <c:axId val="15441085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54411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 MEDIÇÕES - CTF.2681.xlsx]PIVOT!Tabela dinâmica6</c:name>
    <c:fmtId val="5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8100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8100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8100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8100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8100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8100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81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8100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8100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8100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666666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67086614173228"/>
          <c:y val="2.6702366188391634E-2"/>
          <c:w val="0.85282913385826775"/>
          <c:h val="0.94659526762321677"/>
        </c:manualLayout>
      </c:layout>
      <c:lineChart>
        <c:grouping val="standard"/>
        <c:varyColors val="0"/>
        <c:ser>
          <c:idx val="0"/>
          <c:order val="0"/>
          <c:tx>
            <c:strRef>
              <c:f>PIVOT!$T$2</c:f>
              <c:strCache>
                <c:ptCount val="1"/>
                <c:pt idx="0">
                  <c:v>Soma de PREVISTO ACUM.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29DA-4ED2-99B5-58F3B2BC0CB3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29DA-4ED2-99B5-58F3B2BC0CB3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29DA-4ED2-99B5-58F3B2BC0CB3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29DA-4ED2-99B5-58F3B2BC0CB3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29DA-4ED2-99B5-58F3B2BC0CB3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29DA-4ED2-99B5-58F3B2BC0CB3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29DA-4ED2-99B5-58F3B2BC0CB3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29DA-4ED2-99B5-58F3B2BC0CB3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29DA-4ED2-99B5-58F3B2BC0CB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DA-4ED2-99B5-58F3B2BC0CB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9DA-4ED2-99B5-58F3B2BC0CB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DA-4ED2-99B5-58F3B2BC0CB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9DA-4ED2-99B5-58F3B2BC0CB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DA-4ED2-99B5-58F3B2BC0CB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9DA-4ED2-99B5-58F3B2BC0CB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DA-4ED2-99B5-58F3B2BC0CB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DA-4ED2-99B5-58F3B2BC0CB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DA-4ED2-99B5-58F3B2BC0C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666666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PIVOT!$S$3:$S$13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PIVOT!$T$3:$T$13</c:f>
              <c:numCache>
                <c:formatCode>General</c:formatCode>
                <c:ptCount val="10"/>
                <c:pt idx="0">
                  <c:v>11754</c:v>
                </c:pt>
                <c:pt idx="1">
                  <c:v>23508</c:v>
                </c:pt>
                <c:pt idx="2">
                  <c:v>35262</c:v>
                </c:pt>
                <c:pt idx="3">
                  <c:v>47016</c:v>
                </c:pt>
                <c:pt idx="4">
                  <c:v>58770</c:v>
                </c:pt>
                <c:pt idx="5">
                  <c:v>70524</c:v>
                </c:pt>
                <c:pt idx="6">
                  <c:v>82278</c:v>
                </c:pt>
                <c:pt idx="7">
                  <c:v>94032</c:v>
                </c:pt>
                <c:pt idx="8">
                  <c:v>105786</c:v>
                </c:pt>
                <c:pt idx="9">
                  <c:v>117540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A-4ED2-99B5-58F3B2BC0CB3}"/>
            </c:ext>
          </c:extLst>
        </c:ser>
        <c:ser>
          <c:idx val="1"/>
          <c:order val="1"/>
          <c:tx>
            <c:strRef>
              <c:f>PIVOT!$U$2</c:f>
              <c:strCache>
                <c:ptCount val="1"/>
                <c:pt idx="0">
                  <c:v>Soma de REALIZADO ACUM.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29DA-4ED2-99B5-58F3B2BC0CB3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29DA-4ED2-99B5-58F3B2BC0CB3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29DA-4ED2-99B5-58F3B2BC0CB3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29DA-4ED2-99B5-58F3B2BC0CB3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29DA-4ED2-99B5-58F3B2BC0CB3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29DA-4ED2-99B5-58F3B2BC0CB3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29DA-4ED2-99B5-58F3B2BC0CB3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29DA-4ED2-99B5-58F3B2BC0CB3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29DA-4ED2-99B5-58F3B2BC0CB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DA-4ED2-99B5-58F3B2BC0CB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DA-4ED2-99B5-58F3B2BC0CB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DA-4ED2-99B5-58F3B2BC0CB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DA-4ED2-99B5-58F3B2BC0CB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9DA-4ED2-99B5-58F3B2BC0CB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DA-4ED2-99B5-58F3B2BC0CB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DA-4ED2-99B5-58F3B2BC0CB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9DA-4ED2-99B5-58F3B2BC0CB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9DA-4ED2-99B5-58F3B2BC0C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666666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PIVOT!$S$3:$S$13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PIVOT!$U$3:$U$13</c:f>
              <c:numCache>
                <c:formatCode>General</c:formatCode>
                <c:ptCount val="10"/>
                <c:pt idx="0">
                  <c:v>2136</c:v>
                </c:pt>
                <c:pt idx="1">
                  <c:v>3541</c:v>
                </c:pt>
                <c:pt idx="2">
                  <c:v>4337</c:v>
                </c:pt>
                <c:pt idx="3">
                  <c:v>5166.79</c:v>
                </c:pt>
                <c:pt idx="4">
                  <c:v>5222.79</c:v>
                </c:pt>
                <c:pt idx="5">
                  <c:v>5222.79</c:v>
                </c:pt>
                <c:pt idx="6">
                  <c:v>5222.79</c:v>
                </c:pt>
                <c:pt idx="7">
                  <c:v>5222.79</c:v>
                </c:pt>
                <c:pt idx="8">
                  <c:v>5222.79</c:v>
                </c:pt>
                <c:pt idx="9">
                  <c:v>5222.79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DA-4ED2-99B5-58F3B2BC0C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22235679"/>
        <c:axId val="222236159"/>
      </c:lineChart>
      <c:catAx>
        <c:axId val="2222356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2236159"/>
        <c:crosses val="autoZero"/>
        <c:auto val="1"/>
        <c:lblAlgn val="ctr"/>
        <c:lblOffset val="100"/>
        <c:noMultiLvlLbl val="0"/>
      </c:catAx>
      <c:valAx>
        <c:axId val="22223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666666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2222356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png"/><Relationship Id="rId18" Type="http://schemas.openxmlformats.org/officeDocument/2006/relationships/image" Target="../media/image12.png"/><Relationship Id="rId3" Type="http://schemas.openxmlformats.org/officeDocument/2006/relationships/chart" Target="../charts/chart3.xml"/><Relationship Id="rId21" Type="http://schemas.openxmlformats.org/officeDocument/2006/relationships/image" Target="../media/image15.png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17" Type="http://schemas.openxmlformats.org/officeDocument/2006/relationships/image" Target="../media/image11.png"/><Relationship Id="rId2" Type="http://schemas.openxmlformats.org/officeDocument/2006/relationships/chart" Target="../charts/chart2.xml"/><Relationship Id="rId16" Type="http://schemas.openxmlformats.org/officeDocument/2006/relationships/image" Target="../media/image10.png"/><Relationship Id="rId20" Type="http://schemas.openxmlformats.org/officeDocument/2006/relationships/image" Target="../media/image14.pn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10" Type="http://schemas.openxmlformats.org/officeDocument/2006/relationships/image" Target="../media/image4.png"/><Relationship Id="rId19" Type="http://schemas.openxmlformats.org/officeDocument/2006/relationships/image" Target="../media/image13.pn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png"/><Relationship Id="rId22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103257</xdr:colOff>
      <xdr:row>9</xdr:row>
      <xdr:rowOff>57425</xdr:rowOff>
    </xdr:from>
    <xdr:to>
      <xdr:col>3</xdr:col>
      <xdr:colOff>518307</xdr:colOff>
      <xdr:row>12</xdr:row>
      <xdr:rowOff>180590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6D64B9F-D250-4F51-B436-F1E35875D735}"/>
            </a:ext>
          </a:extLst>
        </xdr:cNvPr>
        <xdr:cNvSpPr/>
      </xdr:nvSpPr>
      <xdr:spPr>
        <a:xfrm>
          <a:off x="103257" y="1813013"/>
          <a:ext cx="2252815" cy="68345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/>
              </a:solidFill>
              <a:latin typeface="Montserrat Bold" panose="00000800000000000000" pitchFamily="2" charset="0"/>
              <a:cs typeface="Arial" panose="020B0604020202020204" pitchFamily="34" charset="0"/>
            </a:rPr>
            <a:t>          VISÃO GERAL</a:t>
          </a:r>
        </a:p>
      </xdr:txBody>
    </xdr:sp>
    <xdr:clientData/>
  </xdr:twoCellAnchor>
  <xdr:twoCellAnchor>
    <xdr:from>
      <xdr:col>0</xdr:col>
      <xdr:colOff>105412</xdr:colOff>
      <xdr:row>14</xdr:row>
      <xdr:rowOff>60014</xdr:rowOff>
    </xdr:from>
    <xdr:to>
      <xdr:col>3</xdr:col>
      <xdr:colOff>520462</xdr:colOff>
      <xdr:row>18</xdr:row>
      <xdr:rowOff>149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F30931F2-E91E-4F81-A773-F88428A70C52}"/>
            </a:ext>
          </a:extLst>
        </xdr:cNvPr>
        <xdr:cNvSpPr/>
      </xdr:nvSpPr>
      <xdr:spPr>
        <a:xfrm>
          <a:off x="105412" y="2749426"/>
          <a:ext cx="2252815" cy="687194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Montserrat Bold" panose="00000800000000000000" pitchFamily="2" charset="0"/>
              <a:cs typeface="Arial" panose="020B0604020202020204" pitchFamily="34" charset="0"/>
            </a:rPr>
            <a:t>         EVOLUÇÃO</a:t>
          </a:r>
        </a:p>
      </xdr:txBody>
    </xdr:sp>
    <xdr:clientData/>
  </xdr:twoCellAnchor>
  <xdr:twoCellAnchor>
    <xdr:from>
      <xdr:col>0</xdr:col>
      <xdr:colOff>92628</xdr:colOff>
      <xdr:row>19</xdr:row>
      <xdr:rowOff>66339</xdr:rowOff>
    </xdr:from>
    <xdr:to>
      <xdr:col>3</xdr:col>
      <xdr:colOff>507678</xdr:colOff>
      <xdr:row>23</xdr:row>
      <xdr:rowOff>124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B48F664-AFA6-4B25-A216-F9F1A13DDFC5}"/>
            </a:ext>
          </a:extLst>
        </xdr:cNvPr>
        <xdr:cNvSpPr/>
      </xdr:nvSpPr>
      <xdr:spPr>
        <a:xfrm>
          <a:off x="92628" y="3689574"/>
          <a:ext cx="2252815" cy="680844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Montserrat Bold" panose="00000800000000000000" pitchFamily="2" charset="0"/>
              <a:cs typeface="Arial" panose="020B0604020202020204" pitchFamily="34" charset="0"/>
            </a:rPr>
            <a:t>            EXECUÇÃO</a:t>
          </a:r>
        </a:p>
      </xdr:txBody>
    </xdr:sp>
    <xdr:clientData/>
  </xdr:twoCellAnchor>
  <xdr:twoCellAnchor>
    <xdr:from>
      <xdr:col>0</xdr:col>
      <xdr:colOff>99020</xdr:colOff>
      <xdr:row>24</xdr:row>
      <xdr:rowOff>66313</xdr:rowOff>
    </xdr:from>
    <xdr:to>
      <xdr:col>3</xdr:col>
      <xdr:colOff>514070</xdr:colOff>
      <xdr:row>28</xdr:row>
      <xdr:rowOff>2713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80D2120F-6115-42EF-BBB3-C78AE61A819C}"/>
            </a:ext>
          </a:extLst>
        </xdr:cNvPr>
        <xdr:cNvSpPr/>
      </xdr:nvSpPr>
      <xdr:spPr>
        <a:xfrm>
          <a:off x="99020" y="4623372"/>
          <a:ext cx="2252815" cy="683459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Montserrat Bold" panose="00000800000000000000" pitchFamily="2" charset="0"/>
              <a:cs typeface="Arial" panose="020B0604020202020204" pitchFamily="34" charset="0"/>
            </a:rPr>
            <a:t>            PAVIMENTOS</a:t>
          </a:r>
        </a:p>
      </xdr:txBody>
    </xdr:sp>
    <xdr:clientData/>
  </xdr:twoCellAnchor>
  <xdr:twoCellAnchor>
    <xdr:from>
      <xdr:col>0</xdr:col>
      <xdr:colOff>111804</xdr:colOff>
      <xdr:row>29</xdr:row>
      <xdr:rowOff>68904</xdr:rowOff>
    </xdr:from>
    <xdr:to>
      <xdr:col>3</xdr:col>
      <xdr:colOff>526854</xdr:colOff>
      <xdr:row>32</xdr:row>
      <xdr:rowOff>173183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5E6F7570-BCB1-4783-9ABD-40CC0C6457B6}"/>
            </a:ext>
          </a:extLst>
        </xdr:cNvPr>
        <xdr:cNvSpPr/>
      </xdr:nvSpPr>
      <xdr:spPr>
        <a:xfrm>
          <a:off x="111804" y="5495268"/>
          <a:ext cx="2250777" cy="658460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ontserrat Bold" panose="00000800000000000000" pitchFamily="2" charset="0"/>
              <a:cs typeface="Arial" panose="020B0604020202020204" pitchFamily="34" charset="0"/>
            </a:rPr>
            <a:t>                   PRODUTIIDADE</a:t>
          </a:r>
        </a:p>
      </xdr:txBody>
    </xdr:sp>
    <xdr:clientData/>
  </xdr:twoCellAnchor>
  <xdr:twoCellAnchor>
    <xdr:from>
      <xdr:col>0</xdr:col>
      <xdr:colOff>86236</xdr:colOff>
      <xdr:row>34</xdr:row>
      <xdr:rowOff>71492</xdr:rowOff>
    </xdr:from>
    <xdr:to>
      <xdr:col>3</xdr:col>
      <xdr:colOff>501286</xdr:colOff>
      <xdr:row>38</xdr:row>
      <xdr:rowOff>7892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DB03EF59-4880-4E60-8308-1F13A1DEF008}"/>
            </a:ext>
          </a:extLst>
        </xdr:cNvPr>
        <xdr:cNvSpPr/>
      </xdr:nvSpPr>
      <xdr:spPr>
        <a:xfrm>
          <a:off x="86236" y="6496198"/>
          <a:ext cx="2252815" cy="683459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Montserrat Bold" panose="00000800000000000000" pitchFamily="2" charset="0"/>
              <a:cs typeface="Arial" panose="020B0604020202020204" pitchFamily="34" charset="0"/>
            </a:rPr>
            <a:t>        </a:t>
          </a:r>
          <a:r>
            <a:rPr lang="pt-BR" sz="1400" b="1" baseline="0">
              <a:latin typeface="Montserrat Bold" panose="00000800000000000000" pitchFamily="2" charset="0"/>
              <a:cs typeface="Arial" panose="020B0604020202020204" pitchFamily="34" charset="0"/>
            </a:rPr>
            <a:t>   </a:t>
          </a:r>
          <a:r>
            <a:rPr lang="pt-BR" sz="1400" b="1">
              <a:latin typeface="Montserrat Bold" panose="00000800000000000000" pitchFamily="2" charset="0"/>
              <a:cs typeface="Arial" panose="020B0604020202020204" pitchFamily="34" charset="0"/>
            </a:rPr>
            <a:t>SERVIÇOS</a:t>
          </a:r>
        </a:p>
      </xdr:txBody>
    </xdr:sp>
    <xdr:clientData/>
  </xdr:twoCellAnchor>
  <xdr:twoCellAnchor>
    <xdr:from>
      <xdr:col>0</xdr:col>
      <xdr:colOff>79844</xdr:colOff>
      <xdr:row>39</xdr:row>
      <xdr:rowOff>74083</xdr:rowOff>
    </xdr:from>
    <xdr:to>
      <xdr:col>3</xdr:col>
      <xdr:colOff>494894</xdr:colOff>
      <xdr:row>43</xdr:row>
      <xdr:rowOff>10483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2C27363B-FF95-4205-B462-892EED200F4B}"/>
            </a:ext>
          </a:extLst>
        </xdr:cNvPr>
        <xdr:cNvSpPr/>
      </xdr:nvSpPr>
      <xdr:spPr>
        <a:xfrm>
          <a:off x="79844" y="7432612"/>
          <a:ext cx="2252815" cy="683459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Montserrat Bold" panose="00000800000000000000" pitchFamily="2" charset="0"/>
              <a:cs typeface="Arial" panose="020B0604020202020204" pitchFamily="34" charset="0"/>
            </a:rPr>
            <a:t>              PLANEJAMENTO</a:t>
          </a:r>
        </a:p>
      </xdr:txBody>
    </xdr:sp>
    <xdr:clientData/>
  </xdr:twoCellAnchor>
  <xdr:twoCellAnchor>
    <xdr:from>
      <xdr:col>4</xdr:col>
      <xdr:colOff>249765</xdr:colOff>
      <xdr:row>17</xdr:row>
      <xdr:rowOff>112184</xdr:rowOff>
    </xdr:from>
    <xdr:to>
      <xdr:col>16</xdr:col>
      <xdr:colOff>173180</xdr:colOff>
      <xdr:row>35</xdr:row>
      <xdr:rowOff>0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D9E76EBF-6249-4866-9D5F-5209317BDF55}"/>
            </a:ext>
          </a:extLst>
        </xdr:cNvPr>
        <xdr:cNvSpPr/>
      </xdr:nvSpPr>
      <xdr:spPr>
        <a:xfrm>
          <a:off x="2697401" y="3321820"/>
          <a:ext cx="8490143" cy="3212907"/>
        </a:xfrm>
        <a:prstGeom prst="roundRect">
          <a:avLst>
            <a:gd name="adj" fmla="val 4667"/>
          </a:avLst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194734</xdr:colOff>
      <xdr:row>17</xdr:row>
      <xdr:rowOff>101600</xdr:rowOff>
    </xdr:from>
    <xdr:to>
      <xdr:col>9</xdr:col>
      <xdr:colOff>114300</xdr:colOff>
      <xdr:row>20</xdr:row>
      <xdr:rowOff>48684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12202BC-8EB0-4FDE-9294-96154C73D354}"/>
            </a:ext>
          </a:extLst>
        </xdr:cNvPr>
        <xdr:cNvSpPr txBox="1"/>
      </xdr:nvSpPr>
      <xdr:spPr>
        <a:xfrm>
          <a:off x="2639484" y="3284538"/>
          <a:ext cx="3435879" cy="49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accent5">
                  <a:lumMod val="50000"/>
                </a:schemeClr>
              </a:solidFill>
              <a:latin typeface="Montserrat Bold" panose="00000800000000000000" pitchFamily="2" charset="0"/>
            </a:rPr>
            <a:t>EVOLUÇÃO</a:t>
          </a:r>
          <a:r>
            <a:rPr lang="pt-BR" sz="1400" b="1" baseline="0">
              <a:solidFill>
                <a:schemeClr val="accent5">
                  <a:lumMod val="50000"/>
                </a:schemeClr>
              </a:solidFill>
              <a:latin typeface="Montserrat Bold" panose="00000800000000000000" pitchFamily="2" charset="0"/>
            </a:rPr>
            <a:t> FÍSICA X FINANCEIRA</a:t>
          </a:r>
          <a:endParaRPr lang="pt-BR" sz="1400" b="1">
            <a:solidFill>
              <a:schemeClr val="accent5">
                <a:lumMod val="50000"/>
              </a:schemeClr>
            </a:solidFill>
            <a:latin typeface="Montserrat Bold" panose="00000800000000000000" pitchFamily="2" charset="0"/>
          </a:endParaRPr>
        </a:p>
      </xdr:txBody>
    </xdr:sp>
    <xdr:clientData/>
  </xdr:twoCellAnchor>
  <xdr:twoCellAnchor>
    <xdr:from>
      <xdr:col>18</xdr:col>
      <xdr:colOff>116416</xdr:colOff>
      <xdr:row>20</xdr:row>
      <xdr:rowOff>158750</xdr:rowOff>
    </xdr:from>
    <xdr:to>
      <xdr:col>22</xdr:col>
      <xdr:colOff>359833</xdr:colOff>
      <xdr:row>23</xdr:row>
      <xdr:rowOff>105834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AECB68FA-1CF5-4FDA-9419-EA74EE2363A1}"/>
            </a:ext>
          </a:extLst>
        </xdr:cNvPr>
        <xdr:cNvSpPr txBox="1"/>
      </xdr:nvSpPr>
      <xdr:spPr>
        <a:xfrm>
          <a:off x="12327466" y="4019550"/>
          <a:ext cx="2681817" cy="4995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latin typeface="Montserrat Bold" panose="00000800000000000000" pitchFamily="2" charset="0"/>
            </a:rPr>
            <a:t>DISTTRIBUIÇÃO</a:t>
          </a:r>
          <a:r>
            <a:rPr lang="pt-BR" sz="1400" b="1" baseline="0">
              <a:latin typeface="Montserrat Bold" panose="00000800000000000000" pitchFamily="2" charset="0"/>
            </a:rPr>
            <a:t> FINANCEIRA</a:t>
          </a:r>
          <a:endParaRPr lang="pt-BR" sz="1400" b="1">
            <a:latin typeface="Montserrat Bold" panose="00000800000000000000" pitchFamily="2" charset="0"/>
          </a:endParaRPr>
        </a:p>
      </xdr:txBody>
    </xdr:sp>
    <xdr:clientData/>
  </xdr:twoCellAnchor>
  <xdr:twoCellAnchor>
    <xdr:from>
      <xdr:col>26</xdr:col>
      <xdr:colOff>243416</xdr:colOff>
      <xdr:row>20</xdr:row>
      <xdr:rowOff>84667</xdr:rowOff>
    </xdr:from>
    <xdr:to>
      <xdr:col>30</xdr:col>
      <xdr:colOff>486833</xdr:colOff>
      <xdr:row>23</xdr:row>
      <xdr:rowOff>31751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AA32594B-22B0-4576-8C85-8238FD98BEEC}"/>
            </a:ext>
          </a:extLst>
        </xdr:cNvPr>
        <xdr:cNvSpPr txBox="1"/>
      </xdr:nvSpPr>
      <xdr:spPr>
        <a:xfrm>
          <a:off x="17331266" y="3945467"/>
          <a:ext cx="2681817" cy="4995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latin typeface="Montserrat Bold" panose="00000800000000000000" pitchFamily="2" charset="0"/>
            </a:rPr>
            <a:t>STATUS DAS TORRES</a:t>
          </a:r>
        </a:p>
      </xdr:txBody>
    </xdr:sp>
    <xdr:clientData/>
  </xdr:twoCellAnchor>
  <xdr:twoCellAnchor>
    <xdr:from>
      <xdr:col>4</xdr:col>
      <xdr:colOff>211668</xdr:colOff>
      <xdr:row>37</xdr:row>
      <xdr:rowOff>105834</xdr:rowOff>
    </xdr:from>
    <xdr:to>
      <xdr:col>9</xdr:col>
      <xdr:colOff>232833</xdr:colOff>
      <xdr:row>40</xdr:row>
      <xdr:rowOff>52918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917A1FAA-0E10-4201-A50F-477190EA9BB6}"/>
            </a:ext>
          </a:extLst>
        </xdr:cNvPr>
        <xdr:cNvSpPr txBox="1"/>
      </xdr:nvSpPr>
      <xdr:spPr>
        <a:xfrm>
          <a:off x="2650068" y="7097184"/>
          <a:ext cx="3532715" cy="4995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latin typeface="Montserrat Bold" panose="00000800000000000000" pitchFamily="2" charset="0"/>
            </a:rPr>
            <a:t>AVANÇO POR TORRE</a:t>
          </a:r>
          <a:r>
            <a:rPr lang="pt-BR" sz="1400" b="1" baseline="0">
              <a:latin typeface="Montserrat Bold" panose="00000800000000000000" pitchFamily="2" charset="0"/>
            </a:rPr>
            <a:t> E PAVIMENTO</a:t>
          </a:r>
          <a:endParaRPr lang="pt-BR" sz="1400" b="1">
            <a:latin typeface="Montserrat Bold" panose="00000800000000000000" pitchFamily="2" charset="0"/>
          </a:endParaRPr>
        </a:p>
      </xdr:txBody>
    </xdr:sp>
    <xdr:clientData/>
  </xdr:twoCellAnchor>
  <xdr:twoCellAnchor>
    <xdr:from>
      <xdr:col>13</xdr:col>
      <xdr:colOff>148167</xdr:colOff>
      <xdr:row>37</xdr:row>
      <xdr:rowOff>21167</xdr:rowOff>
    </xdr:from>
    <xdr:to>
      <xdr:col>18</xdr:col>
      <xdr:colOff>169332</xdr:colOff>
      <xdr:row>39</xdr:row>
      <xdr:rowOff>148168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2DA986F-EB73-4965-9A9D-A25EC2D11079}"/>
            </a:ext>
          </a:extLst>
        </xdr:cNvPr>
        <xdr:cNvSpPr txBox="1"/>
      </xdr:nvSpPr>
      <xdr:spPr>
        <a:xfrm>
          <a:off x="8923867" y="7012517"/>
          <a:ext cx="3456515" cy="495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latin typeface="Montserrat Bold" panose="00000800000000000000" pitchFamily="2" charset="0"/>
            </a:rPr>
            <a:t>PRODUTIVIDADE (m²)</a:t>
          </a:r>
        </a:p>
      </xdr:txBody>
    </xdr:sp>
    <xdr:clientData/>
  </xdr:twoCellAnchor>
  <xdr:twoCellAnchor>
    <xdr:from>
      <xdr:col>16</xdr:col>
      <xdr:colOff>401925</xdr:colOff>
      <xdr:row>17</xdr:row>
      <xdr:rowOff>104473</xdr:rowOff>
    </xdr:from>
    <xdr:to>
      <xdr:col>24</xdr:col>
      <xdr:colOff>13916</xdr:colOff>
      <xdr:row>34</xdr:row>
      <xdr:rowOff>173787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D232F638-43F9-406E-8369-9D21BB91870B}"/>
            </a:ext>
          </a:extLst>
        </xdr:cNvPr>
        <xdr:cNvSpPr/>
      </xdr:nvSpPr>
      <xdr:spPr>
        <a:xfrm>
          <a:off x="11369282" y="3279473"/>
          <a:ext cx="4474277" cy="3153600"/>
        </a:xfrm>
        <a:prstGeom prst="roundRect">
          <a:avLst>
            <a:gd name="adj" fmla="val 4667"/>
          </a:avLst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242662</xdr:colOff>
      <xdr:row>17</xdr:row>
      <xdr:rowOff>154488</xdr:rowOff>
    </xdr:from>
    <xdr:to>
      <xdr:col>35</xdr:col>
      <xdr:colOff>163286</xdr:colOff>
      <xdr:row>35</xdr:row>
      <xdr:rowOff>39075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BA3C910C-2C8E-4B73-BD0D-D46A97158F7E}"/>
            </a:ext>
          </a:extLst>
        </xdr:cNvPr>
        <xdr:cNvSpPr/>
      </xdr:nvSpPr>
      <xdr:spPr>
        <a:xfrm>
          <a:off x="16152298" y="3364124"/>
          <a:ext cx="6651624" cy="3209678"/>
        </a:xfrm>
        <a:prstGeom prst="roundRect">
          <a:avLst>
            <a:gd name="adj" fmla="val 4667"/>
          </a:avLst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213178</xdr:colOff>
      <xdr:row>35</xdr:row>
      <xdr:rowOff>176389</xdr:rowOff>
    </xdr:from>
    <xdr:to>
      <xdr:col>13</xdr:col>
      <xdr:colOff>319078</xdr:colOff>
      <xdr:row>58</xdr:row>
      <xdr:rowOff>150461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39254EA1-CDAA-43EE-887C-A77EFA00D515}"/>
            </a:ext>
          </a:extLst>
        </xdr:cNvPr>
        <xdr:cNvSpPr/>
      </xdr:nvSpPr>
      <xdr:spPr>
        <a:xfrm>
          <a:off x="2660814" y="6711116"/>
          <a:ext cx="6455900" cy="4222800"/>
        </a:xfrm>
        <a:prstGeom prst="roundRect">
          <a:avLst>
            <a:gd name="adj" fmla="val 4667"/>
          </a:avLst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510242</xdr:colOff>
      <xdr:row>35</xdr:row>
      <xdr:rowOff>164751</xdr:rowOff>
    </xdr:from>
    <xdr:to>
      <xdr:col>26</xdr:col>
      <xdr:colOff>62836</xdr:colOff>
      <xdr:row>58</xdr:row>
      <xdr:rowOff>138823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44DA205D-0DE3-4B6A-BA31-7F2C892FB85C}"/>
            </a:ext>
          </a:extLst>
        </xdr:cNvPr>
        <xdr:cNvSpPr/>
      </xdr:nvSpPr>
      <xdr:spPr>
        <a:xfrm>
          <a:off x="9307878" y="6699478"/>
          <a:ext cx="7888413" cy="4222800"/>
        </a:xfrm>
        <a:prstGeom prst="roundRect">
          <a:avLst>
            <a:gd name="adj" fmla="val 4667"/>
          </a:avLst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254000</xdr:colOff>
      <xdr:row>35</xdr:row>
      <xdr:rowOff>170892</xdr:rowOff>
    </xdr:from>
    <xdr:to>
      <xdr:col>35</xdr:col>
      <xdr:colOff>139700</xdr:colOff>
      <xdr:row>58</xdr:row>
      <xdr:rowOff>144321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399B86CB-4116-4769-89A4-B05619F39FCE}"/>
            </a:ext>
          </a:extLst>
        </xdr:cNvPr>
        <xdr:cNvSpPr/>
      </xdr:nvSpPr>
      <xdr:spPr>
        <a:xfrm>
          <a:off x="17387455" y="6705619"/>
          <a:ext cx="5392881" cy="4222157"/>
        </a:xfrm>
        <a:prstGeom prst="roundRect">
          <a:avLst>
            <a:gd name="adj" fmla="val 4667"/>
          </a:avLst>
        </a:prstGeom>
        <a:solidFill>
          <a:schemeClr val="bg1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326448</xdr:colOff>
      <xdr:row>11</xdr:row>
      <xdr:rowOff>10005</xdr:rowOff>
    </xdr:from>
    <xdr:to>
      <xdr:col>8</xdr:col>
      <xdr:colOff>34105</xdr:colOff>
      <xdr:row>16</xdr:row>
      <xdr:rowOff>138642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14E1BA84-1A3F-5D64-CE6A-AD17478CF560}"/>
            </a:ext>
          </a:extLst>
        </xdr:cNvPr>
        <xdr:cNvGrpSpPr/>
      </xdr:nvGrpSpPr>
      <xdr:grpSpPr>
        <a:xfrm>
          <a:off x="2739448" y="2169005"/>
          <a:ext cx="2596907" cy="1081137"/>
          <a:chOff x="2634750" y="2125039"/>
          <a:chExt cx="2963334" cy="1545167"/>
        </a:xfr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G$15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8D805CC9-7401-FE48-B49F-0D8EBCE43D12}"/>
              </a:ext>
            </a:extLst>
          </xdr:cNvPr>
          <xdr:cNvSpPr/>
        </xdr:nvSpPr>
        <xdr:spPr>
          <a:xfrm>
            <a:off x="2634750" y="2125039"/>
            <a:ext cx="2963334" cy="1545167"/>
          </a:xfrm>
          <a:prstGeom prst="roundRect">
            <a:avLst>
              <a:gd name="adj" fmla="val 6393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B38218CC-DB89-486D-ADF6-703E20EBC5F6}" type="TxLink">
              <a:rPr lang="en-US" sz="1800" b="1" i="0" u="none" strike="noStrike">
                <a:solidFill>
                  <a:schemeClr val="tx2"/>
                </a:solidFill>
                <a:latin typeface="Montserrat Bold" panose="00000500000000000000" pitchFamily="2" charset="0"/>
                <a:ea typeface="Calibri"/>
                <a:cs typeface="Calibri"/>
              </a:rPr>
              <a:pPr algn="r"/>
              <a:t> R$ 270.307,00 </a:t>
            </a:fld>
            <a:endParaRPr lang="pt-BR" sz="3200" b="1">
              <a:solidFill>
                <a:schemeClr val="tx2"/>
              </a:solidFill>
              <a:latin typeface="Montserrat Bold" panose="00000500000000000000" pitchFamily="2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EBC849E6-A9F2-F2A8-BC7E-8C5DF51EB9C2}"/>
              </a:ext>
            </a:extLst>
          </xdr:cNvPr>
          <xdr:cNvSpPr txBox="1"/>
        </xdr:nvSpPr>
        <xdr:spPr>
          <a:xfrm>
            <a:off x="3139167" y="2159543"/>
            <a:ext cx="2412998" cy="78205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tx2"/>
                </a:solidFill>
                <a:latin typeface="Montserrat Bold" panose="00000800000000000000" pitchFamily="2" charset="0"/>
                <a:cs typeface="Arial" panose="020B0604020202020204" pitchFamily="34" charset="0"/>
              </a:rPr>
              <a:t>VALOR</a:t>
            </a:r>
            <a:r>
              <a:rPr lang="pt-BR" sz="1200" b="1" baseline="0">
                <a:solidFill>
                  <a:schemeClr val="tx2"/>
                </a:solidFill>
                <a:latin typeface="Montserrat Bold" panose="00000800000000000000" pitchFamily="2" charset="0"/>
                <a:cs typeface="Arial" panose="020B0604020202020204" pitchFamily="34" charset="0"/>
              </a:rPr>
              <a:t> CONTRATADO</a:t>
            </a:r>
            <a:endParaRPr lang="pt-BR" sz="1200" b="1">
              <a:solidFill>
                <a:schemeClr val="tx2"/>
              </a:solidFill>
              <a:latin typeface="Montserrat Bold" panose="00000800000000000000" pitchFamily="2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243549</xdr:colOff>
      <xdr:row>10</xdr:row>
      <xdr:rowOff>173497</xdr:rowOff>
    </xdr:from>
    <xdr:to>
      <xdr:col>12</xdr:col>
      <xdr:colOff>71073</xdr:colOff>
      <xdr:row>16</xdr:row>
      <xdr:rowOff>116156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F52CA577-BBA3-951E-5EFA-85D794681CCB}"/>
            </a:ext>
          </a:extLst>
        </xdr:cNvPr>
        <xdr:cNvGrpSpPr/>
      </xdr:nvGrpSpPr>
      <xdr:grpSpPr>
        <a:xfrm>
          <a:off x="5545799" y="2141997"/>
          <a:ext cx="2637399" cy="1085659"/>
          <a:chOff x="2634750" y="2125039"/>
          <a:chExt cx="3015582" cy="1545167"/>
        </a:xfr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J$13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6C43E045-B6D2-A03F-050C-2810963D7C6C}"/>
              </a:ext>
            </a:extLst>
          </xdr:cNvPr>
          <xdr:cNvSpPr/>
        </xdr:nvSpPr>
        <xdr:spPr>
          <a:xfrm>
            <a:off x="2634750" y="2125039"/>
            <a:ext cx="2963334" cy="1545167"/>
          </a:xfrm>
          <a:prstGeom prst="roundRect">
            <a:avLst>
              <a:gd name="adj" fmla="val 6393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r"/>
            <a:fld id="{9048009F-B2D0-492B-B9DA-7F6D63B6B8E8}" type="TxLink">
              <a:rPr lang="en-US" sz="1800" b="1" i="0" u="none" strike="noStrike">
                <a:solidFill>
                  <a:schemeClr val="accent1">
                    <a:lumMod val="75000"/>
                  </a:schemeClr>
                </a:solidFill>
                <a:latin typeface="Montserrat Bold" panose="00000800000000000000" pitchFamily="2" charset="0"/>
                <a:ea typeface="Calibri"/>
                <a:cs typeface="Calibri"/>
              </a:rPr>
              <a:pPr marL="0" indent="0" algn="r"/>
              <a:t> R$ 238.807,07 </a:t>
            </a:fld>
            <a:endParaRPr lang="pt-BR" sz="1800" b="1" i="0" u="none" strike="noStrike">
              <a:solidFill>
                <a:schemeClr val="accent1">
                  <a:lumMod val="75000"/>
                </a:schemeClr>
              </a:solidFill>
              <a:latin typeface="Montserrat Bold" panose="00000800000000000000" pitchFamily="2" charset="0"/>
              <a:ea typeface="Calibri"/>
              <a:cs typeface="Calibri"/>
            </a:endParaRPr>
          </a:p>
        </xdr:txBody>
      </xdr:sp>
      <xdr:sp macro="" textlink="">
        <xdr:nvSpPr>
          <xdr:cNvPr id="41" name="CaixaDeTexto 40">
            <a:extLst>
              <a:ext uri="{FF2B5EF4-FFF2-40B4-BE49-F238E27FC236}">
                <a16:creationId xmlns:a16="http://schemas.microsoft.com/office/drawing/2014/main" id="{99DACDA8-FDEB-CA48-1FDC-E00ED8A784FE}"/>
              </a:ext>
            </a:extLst>
          </xdr:cNvPr>
          <xdr:cNvSpPr txBox="1"/>
        </xdr:nvSpPr>
        <xdr:spPr>
          <a:xfrm>
            <a:off x="3237333" y="2247938"/>
            <a:ext cx="2412999" cy="7820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l"/>
            <a:r>
              <a:rPr lang="pt-BR" sz="1200" b="1" i="0" u="none" strike="noStrike">
                <a:solidFill>
                  <a:schemeClr val="accent1">
                    <a:lumMod val="75000"/>
                  </a:schemeClr>
                </a:solidFill>
                <a:latin typeface="Montserrat Bold" panose="00000800000000000000" pitchFamily="2" charset="0"/>
                <a:ea typeface="Calibri"/>
                <a:cs typeface="Calibri"/>
              </a:rPr>
              <a:t>            VALOR MEDIDO</a:t>
            </a:r>
          </a:p>
          <a:p>
            <a:pPr marL="0" indent="0" algn="ctr"/>
            <a:r>
              <a:rPr lang="pt-BR" sz="1200" b="1" i="0" u="none" strike="noStrike">
                <a:solidFill>
                  <a:schemeClr val="accent1">
                    <a:lumMod val="75000"/>
                  </a:schemeClr>
                </a:solidFill>
                <a:latin typeface="Montserrat Bold" panose="00000800000000000000" pitchFamily="2" charset="0"/>
                <a:ea typeface="Calibri"/>
                <a:cs typeface="Calibri"/>
              </a:rPr>
              <a:t>                        Bruto</a:t>
            </a:r>
          </a:p>
        </xdr:txBody>
      </xdr:sp>
    </xdr:grpSp>
    <xdr:clientData/>
  </xdr:twoCellAnchor>
  <xdr:twoCellAnchor>
    <xdr:from>
      <xdr:col>12</xdr:col>
      <xdr:colOff>331028</xdr:colOff>
      <xdr:row>10</xdr:row>
      <xdr:rowOff>167811</xdr:rowOff>
    </xdr:from>
    <xdr:to>
      <xdr:col>16</xdr:col>
      <xdr:colOff>112528</xdr:colOff>
      <xdr:row>16</xdr:row>
      <xdr:rowOff>103611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5D7000AC-4322-68B4-C764-084F55A2CEB9}"/>
            </a:ext>
          </a:extLst>
        </xdr:cNvPr>
        <xdr:cNvGrpSpPr/>
      </xdr:nvGrpSpPr>
      <xdr:grpSpPr>
        <a:xfrm>
          <a:off x="8443153" y="2136311"/>
          <a:ext cx="2591375" cy="1078800"/>
          <a:chOff x="2673920" y="2573483"/>
          <a:chExt cx="2963334" cy="1545167"/>
        </a:xfr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N$13">
        <xdr:nvSpPr>
          <xdr:cNvPr id="45" name="Retângulo: Cantos Arredondados 44">
            <a:extLst>
              <a:ext uri="{FF2B5EF4-FFF2-40B4-BE49-F238E27FC236}">
                <a16:creationId xmlns:a16="http://schemas.microsoft.com/office/drawing/2014/main" id="{CA508205-434E-E70C-6A2E-7A04385C9920}"/>
              </a:ext>
            </a:extLst>
          </xdr:cNvPr>
          <xdr:cNvSpPr/>
        </xdr:nvSpPr>
        <xdr:spPr>
          <a:xfrm>
            <a:off x="2673920" y="2573483"/>
            <a:ext cx="2963334" cy="1545167"/>
          </a:xfrm>
          <a:prstGeom prst="roundRect">
            <a:avLst>
              <a:gd name="adj" fmla="val 6393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r"/>
            <a:fld id="{9425A1F1-AA7A-4045-A5D5-A690F26C13A8}" type="TxLink">
              <a:rPr lang="en-US" sz="1800" b="1" i="0" u="none" strike="noStrike">
                <a:solidFill>
                  <a:schemeClr val="tx2"/>
                </a:solidFill>
                <a:latin typeface="Montserrat Bold" panose="00000800000000000000" pitchFamily="2" charset="0"/>
                <a:ea typeface="Calibri"/>
                <a:cs typeface="Calibri"/>
              </a:rPr>
              <a:pPr marL="0" indent="0" algn="r"/>
              <a:t> R$ 169.239,20 </a:t>
            </a:fld>
            <a:endParaRPr lang="pt-BR" sz="1800" b="1" i="0" u="none" strike="noStrike">
              <a:solidFill>
                <a:schemeClr val="tx2"/>
              </a:solidFill>
              <a:latin typeface="Montserrat Bold" panose="00000800000000000000" pitchFamily="2" charset="0"/>
              <a:ea typeface="Calibri"/>
              <a:cs typeface="Calibri"/>
            </a:endParaRPr>
          </a:p>
        </xdr:txBody>
      </xdr:sp>
      <xdr:sp macro="" textlink="">
        <xdr:nvSpPr>
          <xdr:cNvPr id="46" name="CaixaDeTexto 45">
            <a:extLst>
              <a:ext uri="{FF2B5EF4-FFF2-40B4-BE49-F238E27FC236}">
                <a16:creationId xmlns:a16="http://schemas.microsoft.com/office/drawing/2014/main" id="{3A978AE9-9181-D4C6-AD8C-987FACB42BBC}"/>
              </a:ext>
            </a:extLst>
          </xdr:cNvPr>
          <xdr:cNvSpPr txBox="1"/>
        </xdr:nvSpPr>
        <xdr:spPr>
          <a:xfrm>
            <a:off x="3218005" y="2747638"/>
            <a:ext cx="2323298" cy="803376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r"/>
            <a:r>
              <a:rPr lang="pt-BR" sz="1200" b="1" i="0" u="none" strike="noStrike">
                <a:solidFill>
                  <a:schemeClr val="tx2"/>
                </a:solidFill>
                <a:latin typeface="Montserrat Bold" panose="00000800000000000000" pitchFamily="2" charset="0"/>
                <a:ea typeface="Calibri"/>
                <a:cs typeface="Calibri"/>
              </a:rPr>
              <a:t>            SALDO A MEDIR</a:t>
            </a:r>
          </a:p>
        </xdr:txBody>
      </xdr:sp>
    </xdr:grpSp>
    <xdr:clientData/>
  </xdr:twoCellAnchor>
  <xdr:twoCellAnchor>
    <xdr:from>
      <xdr:col>16</xdr:col>
      <xdr:colOff>425882</xdr:colOff>
      <xdr:row>10</xdr:row>
      <xdr:rowOff>175535</xdr:rowOff>
    </xdr:from>
    <xdr:to>
      <xdr:col>21</xdr:col>
      <xdr:colOff>14038</xdr:colOff>
      <xdr:row>16</xdr:row>
      <xdr:rowOff>119293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042074E5-4DFE-3924-1CCE-D320A9B0CA9A}"/>
            </a:ext>
          </a:extLst>
        </xdr:cNvPr>
        <xdr:cNvGrpSpPr/>
      </xdr:nvGrpSpPr>
      <xdr:grpSpPr>
        <a:xfrm>
          <a:off x="11347882" y="2144035"/>
          <a:ext cx="2604406" cy="1086758"/>
          <a:chOff x="2673918" y="2573482"/>
          <a:chExt cx="2988731" cy="1545167"/>
        </a:xfr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R$13">
        <xdr:nvSpPr>
          <xdr:cNvPr id="50" name="Retângulo: Cantos Arredondados 49">
            <a:extLst>
              <a:ext uri="{FF2B5EF4-FFF2-40B4-BE49-F238E27FC236}">
                <a16:creationId xmlns:a16="http://schemas.microsoft.com/office/drawing/2014/main" id="{D1020D6A-B97A-6ECB-FCE2-C8C11E8BE9A2}"/>
              </a:ext>
            </a:extLst>
          </xdr:cNvPr>
          <xdr:cNvSpPr/>
        </xdr:nvSpPr>
        <xdr:spPr>
          <a:xfrm>
            <a:off x="2673918" y="2573482"/>
            <a:ext cx="2963333" cy="1545167"/>
          </a:xfrm>
          <a:prstGeom prst="roundRect">
            <a:avLst>
              <a:gd name="adj" fmla="val 6393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r"/>
            <a:fld id="{EA72960B-DB3D-4BA0-B6AD-825FDF75D6E3}" type="TxLink">
              <a:rPr lang="en-US" sz="1800" b="1" i="0" u="none" strike="noStrike">
                <a:solidFill>
                  <a:schemeClr val="accent1">
                    <a:lumMod val="75000"/>
                  </a:schemeClr>
                </a:solidFill>
                <a:latin typeface="Montserrat Bold" panose="00000500000000000000" pitchFamily="2" charset="0"/>
                <a:ea typeface="Calibri"/>
                <a:cs typeface="Calibri"/>
              </a:rPr>
              <a:pPr marL="0" indent="0" algn="r"/>
              <a:t>56,00 m²</a:t>
            </a:fld>
            <a:endParaRPr lang="pt-BR" sz="3200" b="1" i="0" u="none" strike="noStrike">
              <a:solidFill>
                <a:schemeClr val="accent1">
                  <a:lumMod val="75000"/>
                </a:schemeClr>
              </a:solidFill>
              <a:latin typeface="Montserrat Bold" panose="00000500000000000000" pitchFamily="2" charset="0"/>
              <a:ea typeface="Calibri"/>
              <a:cs typeface="Calibri"/>
            </a:endParaRPr>
          </a:p>
        </xdr:txBody>
      </xdr:sp>
      <xdr:sp macro="" textlink="">
        <xdr:nvSpPr>
          <xdr:cNvPr id="51" name="CaixaDeTexto 50">
            <a:extLst>
              <a:ext uri="{FF2B5EF4-FFF2-40B4-BE49-F238E27FC236}">
                <a16:creationId xmlns:a16="http://schemas.microsoft.com/office/drawing/2014/main" id="{B77ACF1A-88A8-EC82-DB20-EEA25843E0B4}"/>
              </a:ext>
            </a:extLst>
          </xdr:cNvPr>
          <xdr:cNvSpPr txBox="1"/>
        </xdr:nvSpPr>
        <xdr:spPr>
          <a:xfrm>
            <a:off x="2886722" y="2769909"/>
            <a:ext cx="2775927" cy="80337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pt-BR" sz="1200" b="1" i="0" u="none" strike="noStrike">
                <a:solidFill>
                  <a:schemeClr val="accent1">
                    <a:lumMod val="75000"/>
                  </a:schemeClr>
                </a:solidFill>
                <a:latin typeface="Montserrat Bold" panose="00000800000000000000" pitchFamily="2" charset="0"/>
                <a:ea typeface="Calibri"/>
                <a:cs typeface="Calibri"/>
              </a:rPr>
              <a:t>         </a:t>
            </a:r>
            <a:r>
              <a:rPr lang="pt-BR" sz="1200" b="1" i="0" u="none" strike="noStrike" baseline="0">
                <a:solidFill>
                  <a:schemeClr val="accent1">
                    <a:lumMod val="75000"/>
                  </a:schemeClr>
                </a:solidFill>
                <a:latin typeface="Montserrat Bold" panose="00000800000000000000" pitchFamily="2" charset="0"/>
                <a:ea typeface="Calibri"/>
                <a:cs typeface="Calibri"/>
              </a:rPr>
              <a:t>         MEDIÇÃO ATUAL</a:t>
            </a:r>
            <a:endParaRPr lang="pt-BR" sz="1200" b="1" i="0" u="none" strike="noStrike">
              <a:solidFill>
                <a:schemeClr val="accent1">
                  <a:lumMod val="75000"/>
                </a:schemeClr>
              </a:solidFill>
              <a:latin typeface="Montserrat Bold" panose="00000800000000000000" pitchFamily="2" charset="0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21</xdr:col>
      <xdr:colOff>292755</xdr:colOff>
      <xdr:row>10</xdr:row>
      <xdr:rowOff>158663</xdr:rowOff>
    </xdr:from>
    <xdr:to>
      <xdr:col>25</xdr:col>
      <xdr:colOff>469542</xdr:colOff>
      <xdr:row>16</xdr:row>
      <xdr:rowOff>102572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F9984D4F-F08B-903B-D011-25193DFB0A69}"/>
            </a:ext>
          </a:extLst>
        </xdr:cNvPr>
        <xdr:cNvGrpSpPr/>
      </xdr:nvGrpSpPr>
      <xdr:grpSpPr>
        <a:xfrm>
          <a:off x="14231005" y="2127163"/>
          <a:ext cx="2589787" cy="1086909"/>
          <a:chOff x="2673920" y="2573483"/>
          <a:chExt cx="2963334" cy="1545167"/>
        </a:xfr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W$13">
        <xdr:nvSpPr>
          <xdr:cNvPr id="55" name="Retângulo: Cantos Arredondados 54">
            <a:extLst>
              <a:ext uri="{FF2B5EF4-FFF2-40B4-BE49-F238E27FC236}">
                <a16:creationId xmlns:a16="http://schemas.microsoft.com/office/drawing/2014/main" id="{9E7975A0-2685-6DF1-6EA2-576017C7F473}"/>
              </a:ext>
            </a:extLst>
          </xdr:cNvPr>
          <xdr:cNvSpPr/>
        </xdr:nvSpPr>
        <xdr:spPr>
          <a:xfrm>
            <a:off x="2673920" y="2573483"/>
            <a:ext cx="2963334" cy="1545167"/>
          </a:xfrm>
          <a:prstGeom prst="roundRect">
            <a:avLst>
              <a:gd name="adj" fmla="val 6393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r"/>
            <a:fld id="{B14FA294-8CE0-4481-A388-4639F04A4EB9}" type="TxLink">
              <a:rPr lang="en-US" sz="1800" b="1" i="0" u="none" strike="noStrike">
                <a:solidFill>
                  <a:schemeClr val="tx2"/>
                </a:solidFill>
                <a:latin typeface="Montserrat Bold" panose="00000800000000000000" pitchFamily="2" charset="0"/>
                <a:ea typeface="Calibri"/>
                <a:cs typeface="Calibri"/>
              </a:rPr>
              <a:pPr marL="0" indent="0" algn="r"/>
              <a:t> R$ 251.385,51 </a:t>
            </a:fld>
            <a:endParaRPr lang="pt-BR" sz="1800" b="1" i="0" u="none" strike="noStrike">
              <a:solidFill>
                <a:schemeClr val="tx2"/>
              </a:solidFill>
              <a:latin typeface="Montserrat Bold" panose="00000800000000000000" pitchFamily="2" charset="0"/>
              <a:ea typeface="Calibri"/>
              <a:cs typeface="Calibri"/>
            </a:endParaRPr>
          </a:p>
        </xdr:txBody>
      </xdr:sp>
      <xdr:sp macro="" textlink="">
        <xdr:nvSpPr>
          <xdr:cNvPr id="56" name="CaixaDeTexto 55">
            <a:extLst>
              <a:ext uri="{FF2B5EF4-FFF2-40B4-BE49-F238E27FC236}">
                <a16:creationId xmlns:a16="http://schemas.microsoft.com/office/drawing/2014/main" id="{DD974F12-28B9-A8F3-28B0-FB7AB78F308B}"/>
              </a:ext>
            </a:extLst>
          </xdr:cNvPr>
          <xdr:cNvSpPr txBox="1"/>
        </xdr:nvSpPr>
        <xdr:spPr>
          <a:xfrm>
            <a:off x="2776386" y="2688819"/>
            <a:ext cx="2785372" cy="8033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r"/>
            <a:r>
              <a:rPr lang="pt-BR" sz="1200" b="1" i="0" u="none" strike="noStrike">
                <a:solidFill>
                  <a:schemeClr val="tx2"/>
                </a:solidFill>
                <a:latin typeface="Montserrat Bold" panose="00000800000000000000" pitchFamily="2" charset="0"/>
                <a:ea typeface="Calibri"/>
                <a:cs typeface="Calibri"/>
              </a:rPr>
              <a:t>         </a:t>
            </a:r>
            <a:r>
              <a:rPr lang="pt-BR" sz="1200" b="1" i="0" u="none" strike="noStrike" baseline="0">
                <a:solidFill>
                  <a:schemeClr val="tx2"/>
                </a:solidFill>
                <a:latin typeface="Montserrat Bold" panose="00000800000000000000" pitchFamily="2" charset="0"/>
                <a:ea typeface="Calibri"/>
                <a:cs typeface="Calibri"/>
              </a:rPr>
              <a:t>  VALOR LÍQUIDO    </a:t>
            </a:r>
          </a:p>
          <a:p>
            <a:pPr marL="0" indent="0" algn="r"/>
            <a:r>
              <a:rPr lang="pt-BR" sz="1200" b="1" i="0" u="none" strike="noStrike" baseline="0">
                <a:solidFill>
                  <a:schemeClr val="tx2"/>
                </a:solidFill>
                <a:latin typeface="Montserrat Bold" panose="00000800000000000000" pitchFamily="2" charset="0"/>
                <a:ea typeface="Calibri"/>
                <a:cs typeface="Calibri"/>
              </a:rPr>
              <a:t>MEDIDO</a:t>
            </a:r>
            <a:endParaRPr lang="pt-BR" sz="1200" b="1" i="0" u="none" strike="noStrike">
              <a:solidFill>
                <a:schemeClr val="tx2"/>
              </a:solidFill>
              <a:latin typeface="Montserrat Bold" panose="00000800000000000000" pitchFamily="2" charset="0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26</xdr:col>
      <xdr:colOff>136349</xdr:colOff>
      <xdr:row>10</xdr:row>
      <xdr:rowOff>169814</xdr:rowOff>
    </xdr:from>
    <xdr:to>
      <xdr:col>30</xdr:col>
      <xdr:colOff>292781</xdr:colOff>
      <xdr:row>16</xdr:row>
      <xdr:rowOff>105441</xdr:rowOff>
    </xdr:to>
    <xdr:grpSp>
      <xdr:nvGrpSpPr>
        <xdr:cNvPr id="58" name="Agrupar 57">
          <a:extLst>
            <a:ext uri="{FF2B5EF4-FFF2-40B4-BE49-F238E27FC236}">
              <a16:creationId xmlns:a16="http://schemas.microsoft.com/office/drawing/2014/main" id="{D2327458-1029-99D8-79D8-17B7455FF1BE}"/>
            </a:ext>
          </a:extLst>
        </xdr:cNvPr>
        <xdr:cNvGrpSpPr/>
      </xdr:nvGrpSpPr>
      <xdr:grpSpPr>
        <a:xfrm>
          <a:off x="17090849" y="2138314"/>
          <a:ext cx="2569432" cy="1078627"/>
          <a:chOff x="1105218" y="2546331"/>
          <a:chExt cx="2963334" cy="1545167"/>
        </a:xfr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AB$13">
        <xdr:nvSpPr>
          <xdr:cNvPr id="60" name="Retângulo: Cantos Arredondados 59">
            <a:extLst>
              <a:ext uri="{FF2B5EF4-FFF2-40B4-BE49-F238E27FC236}">
                <a16:creationId xmlns:a16="http://schemas.microsoft.com/office/drawing/2014/main" id="{25666D50-146F-123C-BD34-7641B3E19DBA}"/>
              </a:ext>
            </a:extLst>
          </xdr:cNvPr>
          <xdr:cNvSpPr/>
        </xdr:nvSpPr>
        <xdr:spPr>
          <a:xfrm>
            <a:off x="1105218" y="2546331"/>
            <a:ext cx="2963334" cy="1545167"/>
          </a:xfrm>
          <a:prstGeom prst="roundRect">
            <a:avLst>
              <a:gd name="adj" fmla="val 6393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ctr"/>
            <a:r>
              <a:rPr lang="en-US" sz="2800" b="1" i="0" u="none" strike="noStrike">
                <a:solidFill>
                  <a:schemeClr val="accent1">
                    <a:lumMod val="75000"/>
                  </a:schemeClr>
                </a:solidFill>
                <a:latin typeface="Montserrat Bold" panose="00000800000000000000" pitchFamily="2" charset="0"/>
                <a:ea typeface="Calibri"/>
                <a:cs typeface="Calibri"/>
              </a:rPr>
              <a:t>    </a:t>
            </a:r>
            <a:fld id="{4416A1A6-4673-4DCD-9C25-5E4D62858FFA}" type="TxLink">
              <a:rPr lang="en-US" sz="2800" b="1" i="0" u="none" strike="noStrike">
                <a:solidFill>
                  <a:schemeClr val="accent1">
                    <a:lumMod val="75000"/>
                  </a:schemeClr>
                </a:solidFill>
                <a:latin typeface="Montserrat Bold" panose="00000800000000000000" pitchFamily="2" charset="0"/>
                <a:ea typeface="Calibri"/>
                <a:cs typeface="Calibri"/>
              </a:rPr>
              <a:pPr marL="0" indent="0" algn="ctr"/>
              <a:t>67%</a:t>
            </a:fld>
            <a:endParaRPr lang="pt-BR" sz="4400" b="1" i="0" u="none" strike="noStrike">
              <a:solidFill>
                <a:schemeClr val="accent1">
                  <a:lumMod val="75000"/>
                </a:schemeClr>
              </a:solidFill>
              <a:latin typeface="Montserrat Bold" panose="00000800000000000000" pitchFamily="2" charset="0"/>
              <a:ea typeface="Calibri"/>
              <a:cs typeface="Calibri"/>
            </a:endParaRPr>
          </a:p>
        </xdr:txBody>
      </xdr:sp>
      <xdr:sp macro="" textlink="">
        <xdr:nvSpPr>
          <xdr:cNvPr id="61" name="CaixaDeTexto 60">
            <a:extLst>
              <a:ext uri="{FF2B5EF4-FFF2-40B4-BE49-F238E27FC236}">
                <a16:creationId xmlns:a16="http://schemas.microsoft.com/office/drawing/2014/main" id="{C887520B-7523-98BC-6004-AABDBF6802A6}"/>
              </a:ext>
            </a:extLst>
          </xdr:cNvPr>
          <xdr:cNvSpPr txBox="1"/>
        </xdr:nvSpPr>
        <xdr:spPr>
          <a:xfrm>
            <a:off x="1530374" y="2648090"/>
            <a:ext cx="2483461" cy="80337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r"/>
            <a:r>
              <a:rPr lang="pt-BR" sz="1200" b="1" i="0" u="none" strike="noStrike">
                <a:solidFill>
                  <a:schemeClr val="accent1">
                    <a:lumMod val="75000"/>
                  </a:schemeClr>
                </a:solidFill>
                <a:latin typeface="Montserrat Bold" panose="00000800000000000000" pitchFamily="2" charset="0"/>
                <a:ea typeface="Calibri"/>
                <a:cs typeface="Calibri"/>
              </a:rPr>
              <a:t>% EXECUTADO DA OBRA</a:t>
            </a:r>
          </a:p>
        </xdr:txBody>
      </xdr:sp>
    </xdr:grpSp>
    <xdr:clientData/>
  </xdr:twoCellAnchor>
  <xdr:twoCellAnchor>
    <xdr:from>
      <xdr:col>30</xdr:col>
      <xdr:colOff>571501</xdr:colOff>
      <xdr:row>10</xdr:row>
      <xdr:rowOff>134283</xdr:rowOff>
    </xdr:from>
    <xdr:to>
      <xdr:col>35</xdr:col>
      <xdr:colOff>120146</xdr:colOff>
      <xdr:row>16</xdr:row>
      <xdr:rowOff>78192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8BBAEC9F-8A2E-20CD-A619-CA23A57C81B8}"/>
            </a:ext>
          </a:extLst>
        </xdr:cNvPr>
        <xdr:cNvGrpSpPr/>
      </xdr:nvGrpSpPr>
      <xdr:grpSpPr>
        <a:xfrm>
          <a:off x="19939001" y="2102783"/>
          <a:ext cx="2564895" cy="1086909"/>
          <a:chOff x="1105218" y="2546332"/>
          <a:chExt cx="2963334" cy="1545167"/>
        </a:xfr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AG$15">
        <xdr:nvSpPr>
          <xdr:cNvPr id="65" name="Retângulo: Cantos Arredondados 64">
            <a:extLst>
              <a:ext uri="{FF2B5EF4-FFF2-40B4-BE49-F238E27FC236}">
                <a16:creationId xmlns:a16="http://schemas.microsoft.com/office/drawing/2014/main" id="{AD70F9FB-743F-D528-CBB3-ABB85B3A20D6}"/>
              </a:ext>
            </a:extLst>
          </xdr:cNvPr>
          <xdr:cNvSpPr/>
        </xdr:nvSpPr>
        <xdr:spPr>
          <a:xfrm>
            <a:off x="1105218" y="2546332"/>
            <a:ext cx="2963334" cy="1545167"/>
          </a:xfrm>
          <a:prstGeom prst="roundRect">
            <a:avLst>
              <a:gd name="adj" fmla="val 6393"/>
            </a:avLst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r"/>
            <a:fld id="{AC70D144-3B16-4660-8CF9-4DBD310A4B9D}" type="TxLink">
              <a:rPr lang="en-US" sz="1800" b="1" i="0" u="none" strike="noStrike">
                <a:solidFill>
                  <a:srgbClr val="C00000"/>
                </a:solidFill>
                <a:latin typeface="Montserrat Bold" panose="00000800000000000000" pitchFamily="2" charset="0"/>
                <a:ea typeface="Calibri"/>
                <a:cs typeface="Calibri"/>
              </a:rPr>
              <a:pPr marL="0" indent="0" algn="r"/>
              <a:t>-6.531,21 m²</a:t>
            </a:fld>
            <a:endParaRPr lang="pt-BR" sz="3200" b="1" i="0" u="none" strike="noStrike">
              <a:solidFill>
                <a:srgbClr val="C00000"/>
              </a:solidFill>
              <a:latin typeface="Montserrat Bold" panose="00000800000000000000" pitchFamily="2" charset="0"/>
              <a:ea typeface="Calibri"/>
              <a:cs typeface="Calibri"/>
            </a:endParaRPr>
          </a:p>
        </xdr:txBody>
      </xdr:sp>
      <xdr:sp macro="" textlink="">
        <xdr:nvSpPr>
          <xdr:cNvPr id="66" name="CaixaDeTexto 65">
            <a:extLst>
              <a:ext uri="{FF2B5EF4-FFF2-40B4-BE49-F238E27FC236}">
                <a16:creationId xmlns:a16="http://schemas.microsoft.com/office/drawing/2014/main" id="{D3AF9F62-28A3-B23C-5645-B6D97B60DC18}"/>
              </a:ext>
            </a:extLst>
          </xdr:cNvPr>
          <xdr:cNvSpPr txBox="1"/>
        </xdr:nvSpPr>
        <xdr:spPr>
          <a:xfrm>
            <a:off x="1530374" y="2648090"/>
            <a:ext cx="2483461" cy="80337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0" indent="0" algn="r"/>
            <a:r>
              <a:rPr lang="pt-BR" sz="1200" b="1" i="0" u="none" strike="noStrike">
                <a:solidFill>
                  <a:srgbClr val="C00000"/>
                </a:solidFill>
                <a:latin typeface="Montserrat Bold" panose="00000800000000000000" pitchFamily="2" charset="0"/>
                <a:ea typeface="Calibri"/>
                <a:cs typeface="Calibri"/>
              </a:rPr>
              <a:t>SALDO</a:t>
            </a:r>
            <a:r>
              <a:rPr lang="pt-BR" sz="1200" b="1" i="0" u="none" strike="noStrike" baseline="0">
                <a:solidFill>
                  <a:srgbClr val="C00000"/>
                </a:solidFill>
                <a:latin typeface="Montserrat Bold" panose="00000800000000000000" pitchFamily="2" charset="0"/>
                <a:ea typeface="Calibri"/>
                <a:cs typeface="Calibri"/>
              </a:rPr>
              <a:t> A EXECUTAR</a:t>
            </a:r>
            <a:endParaRPr lang="pt-BR" sz="1200" b="1" i="0" u="none" strike="noStrike">
              <a:solidFill>
                <a:srgbClr val="C00000"/>
              </a:solidFill>
              <a:latin typeface="Montserrat Bold" panose="00000800000000000000" pitchFamily="2" charset="0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395463</xdr:colOff>
      <xdr:row>19</xdr:row>
      <xdr:rowOff>168275</xdr:rowOff>
    </xdr:from>
    <xdr:to>
      <xdr:col>16</xdr:col>
      <xdr:colOff>23813</xdr:colOff>
      <xdr:row>34</xdr:row>
      <xdr:rowOff>63500</xdr:rowOff>
    </xdr:to>
    <xdr:graphicFrame macro="">
      <xdr:nvGraphicFramePr>
        <xdr:cNvPr id="67" name="Gráfico 66">
          <a:extLst>
            <a:ext uri="{FF2B5EF4-FFF2-40B4-BE49-F238E27FC236}">
              <a16:creationId xmlns:a16="http://schemas.microsoft.com/office/drawing/2014/main" id="{F86807DC-6ACA-4009-ABFB-A47549A04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505774</xdr:colOff>
      <xdr:row>17</xdr:row>
      <xdr:rowOff>150091</xdr:rowOff>
    </xdr:from>
    <xdr:to>
      <xdr:col>22</xdr:col>
      <xdr:colOff>275250</xdr:colOff>
      <xdr:row>20</xdr:row>
      <xdr:rowOff>97175</xdr:rowOff>
    </xdr:to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FD721CAA-7422-4FC8-B51E-6DB8A46950A8}"/>
            </a:ext>
          </a:extLst>
        </xdr:cNvPr>
        <xdr:cNvSpPr txBox="1"/>
      </xdr:nvSpPr>
      <xdr:spPr>
        <a:xfrm>
          <a:off x="11520138" y="3359727"/>
          <a:ext cx="3440930" cy="501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>
              <a:solidFill>
                <a:schemeClr val="accent5">
                  <a:lumMod val="50000"/>
                </a:schemeClr>
              </a:solidFill>
              <a:latin typeface="Montserrat Bold" panose="00000800000000000000" pitchFamily="2" charset="0"/>
            </a:rPr>
            <a:t>DISTRIBUIÇÃO</a:t>
          </a:r>
          <a:r>
            <a:rPr lang="pt-BR" sz="1400" b="1" baseline="0">
              <a:solidFill>
                <a:schemeClr val="accent5">
                  <a:lumMod val="50000"/>
                </a:schemeClr>
              </a:solidFill>
              <a:latin typeface="Montserrat Bold" panose="00000800000000000000" pitchFamily="2" charset="0"/>
            </a:rPr>
            <a:t> FINANCEIRA</a:t>
          </a:r>
          <a:endParaRPr lang="pt-BR" sz="1400" b="1">
            <a:solidFill>
              <a:schemeClr val="accent5">
                <a:lumMod val="50000"/>
              </a:schemeClr>
            </a:solidFill>
            <a:latin typeface="Montserrat Bold" panose="00000800000000000000" pitchFamily="2" charset="0"/>
          </a:endParaRPr>
        </a:p>
      </xdr:txBody>
    </xdr:sp>
    <xdr:clientData/>
  </xdr:twoCellAnchor>
  <xdr:twoCellAnchor>
    <xdr:from>
      <xdr:col>16</xdr:col>
      <xdr:colOff>120543</xdr:colOff>
      <xdr:row>20</xdr:row>
      <xdr:rowOff>29698</xdr:rowOff>
    </xdr:from>
    <xdr:to>
      <xdr:col>25</xdr:col>
      <xdr:colOff>76200</xdr:colOff>
      <xdr:row>35</xdr:row>
      <xdr:rowOff>21232</xdr:rowOff>
    </xdr:to>
    <xdr:graphicFrame macro="">
      <xdr:nvGraphicFramePr>
        <xdr:cNvPr id="72" name="Gráfico 71">
          <a:extLst>
            <a:ext uri="{FF2B5EF4-FFF2-40B4-BE49-F238E27FC236}">
              <a16:creationId xmlns:a16="http://schemas.microsoft.com/office/drawing/2014/main" id="{8F1FA1EA-4214-4FC6-BA08-D0A816972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515504</xdr:colOff>
      <xdr:row>24</xdr:row>
      <xdr:rowOff>42271</xdr:rowOff>
    </xdr:from>
    <xdr:to>
      <xdr:col>22</xdr:col>
      <xdr:colOff>46304</xdr:colOff>
      <xdr:row>24</xdr:row>
      <xdr:rowOff>183248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4B718A37-114C-2099-8529-AD804C36B567}"/>
            </a:ext>
          </a:extLst>
        </xdr:cNvPr>
        <xdr:cNvSpPr/>
      </xdr:nvSpPr>
      <xdr:spPr>
        <a:xfrm>
          <a:off x="14589413" y="4544998"/>
          <a:ext cx="142709" cy="140977"/>
        </a:xfrm>
        <a:prstGeom prst="ellipse">
          <a:avLst/>
        </a:prstGeom>
        <a:solidFill>
          <a:srgbClr val="6666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362858</xdr:colOff>
      <xdr:row>20</xdr:row>
      <xdr:rowOff>27215</xdr:rowOff>
    </xdr:from>
    <xdr:to>
      <xdr:col>35</xdr:col>
      <xdr:colOff>82176</xdr:colOff>
      <xdr:row>33</xdr:row>
      <xdr:rowOff>165100</xdr:rowOff>
    </xdr:to>
    <xdr:graphicFrame macro="">
      <xdr:nvGraphicFramePr>
        <xdr:cNvPr id="68" name="Gráfico 67">
          <a:extLst>
            <a:ext uri="{FF2B5EF4-FFF2-40B4-BE49-F238E27FC236}">
              <a16:creationId xmlns:a16="http://schemas.microsoft.com/office/drawing/2014/main" id="{CCE80081-5582-4D6E-BFB6-55A915906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297090</xdr:colOff>
      <xdr:row>17</xdr:row>
      <xdr:rowOff>123975</xdr:rowOff>
    </xdr:from>
    <xdr:to>
      <xdr:col>30</xdr:col>
      <xdr:colOff>66566</xdr:colOff>
      <xdr:row>20</xdr:row>
      <xdr:rowOff>71059</xdr:rowOff>
    </xdr:to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2BAAE72F-BDD1-444E-92ED-BE0B26F4FCD9}"/>
            </a:ext>
          </a:extLst>
        </xdr:cNvPr>
        <xdr:cNvSpPr txBox="1"/>
      </xdr:nvSpPr>
      <xdr:spPr>
        <a:xfrm>
          <a:off x="16126733" y="3298975"/>
          <a:ext cx="3416190" cy="491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>
              <a:solidFill>
                <a:schemeClr val="accent5">
                  <a:lumMod val="50000"/>
                </a:schemeClr>
              </a:solidFill>
              <a:latin typeface="Montserrat Bold" panose="00000800000000000000" pitchFamily="2" charset="0"/>
            </a:rPr>
            <a:t>STATUS</a:t>
          </a:r>
          <a:r>
            <a:rPr lang="pt-BR" sz="1400" b="1" baseline="0">
              <a:solidFill>
                <a:schemeClr val="accent5">
                  <a:lumMod val="50000"/>
                </a:schemeClr>
              </a:solidFill>
              <a:latin typeface="Montserrat Bold" panose="00000800000000000000" pitchFamily="2" charset="0"/>
            </a:rPr>
            <a:t> DOS PAVIMENTOS</a:t>
          </a:r>
          <a:endParaRPr lang="pt-BR" sz="1400" b="1">
            <a:solidFill>
              <a:schemeClr val="accent5">
                <a:lumMod val="50000"/>
              </a:schemeClr>
            </a:solidFill>
            <a:latin typeface="Montserrat Bold" panose="00000800000000000000" pitchFamily="2" charset="0"/>
          </a:endParaRPr>
        </a:p>
      </xdr:txBody>
    </xdr:sp>
    <xdr:clientData/>
  </xdr:twoCellAnchor>
  <xdr:twoCellAnchor>
    <xdr:from>
      <xdr:col>24</xdr:col>
      <xdr:colOff>292100</xdr:colOff>
      <xdr:row>33</xdr:row>
      <xdr:rowOff>95250</xdr:rowOff>
    </xdr:from>
    <xdr:to>
      <xdr:col>33</xdr:col>
      <xdr:colOff>590550</xdr:colOff>
      <xdr:row>35</xdr:row>
      <xdr:rowOff>57150</xdr:rowOff>
    </xdr:to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E6F92AE4-3EB7-CB62-B0C7-D84CB28F74D0}"/>
            </a:ext>
          </a:extLst>
        </xdr:cNvPr>
        <xdr:cNvSpPr txBox="1"/>
      </xdr:nvSpPr>
      <xdr:spPr>
        <a:xfrm>
          <a:off x="16160750" y="6248400"/>
          <a:ext cx="57848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 i="1">
              <a:solidFill>
                <a:srgbClr val="707070"/>
              </a:solidFill>
              <a:latin typeface="Segoe UI" panose="020B0502040204020203" pitchFamily="34" charset="0"/>
              <a:cs typeface="Segoe UI" panose="020B0502040204020203" pitchFamily="34" charset="0"/>
            </a:rPr>
            <a:t>Avanço estimado com base na distribuição proporcional da quantidade contratada por pavimento.</a:t>
          </a:r>
        </a:p>
      </xdr:txBody>
    </xdr:sp>
    <xdr:clientData/>
  </xdr:twoCellAnchor>
  <xdr:twoCellAnchor>
    <xdr:from>
      <xdr:col>4</xdr:col>
      <xdr:colOff>296330</xdr:colOff>
      <xdr:row>37</xdr:row>
      <xdr:rowOff>126999</xdr:rowOff>
    </xdr:from>
    <xdr:to>
      <xdr:col>14</xdr:col>
      <xdr:colOff>428624</xdr:colOff>
      <xdr:row>58</xdr:row>
      <xdr:rowOff>79375</xdr:rowOff>
    </xdr:to>
    <xdr:graphicFrame macro="">
      <xdr:nvGraphicFramePr>
        <xdr:cNvPr id="74" name="Gráfico 73">
          <a:extLst>
            <a:ext uri="{FF2B5EF4-FFF2-40B4-BE49-F238E27FC236}">
              <a16:creationId xmlns:a16="http://schemas.microsoft.com/office/drawing/2014/main" id="{8B0EB532-3AF3-4BF8-B2CF-4865CEA2C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264584</xdr:colOff>
      <xdr:row>35</xdr:row>
      <xdr:rowOff>165806</xdr:rowOff>
    </xdr:from>
    <xdr:to>
      <xdr:col>7</xdr:col>
      <xdr:colOff>325438</xdr:colOff>
      <xdr:row>38</xdr:row>
      <xdr:rowOff>112890</xdr:rowOff>
    </xdr:to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2CDBD54B-0247-4825-B041-5AFEC3B1D973}"/>
            </a:ext>
          </a:extLst>
        </xdr:cNvPr>
        <xdr:cNvSpPr txBox="1"/>
      </xdr:nvSpPr>
      <xdr:spPr>
        <a:xfrm>
          <a:off x="2695727" y="6606520"/>
          <a:ext cx="2346854" cy="491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>
              <a:solidFill>
                <a:schemeClr val="accent1">
                  <a:lumMod val="50000"/>
                </a:schemeClr>
              </a:solidFill>
              <a:latin typeface="Montserrat Bold" panose="00000800000000000000" pitchFamily="2" charset="0"/>
            </a:rPr>
            <a:t>PRODUTIVIDADE (m²)</a:t>
          </a:r>
        </a:p>
      </xdr:txBody>
    </xdr:sp>
    <xdr:clientData/>
  </xdr:twoCellAnchor>
  <xdr:twoCellAnchor>
    <xdr:from>
      <xdr:col>13</xdr:col>
      <xdr:colOff>639236</xdr:colOff>
      <xdr:row>38</xdr:row>
      <xdr:rowOff>57725</xdr:rowOff>
    </xdr:from>
    <xdr:to>
      <xdr:col>26</xdr:col>
      <xdr:colOff>369455</xdr:colOff>
      <xdr:row>59</xdr:row>
      <xdr:rowOff>111125</xdr:rowOff>
    </xdr:to>
    <xdr:graphicFrame macro="">
      <xdr:nvGraphicFramePr>
        <xdr:cNvPr id="75" name="Gráfico 74">
          <a:extLst>
            <a:ext uri="{FF2B5EF4-FFF2-40B4-BE49-F238E27FC236}">
              <a16:creationId xmlns:a16="http://schemas.microsoft.com/office/drawing/2014/main" id="{6A2DD5D5-884D-4456-B251-5C91406A3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670450</xdr:colOff>
      <xdr:row>36</xdr:row>
      <xdr:rowOff>24555</xdr:rowOff>
    </xdr:from>
    <xdr:to>
      <xdr:col>17</xdr:col>
      <xdr:colOff>565727</xdr:colOff>
      <xdr:row>38</xdr:row>
      <xdr:rowOff>156367</xdr:rowOff>
    </xdr:to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681D48B3-ED48-4365-9480-9098889963CD}"/>
            </a:ext>
          </a:extLst>
        </xdr:cNvPr>
        <xdr:cNvSpPr txBox="1"/>
      </xdr:nvSpPr>
      <xdr:spPr>
        <a:xfrm>
          <a:off x="9468086" y="6744010"/>
          <a:ext cx="2723914" cy="501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pt-BR" sz="1400" b="1">
              <a:solidFill>
                <a:schemeClr val="accent1">
                  <a:lumMod val="50000"/>
                </a:schemeClr>
              </a:solidFill>
              <a:latin typeface="Montserrat Bold" panose="00000800000000000000" pitchFamily="2" charset="0"/>
              <a:ea typeface="+mn-ea"/>
              <a:cs typeface="+mn-cs"/>
            </a:rPr>
            <a:t>SALDO DE SERVIÇOS (m²)</a:t>
          </a:r>
        </a:p>
      </xdr:txBody>
    </xdr:sp>
    <xdr:clientData/>
  </xdr:twoCellAnchor>
  <xdr:twoCellAnchor>
    <xdr:from>
      <xdr:col>26</xdr:col>
      <xdr:colOff>427181</xdr:colOff>
      <xdr:row>38</xdr:row>
      <xdr:rowOff>119529</xdr:rowOff>
    </xdr:from>
    <xdr:to>
      <xdr:col>35</xdr:col>
      <xdr:colOff>0</xdr:colOff>
      <xdr:row>58</xdr:row>
      <xdr:rowOff>34636</xdr:rowOff>
    </xdr:to>
    <xdr:graphicFrame macro="">
      <xdr:nvGraphicFramePr>
        <xdr:cNvPr id="78" name="Gráfico 77">
          <a:extLst>
            <a:ext uri="{FF2B5EF4-FFF2-40B4-BE49-F238E27FC236}">
              <a16:creationId xmlns:a16="http://schemas.microsoft.com/office/drawing/2014/main" id="{4045880A-4923-4E1F-9601-75FC97862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381000</xdr:colOff>
      <xdr:row>36</xdr:row>
      <xdr:rowOff>3479</xdr:rowOff>
    </xdr:from>
    <xdr:to>
      <xdr:col>31</xdr:col>
      <xdr:colOff>45369</xdr:colOff>
      <xdr:row>38</xdr:row>
      <xdr:rowOff>135291</xdr:rowOff>
    </xdr:to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4639AE60-36AC-4ED5-8F24-B7D9DC13C1CD}"/>
            </a:ext>
          </a:extLst>
        </xdr:cNvPr>
        <xdr:cNvSpPr txBox="1"/>
      </xdr:nvSpPr>
      <xdr:spPr>
        <a:xfrm>
          <a:off x="17514455" y="6722934"/>
          <a:ext cx="2723914" cy="501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pt-BR" sz="1400" b="1">
              <a:solidFill>
                <a:schemeClr val="accent1">
                  <a:lumMod val="50000"/>
                </a:schemeClr>
              </a:solidFill>
              <a:latin typeface="Montserrat Bold" panose="00000800000000000000" pitchFamily="2" charset="0"/>
              <a:ea typeface="+mn-ea"/>
              <a:cs typeface="+mn-cs"/>
            </a:rPr>
            <a:t>MEDIÇÃO</a:t>
          </a:r>
          <a:r>
            <a:rPr lang="pt-BR" sz="1400" b="1" baseline="0">
              <a:solidFill>
                <a:schemeClr val="accent1">
                  <a:lumMod val="50000"/>
                </a:schemeClr>
              </a:solidFill>
              <a:latin typeface="Montserrat Bold" panose="00000800000000000000" pitchFamily="2" charset="0"/>
              <a:ea typeface="+mn-ea"/>
              <a:cs typeface="+mn-cs"/>
            </a:rPr>
            <a:t> ATUAL</a:t>
          </a:r>
          <a:endParaRPr lang="pt-BR" sz="1400" b="1">
            <a:solidFill>
              <a:schemeClr val="accent1">
                <a:lumMod val="50000"/>
              </a:schemeClr>
            </a:solidFill>
            <a:latin typeface="Montserrat Bold" panose="000008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262405</xdr:colOff>
      <xdr:row>19</xdr:row>
      <xdr:rowOff>95252</xdr:rowOff>
    </xdr:from>
    <xdr:to>
      <xdr:col>1</xdr:col>
      <xdr:colOff>222250</xdr:colOff>
      <xdr:row>22</xdr:row>
      <xdr:rowOff>108429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0D965BB4-9391-F028-9B10-D4FE26DC3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05" y="3778252"/>
          <a:ext cx="563095" cy="584677"/>
        </a:xfrm>
        <a:prstGeom prst="rect">
          <a:avLst/>
        </a:prstGeom>
      </xdr:spPr>
    </xdr:pic>
    <xdr:clientData/>
  </xdr:twoCellAnchor>
  <xdr:twoCellAnchor editAs="oneCell">
    <xdr:from>
      <xdr:col>0</xdr:col>
      <xdr:colOff>239058</xdr:colOff>
      <xdr:row>14</xdr:row>
      <xdr:rowOff>97118</xdr:rowOff>
    </xdr:from>
    <xdr:to>
      <xdr:col>1</xdr:col>
      <xdr:colOff>171822</xdr:colOff>
      <xdr:row>17</xdr:row>
      <xdr:rowOff>82176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3F380E2-B3E0-206A-5576-B4FF31CFB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58" y="2786530"/>
          <a:ext cx="545352" cy="545352"/>
        </a:xfrm>
        <a:prstGeom prst="rect">
          <a:avLst/>
        </a:prstGeom>
      </xdr:spPr>
    </xdr:pic>
    <xdr:clientData/>
  </xdr:twoCellAnchor>
  <xdr:twoCellAnchor editAs="oneCell">
    <xdr:from>
      <xdr:col>0</xdr:col>
      <xdr:colOff>261470</xdr:colOff>
      <xdr:row>24</xdr:row>
      <xdr:rowOff>134472</xdr:rowOff>
    </xdr:from>
    <xdr:to>
      <xdr:col>1</xdr:col>
      <xdr:colOff>141940</xdr:colOff>
      <xdr:row>27</xdr:row>
      <xdr:rowOff>67236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6429FA2C-F1EF-90EB-3F75-F470C6630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70" y="4691531"/>
          <a:ext cx="493058" cy="493058"/>
        </a:xfrm>
        <a:prstGeom prst="rect">
          <a:avLst/>
        </a:prstGeom>
      </xdr:spPr>
    </xdr:pic>
    <xdr:clientData/>
  </xdr:twoCellAnchor>
  <xdr:twoCellAnchor editAs="oneCell">
    <xdr:from>
      <xdr:col>0</xdr:col>
      <xdr:colOff>249780</xdr:colOff>
      <xdr:row>29</xdr:row>
      <xdr:rowOff>125053</xdr:rowOff>
    </xdr:from>
    <xdr:to>
      <xdr:col>1</xdr:col>
      <xdr:colOff>182544</xdr:colOff>
      <xdr:row>32</xdr:row>
      <xdr:rowOff>110111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4617DE5A-719F-9F36-C94C-38B01F413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80" y="5486662"/>
          <a:ext cx="540155" cy="531710"/>
        </a:xfrm>
        <a:prstGeom prst="rect">
          <a:avLst/>
        </a:prstGeom>
      </xdr:spPr>
    </xdr:pic>
    <xdr:clientData/>
  </xdr:twoCellAnchor>
  <xdr:twoCellAnchor editAs="oneCell">
    <xdr:from>
      <xdr:col>0</xdr:col>
      <xdr:colOff>283882</xdr:colOff>
      <xdr:row>34</xdr:row>
      <xdr:rowOff>179294</xdr:rowOff>
    </xdr:from>
    <xdr:to>
      <xdr:col>1</xdr:col>
      <xdr:colOff>171823</xdr:colOff>
      <xdr:row>37</xdr:row>
      <xdr:rowOff>119529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2EF5E280-0599-59A9-9894-10410007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82" y="6451990"/>
          <a:ext cx="495332" cy="486887"/>
        </a:xfrm>
        <a:prstGeom prst="rect">
          <a:avLst/>
        </a:prstGeom>
      </xdr:spPr>
    </xdr:pic>
    <xdr:clientData/>
  </xdr:twoCellAnchor>
  <xdr:twoCellAnchor editAs="oneCell">
    <xdr:from>
      <xdr:col>0</xdr:col>
      <xdr:colOff>283883</xdr:colOff>
      <xdr:row>39</xdr:row>
      <xdr:rowOff>164354</xdr:rowOff>
    </xdr:from>
    <xdr:to>
      <xdr:col>1</xdr:col>
      <xdr:colOff>194234</xdr:colOff>
      <xdr:row>42</xdr:row>
      <xdr:rowOff>126998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18720596-8075-5350-2135-4D1295253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83" y="7522883"/>
          <a:ext cx="522939" cy="522939"/>
        </a:xfrm>
        <a:prstGeom prst="rect">
          <a:avLst/>
        </a:prstGeom>
      </xdr:spPr>
    </xdr:pic>
    <xdr:clientData/>
  </xdr:twoCellAnchor>
  <xdr:twoCellAnchor>
    <xdr:from>
      <xdr:col>13</xdr:col>
      <xdr:colOff>698500</xdr:colOff>
      <xdr:row>0</xdr:row>
      <xdr:rowOff>0</xdr:rowOff>
    </xdr:from>
    <xdr:to>
      <xdr:col>23</xdr:col>
      <xdr:colOff>31750</xdr:colOff>
      <xdr:row>4</xdr:row>
      <xdr:rowOff>95250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D702B96-C267-0D7E-8520-62257ADD92EF}"/>
            </a:ext>
          </a:extLst>
        </xdr:cNvPr>
        <xdr:cNvSpPr txBox="1"/>
      </xdr:nvSpPr>
      <xdr:spPr>
        <a:xfrm>
          <a:off x="9413875" y="0"/>
          <a:ext cx="5762625" cy="889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000">
              <a:solidFill>
                <a:schemeClr val="bg1"/>
              </a:solidFill>
              <a:latin typeface="Montserrat Bold" panose="00000500000000000000" pitchFamily="2" charset="0"/>
            </a:rPr>
            <a:t>DASHBORD EXECUTIVO</a:t>
          </a:r>
        </a:p>
      </xdr:txBody>
    </xdr:sp>
    <xdr:clientData/>
  </xdr:twoCellAnchor>
  <xdr:twoCellAnchor>
    <xdr:from>
      <xdr:col>9</xdr:col>
      <xdr:colOff>904874</xdr:colOff>
      <xdr:row>0</xdr:row>
      <xdr:rowOff>111124</xdr:rowOff>
    </xdr:from>
    <xdr:to>
      <xdr:col>27</xdr:col>
      <xdr:colOff>95249</xdr:colOff>
      <xdr:row>6</xdr:row>
      <xdr:rowOff>31749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739580E7-66DA-4A95-37DC-9B053DC0ADE4}"/>
            </a:ext>
          </a:extLst>
        </xdr:cNvPr>
        <xdr:cNvSpPr txBox="1"/>
      </xdr:nvSpPr>
      <xdr:spPr>
        <a:xfrm>
          <a:off x="6810374" y="111124"/>
          <a:ext cx="10842625" cy="1127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 b="1">
              <a:solidFill>
                <a:schemeClr val="bg1"/>
              </a:solidFill>
              <a:latin typeface="Montserrat Bold" panose="00000500000000000000" pitchFamily="2" charset="0"/>
            </a:rPr>
            <a:t>ACOMPANHAMENTO</a:t>
          </a:r>
          <a:r>
            <a:rPr lang="pt-BR" sz="3600" b="1" baseline="0">
              <a:solidFill>
                <a:schemeClr val="bg1"/>
              </a:solidFill>
              <a:latin typeface="Montserrat Bold" panose="00000500000000000000" pitchFamily="2" charset="0"/>
            </a:rPr>
            <a:t> DA OBRA</a:t>
          </a:r>
        </a:p>
        <a:p>
          <a:pPr algn="ctr"/>
          <a:endParaRPr lang="pt-BR" sz="3600" b="1">
            <a:solidFill>
              <a:schemeClr val="bg1"/>
            </a:solidFill>
            <a:latin typeface="Montserrat Bold" panose="00000500000000000000" pitchFamily="2" charset="0"/>
          </a:endParaRPr>
        </a:p>
      </xdr:txBody>
    </xdr:sp>
    <xdr:clientData/>
  </xdr:twoCellAnchor>
  <xdr:oneCellAnchor>
    <xdr:from>
      <xdr:col>32</xdr:col>
      <xdr:colOff>587375</xdr:colOff>
      <xdr:row>4</xdr:row>
      <xdr:rowOff>79375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5E4BB146-E889-BF68-EA15-068C2F9270DE}"/>
            </a:ext>
          </a:extLst>
        </xdr:cNvPr>
        <xdr:cNvSpPr txBox="1"/>
      </xdr:nvSpPr>
      <xdr:spPr>
        <a:xfrm>
          <a:off x="21161375" y="87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12</xdr:col>
      <xdr:colOff>427182</xdr:colOff>
      <xdr:row>4</xdr:row>
      <xdr:rowOff>47625</xdr:rowOff>
    </xdr:from>
    <xdr:to>
      <xdr:col>24</xdr:col>
      <xdr:colOff>115455</xdr:colOff>
      <xdr:row>7</xdr:row>
      <xdr:rowOff>111125</xdr:rowOff>
    </xdr:to>
    <xdr:grpSp>
      <xdr:nvGrpSpPr>
        <xdr:cNvPr id="89" name="Agrupar 88">
          <a:extLst>
            <a:ext uri="{FF2B5EF4-FFF2-40B4-BE49-F238E27FC236}">
              <a16:creationId xmlns:a16="http://schemas.microsoft.com/office/drawing/2014/main" id="{E9F92916-6419-CAC6-3891-F15F3969CF4F}"/>
            </a:ext>
          </a:extLst>
        </xdr:cNvPr>
        <xdr:cNvGrpSpPr/>
      </xdr:nvGrpSpPr>
      <xdr:grpSpPr>
        <a:xfrm>
          <a:off x="8539307" y="841375"/>
          <a:ext cx="7324148" cy="666750"/>
          <a:chOff x="8157707" y="841375"/>
          <a:chExt cx="7326325" cy="666750"/>
        </a:xfrm>
      </xdr:grpSpPr>
      <xdr:sp macro="" textlink="">
        <xdr:nvSpPr>
          <xdr:cNvPr id="22" name="CaixaDeTexto 21">
            <a:extLst>
              <a:ext uri="{FF2B5EF4-FFF2-40B4-BE49-F238E27FC236}">
                <a16:creationId xmlns:a16="http://schemas.microsoft.com/office/drawing/2014/main" id="{39885F11-3A69-5147-0586-CDCD0CEEFA72}"/>
              </a:ext>
            </a:extLst>
          </xdr:cNvPr>
          <xdr:cNvSpPr txBox="1"/>
        </xdr:nvSpPr>
        <xdr:spPr>
          <a:xfrm>
            <a:off x="10326408" y="841375"/>
            <a:ext cx="3165475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400">
                <a:solidFill>
                  <a:schemeClr val="bg1"/>
                </a:solidFill>
                <a:latin typeface="Montserrat Bold" panose="00000500000000000000" pitchFamily="2" charset="0"/>
              </a:rPr>
              <a:t>Dom Porcelanatos</a:t>
            </a:r>
          </a:p>
        </xdr:txBody>
      </xdr:sp>
      <xdr:cxnSp macro="">
        <xdr:nvCxnSpPr>
          <xdr:cNvPr id="28" name="Conector de Seta Reta 27">
            <a:extLst>
              <a:ext uri="{FF2B5EF4-FFF2-40B4-BE49-F238E27FC236}">
                <a16:creationId xmlns:a16="http://schemas.microsoft.com/office/drawing/2014/main" id="{BB1029A9-2CE9-6AFC-0FE3-D3B2BD8A0376}"/>
              </a:ext>
            </a:extLst>
          </xdr:cNvPr>
          <xdr:cNvCxnSpPr/>
        </xdr:nvCxnSpPr>
        <xdr:spPr>
          <a:xfrm flipV="1">
            <a:off x="13431188" y="1205727"/>
            <a:ext cx="2052844" cy="1359"/>
          </a:xfrm>
          <a:prstGeom prst="straightConnector1">
            <a:avLst/>
          </a:prstGeom>
          <a:ln w="38100" cap="flat" cmpd="sng" algn="ctr">
            <a:solidFill>
              <a:schemeClr val="bg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  <xdr:cxnSp macro="">
        <xdr:nvCxnSpPr>
          <xdr:cNvPr id="31" name="Conector de Seta Reta 30">
            <a:extLst>
              <a:ext uri="{FF2B5EF4-FFF2-40B4-BE49-F238E27FC236}">
                <a16:creationId xmlns:a16="http://schemas.microsoft.com/office/drawing/2014/main" id="{4125DC94-5EF5-43BD-B739-EBE8E1AD6CD2}"/>
              </a:ext>
            </a:extLst>
          </xdr:cNvPr>
          <xdr:cNvCxnSpPr/>
        </xdr:nvCxnSpPr>
        <xdr:spPr>
          <a:xfrm flipH="1" flipV="1">
            <a:off x="8157707" y="1193927"/>
            <a:ext cx="2268825" cy="6623"/>
          </a:xfrm>
          <a:prstGeom prst="straightConnector1">
            <a:avLst/>
          </a:prstGeom>
          <a:ln w="38100" cap="flat" cmpd="sng" algn="ctr">
            <a:solidFill>
              <a:schemeClr val="bg1"/>
            </a:solidFill>
            <a:prstDash val="solid"/>
            <a:round/>
            <a:headEnd type="none" w="med" len="med"/>
            <a:tailEnd type="arrow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47625</xdr:colOff>
      <xdr:row>0</xdr:row>
      <xdr:rowOff>111125</xdr:rowOff>
    </xdr:from>
    <xdr:to>
      <xdr:col>12</xdr:col>
      <xdr:colOff>111125</xdr:colOff>
      <xdr:row>6</xdr:row>
      <xdr:rowOff>174625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193649CF-7326-ACAD-0D5B-9E362833B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11125"/>
          <a:ext cx="1270000" cy="1270000"/>
        </a:xfrm>
        <a:prstGeom prst="rect">
          <a:avLst/>
        </a:prstGeom>
      </xdr:spPr>
    </xdr:pic>
    <xdr:clientData/>
  </xdr:twoCellAnchor>
  <xdr:twoCellAnchor editAs="oneCell">
    <xdr:from>
      <xdr:col>4</xdr:col>
      <xdr:colOff>438728</xdr:colOff>
      <xdr:row>13</xdr:row>
      <xdr:rowOff>0</xdr:rowOff>
    </xdr:from>
    <xdr:to>
      <xdr:col>5</xdr:col>
      <xdr:colOff>473365</xdr:colOff>
      <xdr:row>16</xdr:row>
      <xdr:rowOff>92364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6FB01C11-30CE-3967-241A-B2F3C6AA6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364" y="2470727"/>
          <a:ext cx="646546" cy="646546"/>
        </a:xfrm>
        <a:prstGeom prst="rect">
          <a:avLst/>
        </a:prstGeom>
      </xdr:spPr>
    </xdr:pic>
    <xdr:clientData/>
  </xdr:twoCellAnchor>
  <xdr:twoCellAnchor editAs="oneCell">
    <xdr:from>
      <xdr:col>0</xdr:col>
      <xdr:colOff>80818</xdr:colOff>
      <xdr:row>0</xdr:row>
      <xdr:rowOff>0</xdr:rowOff>
    </xdr:from>
    <xdr:to>
      <xdr:col>4</xdr:col>
      <xdr:colOff>565727</xdr:colOff>
      <xdr:row>8</xdr:row>
      <xdr:rowOff>123834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E1159F1-9224-6040-3435-8FFB9D053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18" y="0"/>
          <a:ext cx="2932545" cy="1670925"/>
        </a:xfrm>
        <a:prstGeom prst="rect">
          <a:avLst/>
        </a:prstGeom>
      </xdr:spPr>
    </xdr:pic>
    <xdr:clientData/>
  </xdr:twoCellAnchor>
  <xdr:twoCellAnchor editAs="oneCell">
    <xdr:from>
      <xdr:col>0</xdr:col>
      <xdr:colOff>196274</xdr:colOff>
      <xdr:row>9</xdr:row>
      <xdr:rowOff>103909</xdr:rowOff>
    </xdr:from>
    <xdr:to>
      <xdr:col>1</xdr:col>
      <xdr:colOff>138546</xdr:colOff>
      <xdr:row>12</xdr:row>
      <xdr:rowOff>103908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DC236B3F-B040-5B77-85A2-52A123F2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74" y="1835727"/>
          <a:ext cx="554181" cy="554181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12</xdr:row>
      <xdr:rowOff>115454</xdr:rowOff>
    </xdr:from>
    <xdr:to>
      <xdr:col>9</xdr:col>
      <xdr:colOff>404091</xdr:colOff>
      <xdr:row>16</xdr:row>
      <xdr:rowOff>11545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25D4FFBE-3DE7-93BF-D6FF-FFBA40737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8091" y="2401454"/>
          <a:ext cx="635000" cy="635000"/>
        </a:xfrm>
        <a:prstGeom prst="rect">
          <a:avLst/>
        </a:prstGeom>
      </xdr:spPr>
    </xdr:pic>
    <xdr:clientData/>
  </xdr:twoCellAnchor>
  <xdr:twoCellAnchor editAs="oneCell">
    <xdr:from>
      <xdr:col>12</xdr:col>
      <xdr:colOff>519546</xdr:colOff>
      <xdr:row>12</xdr:row>
      <xdr:rowOff>16844</xdr:rowOff>
    </xdr:from>
    <xdr:to>
      <xdr:col>13</xdr:col>
      <xdr:colOff>611910</xdr:colOff>
      <xdr:row>15</xdr:row>
      <xdr:rowOff>166935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4ED5C04D-0E87-38C2-7DEB-4A4DC6435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5273" y="2302844"/>
          <a:ext cx="704273" cy="704273"/>
        </a:xfrm>
        <a:prstGeom prst="rect">
          <a:avLst/>
        </a:prstGeom>
      </xdr:spPr>
    </xdr:pic>
    <xdr:clientData/>
  </xdr:twoCellAnchor>
  <xdr:twoCellAnchor editAs="oneCell">
    <xdr:from>
      <xdr:col>16</xdr:col>
      <xdr:colOff>577273</xdr:colOff>
      <xdr:row>11</xdr:row>
      <xdr:rowOff>103910</xdr:rowOff>
    </xdr:from>
    <xdr:to>
      <xdr:col>18</xdr:col>
      <xdr:colOff>166936</xdr:colOff>
      <xdr:row>15</xdr:row>
      <xdr:rowOff>178482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A40098F-F742-D099-0CC3-460ADF2AE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637" y="2205183"/>
          <a:ext cx="813481" cy="813481"/>
        </a:xfrm>
        <a:prstGeom prst="rect">
          <a:avLst/>
        </a:prstGeom>
      </xdr:spPr>
    </xdr:pic>
    <xdr:clientData/>
  </xdr:twoCellAnchor>
  <xdr:twoCellAnchor editAs="oneCell">
    <xdr:from>
      <xdr:col>21</xdr:col>
      <xdr:colOff>438727</xdr:colOff>
      <xdr:row>11</xdr:row>
      <xdr:rowOff>127000</xdr:rowOff>
    </xdr:from>
    <xdr:to>
      <xdr:col>22</xdr:col>
      <xdr:colOff>577271</xdr:colOff>
      <xdr:row>15</xdr:row>
      <xdr:rowOff>138544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E6308AF7-2D96-8675-A31B-02052A989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2636" y="2228273"/>
          <a:ext cx="750453" cy="750453"/>
        </a:xfrm>
        <a:prstGeom prst="rect">
          <a:avLst/>
        </a:prstGeom>
      </xdr:spPr>
    </xdr:pic>
    <xdr:clientData/>
  </xdr:twoCellAnchor>
  <xdr:twoCellAnchor editAs="oneCell">
    <xdr:from>
      <xdr:col>26</xdr:col>
      <xdr:colOff>265546</xdr:colOff>
      <xdr:row>12</xdr:row>
      <xdr:rowOff>92364</xdr:rowOff>
    </xdr:from>
    <xdr:to>
      <xdr:col>27</xdr:col>
      <xdr:colOff>369455</xdr:colOff>
      <xdr:row>16</xdr:row>
      <xdr:rowOff>69273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7A5D5472-5274-8F0C-2178-EB1ADAA7C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9001" y="2378364"/>
          <a:ext cx="715818" cy="715818"/>
        </a:xfrm>
        <a:prstGeom prst="rect">
          <a:avLst/>
        </a:prstGeom>
      </xdr:spPr>
    </xdr:pic>
    <xdr:clientData/>
  </xdr:twoCellAnchor>
  <xdr:twoCellAnchor editAs="oneCell">
    <xdr:from>
      <xdr:col>31</xdr:col>
      <xdr:colOff>150092</xdr:colOff>
      <xdr:row>12</xdr:row>
      <xdr:rowOff>3417</xdr:rowOff>
    </xdr:from>
    <xdr:to>
      <xdr:col>32</xdr:col>
      <xdr:colOff>265547</xdr:colOff>
      <xdr:row>16</xdr:row>
      <xdr:rowOff>34637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5D86C06E-EACA-0398-DA0B-648E93DF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43092" y="2289417"/>
          <a:ext cx="727364" cy="770129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0.81379</cdr:x>
      <cdr:y>0</cdr:y>
    </cdr:from>
    <cdr:to>
      <cdr:x>1</cdr:x>
      <cdr:y>0.14448</cdr:y>
    </cdr:to>
    <cdr:grpSp>
      <cdr:nvGrpSpPr>
        <cdr:cNvPr id="8" name="Agrupar 7">
          <a:extLst xmlns:a="http://schemas.openxmlformats.org/drawingml/2006/main">
            <a:ext uri="{FF2B5EF4-FFF2-40B4-BE49-F238E27FC236}">
              <a16:creationId xmlns:a16="http://schemas.microsoft.com/office/drawing/2014/main" id="{9316C046-A755-87B7-E201-17744FCE9C45}"/>
            </a:ext>
          </a:extLst>
        </cdr:cNvPr>
        <cdr:cNvGrpSpPr/>
      </cdr:nvGrpSpPr>
      <cdr:grpSpPr>
        <a:xfrm xmlns:a="http://schemas.openxmlformats.org/drawingml/2006/main">
          <a:off x="6622094" y="0"/>
          <a:ext cx="1515256" cy="397714"/>
          <a:chOff x="4938287" y="1"/>
          <a:chExt cx="1267743" cy="374765"/>
        </a:xfrm>
      </cdr:grpSpPr>
      <cdr:grpSp>
        <cdr:nvGrpSpPr>
          <cdr:cNvPr id="7" name="Agrupar 6">
            <a:extLst xmlns:a="http://schemas.openxmlformats.org/drawingml/2006/main">
              <a:ext uri="{FF2B5EF4-FFF2-40B4-BE49-F238E27FC236}">
                <a16:creationId xmlns:a16="http://schemas.microsoft.com/office/drawing/2014/main" id="{9909E6EC-C0F1-AC48-AD2E-1BCCB33C587F}"/>
              </a:ext>
            </a:extLst>
          </cdr:cNvPr>
          <cdr:cNvGrpSpPr/>
        </cdr:nvGrpSpPr>
        <cdr:grpSpPr>
          <a:xfrm xmlns:a="http://schemas.openxmlformats.org/drawingml/2006/main">
            <a:off x="4938287" y="1"/>
            <a:ext cx="1267743" cy="187728"/>
            <a:chOff x="4938287" y="1"/>
            <a:chExt cx="1267743" cy="187728"/>
          </a:xfrm>
        </cdr:grpSpPr>
        <cdr:sp macro="" textlink="">
          <cdr:nvSpPr>
            <cdr:cNvPr id="2" name="Retângulo 1">
              <a:extLst xmlns:a="http://schemas.openxmlformats.org/drawingml/2006/main">
                <a:ext uri="{FF2B5EF4-FFF2-40B4-BE49-F238E27FC236}">
                  <a16:creationId xmlns:a16="http://schemas.microsoft.com/office/drawing/2014/main" id="{D8A3BC79-0C68-F835-382D-356797340A79}"/>
                </a:ext>
              </a:extLst>
            </cdr:cNvPr>
            <cdr:cNvSpPr/>
          </cdr:nvSpPr>
          <cdr:spPr>
            <a:xfrm xmlns:a="http://schemas.openxmlformats.org/drawingml/2006/main">
              <a:off x="4938287" y="48402"/>
              <a:ext cx="163379" cy="13829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1">
                <a:lumMod val="50000"/>
              </a:schemeClr>
            </a:solidFill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15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endParaRPr lang="pt-BR" sz="1100"/>
            </a:p>
          </cdr:txBody>
        </cdr:sp>
        <cdr:sp macro="" textlink="">
          <cdr:nvSpPr>
            <cdr:cNvPr id="4" name="CaixaDeTexto 68">
              <a:extLst xmlns:a="http://schemas.openxmlformats.org/drawingml/2006/main">
                <a:ext uri="{FF2B5EF4-FFF2-40B4-BE49-F238E27FC236}">
                  <a16:creationId xmlns:a16="http://schemas.microsoft.com/office/drawing/2014/main" id="{9C1AFD85-B8AE-C925-548B-A41C3664511A}"/>
                </a:ext>
              </a:extLst>
            </cdr:cNvPr>
            <cdr:cNvSpPr txBox="1"/>
          </cdr:nvSpPr>
          <cdr:spPr>
            <a:xfrm xmlns:a="http://schemas.openxmlformats.org/drawingml/2006/main">
              <a:off x="5083691" y="1"/>
              <a:ext cx="1122339" cy="187728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pt-BR" sz="1050">
                  <a:solidFill>
                    <a:srgbClr val="666666"/>
                  </a:solidFill>
                  <a:latin typeface="Montserrat semiBold" panose="00000700000000000000" pitchFamily="2" charset="0"/>
                </a:rPr>
                <a:t>FINANCEIRO</a:t>
              </a:r>
              <a:endParaRPr lang="pt-BR" sz="900">
                <a:solidFill>
                  <a:srgbClr val="666666"/>
                </a:solidFill>
                <a:latin typeface="Montserrat semiBold" panose="00000700000000000000" pitchFamily="2" charset="0"/>
              </a:endParaRPr>
            </a:p>
          </cdr:txBody>
        </cdr:sp>
      </cdr:grpSp>
      <cdr:grpSp>
        <cdr:nvGrpSpPr>
          <cdr:cNvPr id="6" name="Agrupar 5">
            <a:extLst xmlns:a="http://schemas.openxmlformats.org/drawingml/2006/main">
              <a:ext uri="{FF2B5EF4-FFF2-40B4-BE49-F238E27FC236}">
                <a16:creationId xmlns:a16="http://schemas.microsoft.com/office/drawing/2014/main" id="{BF6F9F5E-CB2B-244B-E87C-CB4E0AC14652}"/>
              </a:ext>
            </a:extLst>
          </cdr:cNvPr>
          <cdr:cNvGrpSpPr/>
        </cdr:nvGrpSpPr>
        <cdr:grpSpPr>
          <a:xfrm xmlns:a="http://schemas.openxmlformats.org/drawingml/2006/main">
            <a:off x="4938287" y="184404"/>
            <a:ext cx="1264267" cy="190362"/>
            <a:chOff x="4938287" y="184406"/>
            <a:chExt cx="1264265" cy="190360"/>
          </a:xfrm>
        </cdr:grpSpPr>
        <cdr:sp macro="" textlink="">
          <cdr:nvSpPr>
            <cdr:cNvPr id="3" name="Retângulo 2">
              <a:extLst xmlns:a="http://schemas.openxmlformats.org/drawingml/2006/main">
                <a:ext uri="{FF2B5EF4-FFF2-40B4-BE49-F238E27FC236}">
                  <a16:creationId xmlns:a16="http://schemas.microsoft.com/office/drawing/2014/main" id="{D8A3BC79-0C68-F835-382D-356797340A79}"/>
                </a:ext>
              </a:extLst>
            </cdr:cNvPr>
            <cdr:cNvSpPr/>
          </cdr:nvSpPr>
          <cdr:spPr>
            <a:xfrm xmlns:a="http://schemas.openxmlformats.org/drawingml/2006/main">
              <a:off x="4938287" y="236475"/>
              <a:ext cx="163379" cy="138291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accent5">
                <a:lumMod val="20000"/>
                <a:lumOff val="80000"/>
              </a:schemeClr>
            </a:solidFill>
            <a:ln xmlns:a="http://schemas.openxmlformats.org/drawingml/2006/main">
              <a:noFill/>
            </a:ln>
          </cdr:spPr>
          <cdr:style>
            <a:lnRef xmlns:a="http://schemas.openxmlformats.org/drawingml/2006/main" idx="2">
              <a:schemeClr val="accent1">
                <a:shade val="15000"/>
              </a:schemeClr>
            </a:lnRef>
            <a:fillRef xmlns:a="http://schemas.openxmlformats.org/drawingml/2006/main" idx="1">
              <a:schemeClr val="accent1"/>
            </a:fillRef>
            <a:effectRef xmlns:a="http://schemas.openxmlformats.org/drawingml/2006/main" idx="0">
              <a:schemeClr val="accent1"/>
            </a:effectRef>
            <a:fontRef xmlns:a="http://schemas.openxmlformats.org/drawingml/2006/main" idx="minor">
              <a:schemeClr val="lt1"/>
            </a:fontRef>
          </cdr:style>
          <cdr:txBody>
    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    <a:prstTxWarp prst="textNoShape">
                <a:avLst/>
              </a:prstTxWarp>
              <a:noAutofit/>
            </a:bodyPr>
            <a:lstStyle xmlns:a="http://schemas.openxmlformats.org/drawingml/2006/main"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endParaRPr lang="pt-BR" sz="1100"/>
            </a:p>
          </cdr:txBody>
        </cdr:sp>
        <cdr:sp macro="" textlink="">
          <cdr:nvSpPr>
            <cdr:cNvPr id="5" name="CaixaDeTexto 68">
              <a:extLst xmlns:a="http://schemas.openxmlformats.org/drawingml/2006/main">
                <a:ext uri="{FF2B5EF4-FFF2-40B4-BE49-F238E27FC236}">
                  <a16:creationId xmlns:a16="http://schemas.microsoft.com/office/drawing/2014/main" id="{BB06F818-8CCF-F2A3-6187-3D6B4D8F9D2A}"/>
                </a:ext>
              </a:extLst>
            </cdr:cNvPr>
            <cdr:cNvSpPr txBox="1"/>
          </cdr:nvSpPr>
          <cdr:spPr>
            <a:xfrm xmlns:a="http://schemas.openxmlformats.org/drawingml/2006/main">
              <a:off x="5080213" y="184406"/>
              <a:ext cx="1122339" cy="187729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 w="9525" cmpd="sng">
              <a:noFill/>
            </a:ln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dk1"/>
            </a:fontRef>
          </cdr:style>
          <cdr:txBody>
            <a:bodyPr xmlns:a="http://schemas.openxmlformats.org/drawingml/2006/main" wrap="square" rtlCol="0" anchor="t"/>
            <a:lstStyle xmlns:a="http://schemas.openxmlformats.org/drawingml/2006/main"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l"/>
              <a:r>
                <a:rPr lang="pt-BR" sz="1050">
                  <a:solidFill>
                    <a:schemeClr val="accent3">
                      <a:lumMod val="50000"/>
                    </a:schemeClr>
                  </a:solidFill>
                  <a:latin typeface="Montserrat semiBold" panose="00000700000000000000" pitchFamily="2" charset="0"/>
                </a:rPr>
                <a:t>FÍSICO</a:t>
              </a:r>
              <a:endParaRPr lang="pt-BR" sz="900">
                <a:solidFill>
                  <a:schemeClr val="accent3">
                    <a:lumMod val="50000"/>
                  </a:schemeClr>
                </a:solidFill>
                <a:latin typeface="Montserrat semiBold" panose="00000700000000000000" pitchFamily="2" charset="0"/>
              </a:endParaRPr>
            </a:p>
          </cdr:txBody>
        </cdr:sp>
      </cdr:grp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0.62888</cdr:x>
      <cdr:y>0.58023</cdr:y>
    </cdr:from>
    <cdr:to>
      <cdr:x>0.65468</cdr:x>
      <cdr:y>0.63121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D0A5F25B-074C-D663-A298-A5BC1F121458}"/>
            </a:ext>
          </a:extLst>
        </cdr:cNvPr>
        <cdr:cNvSpPr/>
      </cdr:nvSpPr>
      <cdr:spPr>
        <a:xfrm xmlns:a="http://schemas.openxmlformats.org/drawingml/2006/main">
          <a:off x="3435450" y="1602848"/>
          <a:ext cx="140941" cy="14083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1">
            <a:lumMod val="5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BR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297438</xdr:colOff>
      <xdr:row>0</xdr:row>
      <xdr:rowOff>140818</xdr:rowOff>
    </xdr:from>
    <xdr:to>
      <xdr:col>1</xdr:col>
      <xdr:colOff>323942</xdr:colOff>
      <xdr:row>2</xdr:row>
      <xdr:rowOff>87613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438" y="140818"/>
          <a:ext cx="979004" cy="312555"/>
        </a:xfrm>
        <a:prstGeom prst="rect">
          <a:avLst/>
        </a:prstGeom>
      </xdr:spPr>
    </xdr:pic>
    <xdr:clientData/>
  </xdr:twoCellAnchor>
  <xdr:twoCellAnchor>
    <xdr:from>
      <xdr:col>2</xdr:col>
      <xdr:colOff>215115</xdr:colOff>
      <xdr:row>23</xdr:row>
      <xdr:rowOff>70229</xdr:rowOff>
    </xdr:from>
    <xdr:to>
      <xdr:col>2</xdr:col>
      <xdr:colOff>249842</xdr:colOff>
      <xdr:row>23</xdr:row>
      <xdr:rowOff>158270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815315" y="6082409"/>
          <a:ext cx="34727" cy="88041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246749</xdr:colOff>
      <xdr:row>23</xdr:row>
      <xdr:rowOff>15499</xdr:rowOff>
    </xdr:from>
    <xdr:to>
      <xdr:col>2</xdr:col>
      <xdr:colOff>356461</xdr:colOff>
      <xdr:row>23</xdr:row>
      <xdr:rowOff>163553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 flipV="1">
          <a:off x="1846949" y="6027679"/>
          <a:ext cx="109712" cy="148054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237893</xdr:colOff>
      <xdr:row>24</xdr:row>
      <xdr:rowOff>48322</xdr:rowOff>
    </xdr:from>
    <xdr:to>
      <xdr:col>2</xdr:col>
      <xdr:colOff>386576</xdr:colOff>
      <xdr:row>24</xdr:row>
      <xdr:rowOff>152401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 flipV="1">
          <a:off x="1838093" y="6243382"/>
          <a:ext cx="148683" cy="1040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252761</xdr:colOff>
      <xdr:row>24</xdr:row>
      <xdr:rowOff>52039</xdr:rowOff>
    </xdr:from>
    <xdr:to>
      <xdr:col>2</xdr:col>
      <xdr:colOff>390293</xdr:colOff>
      <xdr:row>24</xdr:row>
      <xdr:rowOff>152400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1852961" y="6247099"/>
          <a:ext cx="137532" cy="1003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297438</xdr:colOff>
      <xdr:row>0</xdr:row>
      <xdr:rowOff>140818</xdr:rowOff>
    </xdr:from>
    <xdr:to>
      <xdr:col>1</xdr:col>
      <xdr:colOff>323942</xdr:colOff>
      <xdr:row>2</xdr:row>
      <xdr:rowOff>87613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438" y="140818"/>
          <a:ext cx="979004" cy="312555"/>
        </a:xfrm>
        <a:prstGeom prst="rect">
          <a:avLst/>
        </a:prstGeom>
      </xdr:spPr>
    </xdr:pic>
    <xdr:clientData/>
  </xdr:twoCellAnchor>
  <xdr:twoCellAnchor>
    <xdr:from>
      <xdr:col>2</xdr:col>
      <xdr:colOff>215115</xdr:colOff>
      <xdr:row>23</xdr:row>
      <xdr:rowOff>70229</xdr:rowOff>
    </xdr:from>
    <xdr:to>
      <xdr:col>2</xdr:col>
      <xdr:colOff>249842</xdr:colOff>
      <xdr:row>23</xdr:row>
      <xdr:rowOff>158270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815315" y="6082409"/>
          <a:ext cx="34727" cy="88041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246749</xdr:colOff>
      <xdr:row>23</xdr:row>
      <xdr:rowOff>15499</xdr:rowOff>
    </xdr:from>
    <xdr:to>
      <xdr:col>2</xdr:col>
      <xdr:colOff>356461</xdr:colOff>
      <xdr:row>23</xdr:row>
      <xdr:rowOff>163553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 flipV="1">
          <a:off x="1846949" y="6027679"/>
          <a:ext cx="109712" cy="148054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237893</xdr:colOff>
      <xdr:row>24</xdr:row>
      <xdr:rowOff>48322</xdr:rowOff>
    </xdr:from>
    <xdr:to>
      <xdr:col>2</xdr:col>
      <xdr:colOff>386576</xdr:colOff>
      <xdr:row>24</xdr:row>
      <xdr:rowOff>152401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 flipV="1">
          <a:off x="1838093" y="6243382"/>
          <a:ext cx="148683" cy="1040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252761</xdr:colOff>
      <xdr:row>24</xdr:row>
      <xdr:rowOff>52039</xdr:rowOff>
    </xdr:from>
    <xdr:to>
      <xdr:col>2</xdr:col>
      <xdr:colOff>390293</xdr:colOff>
      <xdr:row>24</xdr:row>
      <xdr:rowOff>152400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CxnSpPr/>
      </xdr:nvCxnSpPr>
      <xdr:spPr>
        <a:xfrm>
          <a:off x="1852961" y="6247099"/>
          <a:ext cx="137532" cy="10036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" refreshedDate="46168.399700231479" backgroundQuery="1" createdVersion="8" refreshedVersion="8" minRefreshableVersion="3" recordCount="0" supportSubquery="1" supportAdvancedDrill="1" xr:uid="{1E45FD96-7FCC-472C-9094-1F422A75E65D}">
  <cacheSource type="external" connectionId="1"/>
  <cacheFields count="3">
    <cacheField name="[tbMapaData].[DATA].[DATA]" caption="DATA" numFmtId="0" hierarchy="33" level="1">
      <sharedItems containsSemiMixedTypes="0" containsNonDate="0" containsDate="1" containsString="0" minDate="2025-10-21T00:00:00" maxDate="2026-04-28T00:00:00" count="5">
        <d v="2025-10-21T00:00:00"/>
        <d v="2025-11-24T00:00:00"/>
        <d v="2025-12-23T00:00:00"/>
        <d v="2026-04-22T00:00:00"/>
        <d v="2026-04-27T00:00:00"/>
      </sharedItems>
    </cacheField>
    <cacheField name="[tbContrato].[Data].[Data]" caption="Data" numFmtId="0" hierarchy="4" level="1">
      <sharedItems count="6">
        <s v=""/>
        <s v="21/10/2025"/>
        <s v="22/04/2026"/>
        <s v="23/12/2025"/>
        <s v="24/11/2025"/>
        <s v="27/04/2026"/>
      </sharedItems>
    </cacheField>
    <cacheField name="[Measures].[Contagem de EXECUTADO]" caption="Contagem de EXECUTADO" numFmtId="0" hierarchy="78" level="32767"/>
  </cacheFields>
  <cacheHierarchies count="79">
    <cacheHierarchy uniqueName="[TbCategorias].[CATEGORIA]" caption="CATEGORIA" attribute="1" defaultMemberUniqueName="[TbCategorias].[CATEGORIA].[All]" allUniqueName="[TbCategorias].[CATEGORIA].[All]" dimensionUniqueName="[TbCategorias]" displayFolder="" count="0" memberValueDatatype="130" unbalanced="0"/>
    <cacheHierarchy uniqueName="[TbCategorias].[VALOR]" caption="VALOR" attribute="1" defaultMemberUniqueName="[TbCategorias].[VALOR].[All]" allUniqueName="[TbCategorias].[VALOR].[All]" dimensionUniqueName="[TbCategorias]" displayFolder="" count="0" memberValueDatatype="5" unbalanced="0"/>
    <cacheHierarchy uniqueName="[tbContrato].[Nº Medição]" caption="Nº Medição" attribute="1" defaultMemberUniqueName="[tbContrato].[Nº Medição].[All]" allUniqueName="[tbContrato].[Nº Medição].[All]" dimensionUniqueName="[tbContrato]" displayFolder="" count="0" memberValueDatatype="20" unbalanced="0"/>
    <cacheHierarchy uniqueName="[tbContrato].[Período]" caption="Período" attribute="1" defaultMemberUniqueName="[tbContrato].[Período].[All]" allUniqueName="[tbContrato].[Período].[All]" dimensionUniqueName="[tbContrato]" displayFolder="" count="0" memberValueDatatype="130" unbalanced="0"/>
    <cacheHierarchy uniqueName="[tbContrato].[Data]" caption="Data" attribute="1" defaultMemberUniqueName="[tbContrato].[Data].[All]" allUniqueName="[tbContrato].[Data].[All]" dimensionUniqueName="[tbContrato]" displayFolder="" count="2" memberValueDatatype="130" unbalanced="0">
      <fieldsUsage count="2">
        <fieldUsage x="-1"/>
        <fieldUsage x="1"/>
      </fieldsUsage>
    </cacheHierarchy>
    <cacheHierarchy uniqueName="[tbContrato].[Nº NF]" caption="Nº NF" attribute="1" defaultMemberUniqueName="[tbContrato].[Nº NF].[All]" allUniqueName="[tbContrato].[Nº NF].[All]" dimensionUniqueName="[tbContrato]" displayFolder="" count="0" memberValueDatatype="20" unbalanced="0"/>
    <cacheHierarchy uniqueName="[tbContrato].[Valor Medição]" caption="Valor Medição" attribute="1" defaultMemberUniqueName="[tbContrato].[Valor Medição].[All]" allUniqueName="[tbContrato].[Valor Medição].[All]" dimensionUniqueName="[tbContrato]" displayFolder="" count="0" memberValueDatatype="20" unbalanced="0"/>
    <cacheHierarchy uniqueName="[tbContrato].[Dedução Medição]" caption="Dedução Medição" attribute="1" defaultMemberUniqueName="[tbContrato].[Dedução Medição].[All]" allUniqueName="[tbContrato].[Dedução Medição].[All]" dimensionUniqueName="[tbContrato]" displayFolder="" count="0" memberValueDatatype="20" unbalanced="0"/>
    <cacheHierarchy uniqueName="[tbContrato].[Retenção Medição]" caption="Retenção Medição" attribute="1" defaultMemberUniqueName="[tbContrato].[Retenção Medição].[All]" allUniqueName="[tbContrato].[Retenção Medição].[All]" dimensionUniqueName="[tbContrato]" displayFolder="" count="0" memberValueDatatype="5" unbalanced="0"/>
    <cacheHierarchy uniqueName="[tbContrato].[Valor Medição Líquido]" caption="Valor Medição Líquido" attribute="1" defaultMemberUniqueName="[tbContrato].[Valor Medição Líquido].[All]" allUniqueName="[tbContrato].[Valor Medição Líquido].[All]" dimensionUniqueName="[tbContrato]" displayFolder="" count="0" memberValueDatatype="5" unbalanced="0"/>
    <cacheHierarchy uniqueName="[tbContrato].[Saldo Medição]" caption="Saldo Medição" attribute="1" defaultMemberUniqueName="[tbContrato].[Saldo Medição].[All]" allUniqueName="[tbContrato].[Saldo Medição].[All]" dimensionUniqueName="[tbContrato]" displayFolder="" count="0" memberValueDatatype="20" unbalanced="0"/>
    <cacheHierarchy uniqueName="[tbContrato].[Faturamento Direto]" caption="Faturamento Direto" attribute="1" defaultMemberUniqueName="[tbContrato].[Faturamento Direto].[All]" allUniqueName="[tbContrato].[Faturamento Direto].[All]" dimensionUniqueName="[tbContrato]" displayFolder="" count="0" memberValueDatatype="20" unbalanced="0"/>
    <cacheHierarchy uniqueName="[tbContrato].[Saldo Faturamento Direto]" caption="Saldo Faturamento Direto" attribute="1" defaultMemberUniqueName="[tbContrato].[Saldo Faturamento Direto].[All]" allUniqueName="[tbContrato].[Saldo Faturamento Direto].[All]" dimensionUniqueName="[tbContrato]" displayFolder="" count="0" memberValueDatatype="20" unbalanced="0"/>
    <cacheHierarchy uniqueName="[tbContrato].[Total Pago]" caption="Total Pago" attribute="1" defaultMemberUniqueName="[tbContrato].[Total Pago].[All]" allUniqueName="[tbContrato].[Total Pago].[All]" dimensionUniqueName="[tbContrato]" displayFolder="" count="0" memberValueDatatype="20" unbalanced="0"/>
    <cacheHierarchy uniqueName="[tbContrato].[Saldo Contratual]" caption="Saldo Contratual" attribute="1" defaultMemberUniqueName="[tbContrato].[Saldo Contratual].[All]" allUniqueName="[tbContrato].[Saldo Contratual].[All]" dimensionUniqueName="[tbContrato]" displayFolder="" count="0" memberValueDatatype="20" unbalanced="0"/>
    <cacheHierarchy uniqueName="[tbContrato].[Status]" caption="Status" attribute="1" defaultMemberUniqueName="[tbContrato].[Status].[All]" allUniqueName="[tbContrato].[Status].[All]" dimensionUniqueName="[tbContrato]" displayFolder="" count="0" memberValueDatatype="130" unbalanced="0"/>
    <cacheHierarchy uniqueName="[tbFisico].[MEDIÇÃO]" caption="MEDIÇÃO" attribute="1" defaultMemberUniqueName="[tbFisico].[MEDIÇÃO].[All]" allUniqueName="[tbFisico].[MEDIÇÃO].[All]" dimensionUniqueName="[tbFisico]" displayFolder="" count="0" memberValueDatatype="20" unbalanced="0"/>
    <cacheHierarchy uniqueName="[tbFisico].[EXECUTADO]" caption="EXECUTADO" attribute="1" defaultMemberUniqueName="[tbFisico].[EXECUTADO].[All]" allUniqueName="[tbFisico].[EXECUTADO].[All]" dimensionUniqueName="[tbFisico]" displayFolder="" count="0" memberValueDatatype="130" unbalanced="0"/>
    <cacheHierarchy uniqueName="[tbMapa].[CÓD]" caption="CÓD" attribute="1" defaultMemberUniqueName="[tbMapa].[CÓD].[All]" allUniqueName="[tbMapa].[CÓD].[All]" dimensionUniqueName="[tbMapa]" displayFolder="" count="0" memberValueDatatype="130" unbalanced="0"/>
    <cacheHierarchy uniqueName="[tbMapa].[DESCRIÇÃO]" caption="DESCRIÇÃO" attribute="1" defaultMemberUniqueName="[tbMapa].[DESCRIÇÃO].[All]" allUniqueName="[tbMapa].[DESCRIÇÃO].[All]" dimensionUniqueName="[tbMapa]" displayFolder="" count="0" memberValueDatatype="130" unbalanced="0"/>
    <cacheHierarchy uniqueName="[tbMapa].[TORRE]" caption="TORRE" attribute="1" defaultMemberUniqueName="[tbMapa].[TORRE].[All]" allUniqueName="[tbMapa].[TORRE].[All]" dimensionUniqueName="[tbMapa]" displayFolder="" count="0" memberValueDatatype="130" unbalanced="0"/>
    <cacheHierarchy uniqueName="[tbMapa].[MEDIÇÃO]" caption="MEDIÇÃO" attribute="1" defaultMemberUniqueName="[tbMapa].[MEDIÇÃO].[All]" allUniqueName="[tbMapa].[MEDIÇÃO].[All]" dimensionUniqueName="[tbMapa]" displayFolder="" count="0" memberValueDatatype="130" unbalanced="0"/>
    <cacheHierarchy uniqueName="[tbMapa].[TOTAL FN]" caption="TOTAL FN" attribute="1" defaultMemberUniqueName="[tbMapa].[TOTAL FN].[All]" allUniqueName="[tbMapa].[TOTAL FN].[All]" dimensionUniqueName="[tbMapa]" displayFolder="" count="0" memberValueDatatype="5" unbalanced="0"/>
    <cacheHierarchy uniqueName="[tbMapa].[TOTAL F0]" caption="TOTAL F0" attribute="1" defaultMemberUniqueName="[tbMapa].[TOTAL F0].[All]" allUniqueName="[tbMapa].[TOTAL F0].[All]" dimensionUniqueName="[tbMapa]" displayFolder="" count="0" memberValueDatatype="5" unbalanced="0"/>
    <cacheHierarchy uniqueName="[tbMapa].[TOTAL F2]" caption="TOTAL F2" attribute="1" defaultMemberUniqueName="[tbMapa].[TOTAL F2].[All]" allUniqueName="[tbMapa].[TOTAL F2].[All]" dimensionUniqueName="[tbMapa]" displayFolder="" count="0" memberValueDatatype="5" unbalanced="0"/>
    <cacheHierarchy uniqueName="[tbMapa].[TOTAL F3]" caption="TOTAL F3" attribute="1" defaultMemberUniqueName="[tbMapa].[TOTAL F3].[All]" allUniqueName="[tbMapa].[TOTAL F3].[All]" dimensionUniqueName="[tbMapa]" displayFolder="" count="0" memberValueDatatype="5" unbalanced="0"/>
    <cacheHierarchy uniqueName="[tbMapa].[TOTAL F4]" caption="TOTAL F4" attribute="1" defaultMemberUniqueName="[tbMapa].[TOTAL F4].[All]" allUniqueName="[tbMapa].[TOTAL F4].[All]" dimensionUniqueName="[tbMapa]" displayFolder="" count="0" memberValueDatatype="5" unbalanced="0"/>
    <cacheHierarchy uniqueName="[tbMapa].[TOTAL F5]" caption="TOTAL F5" attribute="1" defaultMemberUniqueName="[tbMapa].[TOTAL F5].[All]" allUniqueName="[tbMapa].[TOTAL F5].[All]" dimensionUniqueName="[tbMapa]" displayFolder="" count="0" memberValueDatatype="5" unbalanced="0"/>
    <cacheHierarchy uniqueName="[tbMapa].[TOTAL F6]" caption="TOTAL F6" attribute="1" defaultMemberUniqueName="[tbMapa].[TOTAL F6].[All]" allUniqueName="[tbMapa].[TOTAL F6].[All]" dimensionUniqueName="[tbMapa]" displayFolder="" count="0" memberValueDatatype="5" unbalanced="0"/>
    <cacheHierarchy uniqueName="[tbMapa].[TOTAL F7]" caption="TOTAL F7" attribute="1" defaultMemberUniqueName="[tbMapa].[TOTAL F7].[All]" allUniqueName="[tbMapa].[TOTAL F7].[All]" dimensionUniqueName="[tbMapa]" displayFolder="" count="0" memberValueDatatype="5" unbalanced="0"/>
    <cacheHierarchy uniqueName="[tbMapa].[TOTAL F8]" caption="TOTAL F8" attribute="1" defaultMemberUniqueName="[tbMapa].[TOTAL F8].[All]" allUniqueName="[tbMapa].[TOTAL F8].[All]" dimensionUniqueName="[tbMapa]" displayFolder="" count="0" memberValueDatatype="5" unbalanced="0"/>
    <cacheHierarchy uniqueName="[tbMapa].[TOTAL F9]" caption="TOTAL F9" attribute="1" defaultMemberUniqueName="[tbMapa].[TOTAL F9].[All]" allUniqueName="[tbMapa].[TOTAL F9].[All]" dimensionUniqueName="[tbMapa]" displayFolder="" count="0" memberValueDatatype="5" unbalanced="0"/>
    <cacheHierarchy uniqueName="[tbMapaData].[MEDIÇÃO]" caption="MEDIÇÃO" attribute="1" defaultMemberUniqueName="[tbMapaData].[MEDIÇÃO].[All]" allUniqueName="[tbMapaData].[MEDIÇÃO].[All]" dimensionUniqueName="[tbMapaData]" displayFolder="" count="0" memberValueDatatype="20" unbalanced="0"/>
    <cacheHierarchy uniqueName="[tbMapaData].[DATA]" caption="DATA" attribute="1" time="1" defaultMemberUniqueName="[tbMapaData].[DATA].[All]" allUniqueName="[tbMapaData].[DATA].[All]" dimensionUniqueName="[tbMapaData]" displayFolder="" count="2" memberValueDatatype="7" unbalanced="0">
      <fieldsUsage count="2">
        <fieldUsage x="-1"/>
        <fieldUsage x="0"/>
      </fieldsUsage>
    </cacheHierarchy>
    <cacheHierarchy uniqueName="[tbMapaData].[MÊS/ANO]" caption="MÊS/ANO" attribute="1" defaultMemberUniqueName="[tbMapaData].[MÊS/ANO].[All]" allUniqueName="[tbMapaData].[MÊS/ANO].[All]" dimensionUniqueName="[tbMapaData]" displayFolder="" count="0" memberValueDatatype="130" unbalanced="0"/>
    <cacheHierarchy uniqueName="[tbMapaData].[DATA (Ano)]" caption="DATA (Ano)" attribute="1" defaultMemberUniqueName="[tbMapaData].[DATA (Ano)].[All]" allUniqueName="[tbMapaData].[DATA (Ano)].[All]" dimensionUniqueName="[tbMapaData]" displayFolder="" count="0" memberValueDatatype="130" unbalanced="0"/>
    <cacheHierarchy uniqueName="[tbMapaData].[DATA (Trimestre)]" caption="DATA (Trimestre)" attribute="1" defaultMemberUniqueName="[tbMapaData].[DATA (Trimestre)].[All]" allUniqueName="[tbMapaData].[DATA (Trimestre)].[All]" dimensionUniqueName="[tbMapaData]" displayFolder="" count="0" memberValueDatatype="130" unbalanced="0"/>
    <cacheHierarchy uniqueName="[tbMapaData].[DATA (Mês)]" caption="DATA (Mês)" attribute="1" defaultMemberUniqueName="[tbMapaData].[DATA (Mês)].[All]" allUniqueName="[tbMapaData].[DATA (Mês)].[All]" dimensionUniqueName="[tbMapaData]" displayFolder="" count="0" memberValueDatatype="130" unbalanced="0"/>
    <cacheHierarchy uniqueName="[tbPavimento].[PAVIMENTO]" caption="PAVIMENTO" attribute="1" defaultMemberUniqueName="[tbPavimento].[PAVIMENTO].[All]" allUniqueName="[tbPavimento].[PAVIMENTO].[All]" dimensionUniqueName="[tbPavimento]" displayFolder="" count="0" memberValueDatatype="130" unbalanced="0"/>
    <cacheHierarchy uniqueName="[tbPavimento].[EXECUTADO]" caption="EXECUTADO" attribute="1" defaultMemberUniqueName="[tbPavimento].[EXECUTADO].[All]" allUniqueName="[tbPavimento].[EXECUTADO].[All]" dimensionUniqueName="[tbPavimento]" displayFolder="" count="0" memberValueDatatype="5" unbalanced="0"/>
    <cacheHierarchy uniqueName="[tbPavimento].[PREVISTO]" caption="PREVISTO" attribute="1" defaultMemberUniqueName="[tbPavimento].[PREVISTO].[All]" allUniqueName="[tbPavimento].[PREVISTO].[All]" dimensionUniqueName="[tbPavimento]" displayFolder="" count="0" memberValueDatatype="5" unbalanced="0"/>
    <cacheHierarchy uniqueName="[tbPavimento].[%]" caption="%" attribute="1" defaultMemberUniqueName="[tbPavimento].[%].[All]" allUniqueName="[tbPavimento].[%].[All]" dimensionUniqueName="[tbPavimento]" displayFolder="" count="0" memberValueDatatype="5" unbalanced="0"/>
    <cacheHierarchy uniqueName="[TbPendencias].[CÓD]" caption="CÓD" attribute="1" defaultMemberUniqueName="[TbPendencias].[CÓD].[All]" allUniqueName="[TbPendencias].[CÓD].[All]" dimensionUniqueName="[TbPendencias]" displayFolder="" count="0" memberValueDatatype="130" unbalanced="0"/>
    <cacheHierarchy uniqueName="[TbPendencias].[DESCRIÇÃO]" caption="DESCRIÇÃO" attribute="1" defaultMemberUniqueName="[TbPendencias].[DESCRIÇÃO].[All]" allUniqueName="[TbPendencias].[DESCRIÇÃO].[All]" dimensionUniqueName="[TbPendencias]" displayFolder="" count="0" memberValueDatatype="130" unbalanced="0"/>
    <cacheHierarchy uniqueName="[TbPendencias].[PENDENTE]" caption="PENDENTE" attribute="1" defaultMemberUniqueName="[TbPendencias].[PENDENTE].[All]" allUniqueName="[TbPendencias].[PENDENTE].[All]" dimensionUniqueName="[TbPendencias]" displayFolder="" count="0" memberValueDatatype="5" unbalanced="0"/>
    <cacheHierarchy uniqueName="[tbPrevisto].[MEDIÇÕES]" caption="MEDIÇÕES" attribute="1" defaultMemberUniqueName="[tbPrevisto].[MEDIÇÕES].[All]" allUniqueName="[tbPrevisto].[MEDIÇÕES].[All]" dimensionUniqueName="[tbPrevisto]" displayFolder="" count="0" memberValueDatatype="20" unbalanced="0"/>
    <cacheHierarchy uniqueName="[tbPrevisto].[DATA]" caption="DATA" attribute="1" time="1" defaultMemberUniqueName="[tbPrevisto].[DATA].[All]" allUniqueName="[tbPrevisto].[DATA].[All]" dimensionUniqueName="[tbPrevisto]" displayFolder="" count="0" memberValueDatatype="7" unbalanced="0"/>
    <cacheHierarchy uniqueName="[tbPrevisto].[PREVISTO]" caption="PREVISTO" attribute="1" defaultMemberUniqueName="[tbPrevisto].[PREVISTO].[All]" allUniqueName="[tbPrevisto].[PREVISTO].[All]" dimensionUniqueName="[tbPrevisto]" displayFolder="" count="0" memberValueDatatype="20" unbalanced="0"/>
    <cacheHierarchy uniqueName="[tbPrevisto].[REALIZADO]" caption="REALIZADO" attribute="1" defaultMemberUniqueName="[tbPrevisto].[REALIZADO].[All]" allUniqueName="[tbPrevisto].[REALIZADO].[All]" dimensionUniqueName="[tbPrevisto]" displayFolder="" count="0" memberValueDatatype="130" unbalanced="0"/>
    <cacheHierarchy uniqueName="[tbPrevisto].[PREVISTO ACUM.]" caption="PREVISTO ACUM." attribute="1" defaultMemberUniqueName="[tbPrevisto].[PREVISTO ACUM.].[All]" allUniqueName="[tbPrevisto].[PREVISTO ACUM.].[All]" dimensionUniqueName="[tbPrevisto]" displayFolder="" count="0" memberValueDatatype="20" unbalanced="0"/>
    <cacheHierarchy uniqueName="[tbPrevisto].[REALIZADO ACUM.]" caption="REALIZADO ACUM." attribute="1" defaultMemberUniqueName="[tbPrevisto].[REALIZADO ACUM.].[All]" allUniqueName="[tbPrevisto].[REALIZADO ACUM.].[All]" dimensionUniqueName="[tbPrevisto]" displayFolder="" count="0" memberValueDatatype="5" unbalanced="0"/>
    <cacheHierarchy uniqueName="[tbPrevisto].[DATA (Ano)]" caption="DATA (Ano)" attribute="1" defaultMemberUniqueName="[tbPrevisto].[DATA (Ano)].[All]" allUniqueName="[tbPrevisto].[DATA (Ano)].[All]" dimensionUniqueName="[tbPrevisto]" displayFolder="" count="0" memberValueDatatype="130" unbalanced="0"/>
    <cacheHierarchy uniqueName="[tbPrevisto].[DATA (Trimestre)]" caption="DATA (Trimestre)" attribute="1" defaultMemberUniqueName="[tbPrevisto].[DATA (Trimestre)].[All]" allUniqueName="[tbPrevisto].[DATA (Trimestre)].[All]" dimensionUniqueName="[tbPrevisto]" displayFolder="" count="0" memberValueDatatype="130" unbalanced="0"/>
    <cacheHierarchy uniqueName="[tbPrevisto].[DATA (Mês)]" caption="DATA (Mês)" attribute="1" defaultMemberUniqueName="[tbPrevisto].[DATA (Mês)].[All]" allUniqueName="[tbPrevisto].[DATA (Mês)].[All]" dimensionUniqueName="[tbPrevisto]" displayFolder="" count="0" memberValueDatatype="130" unbalanced="0"/>
    <cacheHierarchy uniqueName="[tbMapaData].[DATA (Índice de Mês)]" caption="DATA (Índice de Mês)" attribute="1" defaultMemberUniqueName="[tbMapaData].[DATA (Índice de Mês)].[All]" allUniqueName="[tbMapaData].[DATA (Índice de Mês)].[All]" dimensionUniqueName="[tbMapaData]" displayFolder="" count="0" memberValueDatatype="20" unbalanced="0" hidden="1"/>
    <cacheHierarchy uniqueName="[tbPrevisto].[DATA (Índice de Mês)]" caption="DATA (Índice de Mês)" attribute="1" defaultMemberUniqueName="[tbPrevisto].[DATA (Índice de Mês)].[All]" allUniqueName="[tbPrevisto].[DATA (Índice de Mês)].[All]" dimensionUniqueName="[tbPrevisto]" displayFolder="" count="0" memberValueDatatype="20" unbalanced="0" hidden="1"/>
    <cacheHierarchy uniqueName="[Measures].[Total Financeiro]" caption="Total Financeiro" measure="1" displayFolder="" measureGroup="tbContrato" count="0"/>
    <cacheHierarchy uniqueName="[Measures].[Total Retenção]" caption="Total Retenção" measure="1" displayFolder="" measureGroup="tbContrato" count="0"/>
    <cacheHierarchy uniqueName="[Measures].[Valor Líquido]" caption="Valor Líquido" measure="1" displayFolder="" measureGroup="tbContrato" count="0"/>
    <cacheHierarchy uniqueName="[Measures].[Total Executado]" caption="Total Executado" measure="1" displayFolder="" measureGroup="tbMapa" count="0"/>
    <cacheHierarchy uniqueName="[Measures].[Total Físico]" caption="Total Físico" measure="1" displayFolder="" measureGroup="tbFisico" count="0"/>
    <cacheHierarchy uniqueName="[Measures].[% Financeiro]" caption="% Financeiro" measure="1" displayFolder="" measureGroup="tbContrato" count="0"/>
    <cacheHierarchy uniqueName="[Measures].[% Físico]" caption="% Físico" measure="1" displayFolder="" measureGroup="tbFisico" count="0"/>
    <cacheHierarchy uniqueName="[Measures].[__XL_Count Tabela57]" caption="__XL_Count Tabela57" measure="1" displayFolder="" measureGroup="tbMapaData" count="0" hidden="1"/>
    <cacheHierarchy uniqueName="[Measures].[__XL_Count Tabela5]" caption="__XL_Count Tabela5" measure="1" displayFolder="" measureGroup="tbMapa" count="0" hidden="1"/>
    <cacheHierarchy uniqueName="[Measures].[__XL_Count Tabela1]" caption="__XL_Count Tabela1" measure="1" displayFolder="" measureGroup="tbContrato" count="0" hidden="1"/>
    <cacheHierarchy uniqueName="[Measures].[__XL_Count Tabela573]" caption="__XL_Count Tabela573" measure="1" displayFolder="" measureGroup="tbFisico" count="0" hidden="1"/>
    <cacheHierarchy uniqueName="[Measures].[__XL_Count Tabela5739]" caption="__XL_Count Tabela5739" measure="1" displayFolder="" measureGroup="TbCategorias" count="0" hidden="1"/>
    <cacheHierarchy uniqueName="[Measures].[__XL_Count Tabela9]" caption="__XL_Count Tabela9" measure="1" displayFolder="" measureGroup="tbPavimento" count="0" hidden="1"/>
    <cacheHierarchy uniqueName="[Measures].[__XL_Count Tabela511]" caption="__XL_Count Tabela511" measure="1" displayFolder="" measureGroup="TbPendencias" count="0" hidden="1"/>
    <cacheHierarchy uniqueName="[Measures].[__XL_Count Tabela51112]" caption="__XL_Count Tabela51112" measure="1" displayFolder="" measureGroup="tbPrevisto" count="0" hidden="1"/>
    <cacheHierarchy uniqueName="[Measures].[__Não há medidas definidas]" caption="__Não há medidas definidas" measure="1" displayFolder="" count="0" hidden="1"/>
    <cacheHierarchy uniqueName="[Measures].[Soma de VALOR]" caption="Soma de VALOR" measure="1" displayFolder="" measureGroup="TbCategori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%]" caption="Soma de %" measure="1" displayFolder="" measureGroup="tbPavimen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ENDENTE]" caption="Soma de PENDENTE" measure="1" displayFolder="" measureGroup="TbPendenci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REVISTO ACUM.]" caption="Soma de PREVIST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REALIZADO ACUM.]" caption="Soma de REALIZAD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EXECUTADO]" caption="Soma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EXECUTADO]" caption="Contagem de EXECUTADO" measure="1" displayFolder="" measureGroup="tbFisic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9">
    <dimension measure="1" name="Measures" uniqueName="[Measures]" caption="Measures"/>
    <dimension name="TbCategorias" uniqueName="[TbCategorias]" caption="TbCategorias"/>
    <dimension name="tbContrato" uniqueName="[tbContrato]" caption="tbContrato"/>
    <dimension name="tbFisico" uniqueName="[tbFisico]" caption="tbFisico"/>
    <dimension name="tbMapa" uniqueName="[tbMapa]" caption="tbMapa"/>
    <dimension name="tbMapaData" uniqueName="[tbMapaData]" caption="tbMapaData"/>
    <dimension name="tbPavimento" uniqueName="[tbPavimento]" caption="tbPavimento"/>
    <dimension name="TbPendencias" uniqueName="[TbPendencias]" caption="TbPendencias"/>
    <dimension name="tbPrevisto" uniqueName="[tbPrevisto]" caption="tbPrevisto"/>
  </dimensions>
  <measureGroups count="8">
    <measureGroup name="TbCategorias" caption="TbCategorias"/>
    <measureGroup name="tbContrato" caption="tbContrato"/>
    <measureGroup name="tbFisico" caption="tbFisico"/>
    <measureGroup name="tbMapa" caption="tbMapa"/>
    <measureGroup name="tbMapaData" caption="tbMapaData"/>
    <measureGroup name="tbPavimento" caption="tbPavimento"/>
    <measureGroup name="TbPendencias" caption="TbPendencias"/>
    <measureGroup name="tbPrevisto" caption="tbPrevisto"/>
  </measureGroups>
  <maps count="11">
    <map measureGroup="0" dimension="1"/>
    <map measureGroup="1" dimension="2"/>
    <map measureGroup="1" dimension="5"/>
    <map measureGroup="2" dimension="3"/>
    <map measureGroup="2" dimension="5"/>
    <map measureGroup="3" dimension="4"/>
    <map measureGroup="3" dimension="5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" refreshedDate="46168.402444675929" backgroundQuery="1" createdVersion="8" refreshedVersion="8" minRefreshableVersion="3" recordCount="0" supportSubquery="1" supportAdvancedDrill="1" xr:uid="{2381793A-5811-4AB5-8D22-FED0B90FF3D5}">
  <cacheSource type="external" connectionId="1"/>
  <cacheFields count="3">
    <cacheField name="[tbMapaData].[DATA].[DATA]" caption="DATA" numFmtId="0" hierarchy="33" level="1">
      <sharedItems containsSemiMixedTypes="0" containsNonDate="0" containsDate="1" containsString="0" minDate="2025-10-21T00:00:00" maxDate="2026-04-28T00:00:00" count="5">
        <d v="2025-10-21T00:00:00"/>
        <d v="2025-11-24T00:00:00"/>
        <d v="2025-12-23T00:00:00"/>
        <d v="2026-04-22T00:00:00"/>
        <d v="2026-04-27T00:00:00"/>
      </sharedItems>
    </cacheField>
    <cacheField name="[TbPendencias].[DESCRIÇÃO].[DESCRIÇÃO]" caption="DESCRIÇÃO" numFmtId="0" hierarchy="43" level="1">
      <sharedItems count="5">
        <s v="Colocacao de Azulejo"/>
        <s v="Colocação de baguetes"/>
        <s v="Colocação de soleiras"/>
        <s v="Colocacao Piso Ceramico"/>
        <s v="Rodapé Cerâmico | Porcelanato"/>
      </sharedItems>
    </cacheField>
    <cacheField name="[Measures].[Soma de PENDENTE]" caption="Soma de PENDENTE" numFmtId="0" hierarchy="74" level="32767"/>
  </cacheFields>
  <cacheHierarchies count="79">
    <cacheHierarchy uniqueName="[TbCategorias].[CATEGORIA]" caption="CATEGORIA" attribute="1" defaultMemberUniqueName="[TbCategorias].[CATEGORIA].[All]" allUniqueName="[TbCategorias].[CATEGORIA].[All]" dimensionUniqueName="[TbCategorias]" displayFolder="" count="0" memberValueDatatype="130" unbalanced="0"/>
    <cacheHierarchy uniqueName="[TbCategorias].[VALOR]" caption="VALOR" attribute="1" defaultMemberUniqueName="[TbCategorias].[VALOR].[All]" allUniqueName="[TbCategorias].[VALOR].[All]" dimensionUniqueName="[TbCategorias]" displayFolder="" count="0" memberValueDatatype="5" unbalanced="0"/>
    <cacheHierarchy uniqueName="[tbContrato].[Nº Medição]" caption="Nº Medição" attribute="1" defaultMemberUniqueName="[tbContrato].[Nº Medição].[All]" allUniqueName="[tbContrato].[Nº Medição].[All]" dimensionUniqueName="[tbContrato]" displayFolder="" count="0" memberValueDatatype="20" unbalanced="0"/>
    <cacheHierarchy uniqueName="[tbContrato].[Período]" caption="Período" attribute="1" defaultMemberUniqueName="[tbContrato].[Período].[All]" allUniqueName="[tbContrato].[Período].[All]" dimensionUniqueName="[tbContrato]" displayFolder="" count="0" memberValueDatatype="130" unbalanced="0"/>
    <cacheHierarchy uniqueName="[tbContrato].[Data]" caption="Data" attribute="1" defaultMemberUniqueName="[tbContrato].[Data].[All]" allUniqueName="[tbContrato].[Data].[All]" dimensionUniqueName="[tbContrato]" displayFolder="" count="0" memberValueDatatype="130" unbalanced="0"/>
    <cacheHierarchy uniqueName="[tbContrato].[Nº NF]" caption="Nº NF" attribute="1" defaultMemberUniqueName="[tbContrato].[Nº NF].[All]" allUniqueName="[tbContrato].[Nº NF].[All]" dimensionUniqueName="[tbContrato]" displayFolder="" count="0" memberValueDatatype="20" unbalanced="0"/>
    <cacheHierarchy uniqueName="[tbContrato].[Valor Medição]" caption="Valor Medição" attribute="1" defaultMemberUniqueName="[tbContrato].[Valor Medição].[All]" allUniqueName="[tbContrato].[Valor Medição].[All]" dimensionUniqueName="[tbContrato]" displayFolder="" count="0" memberValueDatatype="20" unbalanced="0"/>
    <cacheHierarchy uniqueName="[tbContrato].[Dedução Medição]" caption="Dedução Medição" attribute="1" defaultMemberUniqueName="[tbContrato].[Dedução Medição].[All]" allUniqueName="[tbContrato].[Dedução Medição].[All]" dimensionUniqueName="[tbContrato]" displayFolder="" count="0" memberValueDatatype="20" unbalanced="0"/>
    <cacheHierarchy uniqueName="[tbContrato].[Retenção Medição]" caption="Retenção Medição" attribute="1" defaultMemberUniqueName="[tbContrato].[Retenção Medição].[All]" allUniqueName="[tbContrato].[Retenção Medição].[All]" dimensionUniqueName="[tbContrato]" displayFolder="" count="0" memberValueDatatype="5" unbalanced="0"/>
    <cacheHierarchy uniqueName="[tbContrato].[Valor Medição Líquido]" caption="Valor Medição Líquido" attribute="1" defaultMemberUniqueName="[tbContrato].[Valor Medição Líquido].[All]" allUniqueName="[tbContrato].[Valor Medição Líquido].[All]" dimensionUniqueName="[tbContrato]" displayFolder="" count="0" memberValueDatatype="5" unbalanced="0"/>
    <cacheHierarchy uniqueName="[tbContrato].[Saldo Medição]" caption="Saldo Medição" attribute="1" defaultMemberUniqueName="[tbContrato].[Saldo Medição].[All]" allUniqueName="[tbContrato].[Saldo Medição].[All]" dimensionUniqueName="[tbContrato]" displayFolder="" count="0" memberValueDatatype="20" unbalanced="0"/>
    <cacheHierarchy uniqueName="[tbContrato].[Faturamento Direto]" caption="Faturamento Direto" attribute="1" defaultMemberUniqueName="[tbContrato].[Faturamento Direto].[All]" allUniqueName="[tbContrato].[Faturamento Direto].[All]" dimensionUniqueName="[tbContrato]" displayFolder="" count="0" memberValueDatatype="20" unbalanced="0"/>
    <cacheHierarchy uniqueName="[tbContrato].[Saldo Faturamento Direto]" caption="Saldo Faturamento Direto" attribute="1" defaultMemberUniqueName="[tbContrato].[Saldo Faturamento Direto].[All]" allUniqueName="[tbContrato].[Saldo Faturamento Direto].[All]" dimensionUniqueName="[tbContrato]" displayFolder="" count="0" memberValueDatatype="20" unbalanced="0"/>
    <cacheHierarchy uniqueName="[tbContrato].[Total Pago]" caption="Total Pago" attribute="1" defaultMemberUniqueName="[tbContrato].[Total Pago].[All]" allUniqueName="[tbContrato].[Total Pago].[All]" dimensionUniqueName="[tbContrato]" displayFolder="" count="0" memberValueDatatype="20" unbalanced="0"/>
    <cacheHierarchy uniqueName="[tbContrato].[Saldo Contratual]" caption="Saldo Contratual" attribute="1" defaultMemberUniqueName="[tbContrato].[Saldo Contratual].[All]" allUniqueName="[tbContrato].[Saldo Contratual].[All]" dimensionUniqueName="[tbContrato]" displayFolder="" count="0" memberValueDatatype="20" unbalanced="0"/>
    <cacheHierarchy uniqueName="[tbContrato].[Status]" caption="Status" attribute="1" defaultMemberUniqueName="[tbContrato].[Status].[All]" allUniqueName="[tbContrato].[Status].[All]" dimensionUniqueName="[tbContrato]" displayFolder="" count="0" memberValueDatatype="130" unbalanced="0"/>
    <cacheHierarchy uniqueName="[tbFisico].[MEDIÇÃO]" caption="MEDIÇÃO" attribute="1" defaultMemberUniqueName="[tbFisico].[MEDIÇÃO].[All]" allUniqueName="[tbFisico].[MEDIÇÃO].[All]" dimensionUniqueName="[tbFisico]" displayFolder="" count="0" memberValueDatatype="20" unbalanced="0"/>
    <cacheHierarchy uniqueName="[tbFisico].[EXECUTADO]" caption="EXECUTADO" attribute="1" defaultMemberUniqueName="[tbFisico].[EXECUTADO].[All]" allUniqueName="[tbFisico].[EXECUTADO].[All]" dimensionUniqueName="[tbFisico]" displayFolder="" count="0" memberValueDatatype="130" unbalanced="0"/>
    <cacheHierarchy uniqueName="[tbMapa].[CÓD]" caption="CÓD" attribute="1" defaultMemberUniqueName="[tbMapa].[CÓD].[All]" allUniqueName="[tbMapa].[CÓD].[All]" dimensionUniqueName="[tbMapa]" displayFolder="" count="0" memberValueDatatype="130" unbalanced="0"/>
    <cacheHierarchy uniqueName="[tbMapa].[DESCRIÇÃO]" caption="DESCRIÇÃO" attribute="1" defaultMemberUniqueName="[tbMapa].[DESCRIÇÃO].[All]" allUniqueName="[tbMapa].[DESCRIÇÃO].[All]" dimensionUniqueName="[tbMapa]" displayFolder="" count="0" memberValueDatatype="130" unbalanced="0"/>
    <cacheHierarchy uniqueName="[tbMapa].[TORRE]" caption="TORRE" attribute="1" defaultMemberUniqueName="[tbMapa].[TORRE].[All]" allUniqueName="[tbMapa].[TORRE].[All]" dimensionUniqueName="[tbMapa]" displayFolder="" count="0" memberValueDatatype="130" unbalanced="0"/>
    <cacheHierarchy uniqueName="[tbMapa].[MEDIÇÃO]" caption="MEDIÇÃO" attribute="1" defaultMemberUniqueName="[tbMapa].[MEDIÇÃO].[All]" allUniqueName="[tbMapa].[MEDIÇÃO].[All]" dimensionUniqueName="[tbMapa]" displayFolder="" count="0" memberValueDatatype="130" unbalanced="0"/>
    <cacheHierarchy uniqueName="[tbMapa].[TOTAL FN]" caption="TOTAL FN" attribute="1" defaultMemberUniqueName="[tbMapa].[TOTAL FN].[All]" allUniqueName="[tbMapa].[TOTAL FN].[All]" dimensionUniqueName="[tbMapa]" displayFolder="" count="0" memberValueDatatype="5" unbalanced="0"/>
    <cacheHierarchy uniqueName="[tbMapa].[TOTAL F0]" caption="TOTAL F0" attribute="1" defaultMemberUniqueName="[tbMapa].[TOTAL F0].[All]" allUniqueName="[tbMapa].[TOTAL F0].[All]" dimensionUniqueName="[tbMapa]" displayFolder="" count="0" memberValueDatatype="5" unbalanced="0"/>
    <cacheHierarchy uniqueName="[tbMapa].[TOTAL F2]" caption="TOTAL F2" attribute="1" defaultMemberUniqueName="[tbMapa].[TOTAL F2].[All]" allUniqueName="[tbMapa].[TOTAL F2].[All]" dimensionUniqueName="[tbMapa]" displayFolder="" count="0" memberValueDatatype="5" unbalanced="0"/>
    <cacheHierarchy uniqueName="[tbMapa].[TOTAL F3]" caption="TOTAL F3" attribute="1" defaultMemberUniqueName="[tbMapa].[TOTAL F3].[All]" allUniqueName="[tbMapa].[TOTAL F3].[All]" dimensionUniqueName="[tbMapa]" displayFolder="" count="0" memberValueDatatype="5" unbalanced="0"/>
    <cacheHierarchy uniqueName="[tbMapa].[TOTAL F4]" caption="TOTAL F4" attribute="1" defaultMemberUniqueName="[tbMapa].[TOTAL F4].[All]" allUniqueName="[tbMapa].[TOTAL F4].[All]" dimensionUniqueName="[tbMapa]" displayFolder="" count="0" memberValueDatatype="5" unbalanced="0"/>
    <cacheHierarchy uniqueName="[tbMapa].[TOTAL F5]" caption="TOTAL F5" attribute="1" defaultMemberUniqueName="[tbMapa].[TOTAL F5].[All]" allUniqueName="[tbMapa].[TOTAL F5].[All]" dimensionUniqueName="[tbMapa]" displayFolder="" count="0" memberValueDatatype="5" unbalanced="0"/>
    <cacheHierarchy uniqueName="[tbMapa].[TOTAL F6]" caption="TOTAL F6" attribute="1" defaultMemberUniqueName="[tbMapa].[TOTAL F6].[All]" allUniqueName="[tbMapa].[TOTAL F6].[All]" dimensionUniqueName="[tbMapa]" displayFolder="" count="0" memberValueDatatype="5" unbalanced="0"/>
    <cacheHierarchy uniqueName="[tbMapa].[TOTAL F7]" caption="TOTAL F7" attribute="1" defaultMemberUniqueName="[tbMapa].[TOTAL F7].[All]" allUniqueName="[tbMapa].[TOTAL F7].[All]" dimensionUniqueName="[tbMapa]" displayFolder="" count="0" memberValueDatatype="5" unbalanced="0"/>
    <cacheHierarchy uniqueName="[tbMapa].[TOTAL F8]" caption="TOTAL F8" attribute="1" defaultMemberUniqueName="[tbMapa].[TOTAL F8].[All]" allUniqueName="[tbMapa].[TOTAL F8].[All]" dimensionUniqueName="[tbMapa]" displayFolder="" count="0" memberValueDatatype="5" unbalanced="0"/>
    <cacheHierarchy uniqueName="[tbMapa].[TOTAL F9]" caption="TOTAL F9" attribute="1" defaultMemberUniqueName="[tbMapa].[TOTAL F9].[All]" allUniqueName="[tbMapa].[TOTAL F9].[All]" dimensionUniqueName="[tbMapa]" displayFolder="" count="0" memberValueDatatype="5" unbalanced="0"/>
    <cacheHierarchy uniqueName="[tbMapaData].[MEDIÇÃO]" caption="MEDIÇÃO" attribute="1" defaultMemberUniqueName="[tbMapaData].[MEDIÇÃO].[All]" allUniqueName="[tbMapaData].[MEDIÇÃO].[All]" dimensionUniqueName="[tbMapaData]" displayFolder="" count="0" memberValueDatatype="20" unbalanced="0"/>
    <cacheHierarchy uniqueName="[tbMapaData].[DATA]" caption="DATA" attribute="1" time="1" defaultMemberUniqueName="[tbMapaData].[DATA].[All]" allUniqueName="[tbMapaData].[DATA].[All]" dimensionUniqueName="[tbMapaData]" displayFolder="" count="2" memberValueDatatype="7" unbalanced="0">
      <fieldsUsage count="2">
        <fieldUsage x="-1"/>
        <fieldUsage x="0"/>
      </fieldsUsage>
    </cacheHierarchy>
    <cacheHierarchy uniqueName="[tbMapaData].[MÊS/ANO]" caption="MÊS/ANO" attribute="1" defaultMemberUniqueName="[tbMapaData].[MÊS/ANO].[All]" allUniqueName="[tbMapaData].[MÊS/ANO].[All]" dimensionUniqueName="[tbMapaData]" displayFolder="" count="0" memberValueDatatype="130" unbalanced="0"/>
    <cacheHierarchy uniqueName="[tbMapaData].[DATA (Ano)]" caption="DATA (Ano)" attribute="1" defaultMemberUniqueName="[tbMapaData].[DATA (Ano)].[All]" allUniqueName="[tbMapaData].[DATA (Ano)].[All]" dimensionUniqueName="[tbMapaData]" displayFolder="" count="0" memberValueDatatype="130" unbalanced="0"/>
    <cacheHierarchy uniqueName="[tbMapaData].[DATA (Trimestre)]" caption="DATA (Trimestre)" attribute="1" defaultMemberUniqueName="[tbMapaData].[DATA (Trimestre)].[All]" allUniqueName="[tbMapaData].[DATA (Trimestre)].[All]" dimensionUniqueName="[tbMapaData]" displayFolder="" count="0" memberValueDatatype="130" unbalanced="0"/>
    <cacheHierarchy uniqueName="[tbMapaData].[DATA (Mês)]" caption="DATA (Mês)" attribute="1" defaultMemberUniqueName="[tbMapaData].[DATA (Mês)].[All]" allUniqueName="[tbMapaData].[DATA (Mês)].[All]" dimensionUniqueName="[tbMapaData]" displayFolder="" count="0" memberValueDatatype="130" unbalanced="0"/>
    <cacheHierarchy uniqueName="[tbPavimento].[PAVIMENTO]" caption="PAVIMENTO" attribute="1" defaultMemberUniqueName="[tbPavimento].[PAVIMENTO].[All]" allUniqueName="[tbPavimento].[PAVIMENTO].[All]" dimensionUniqueName="[tbPavimento]" displayFolder="" count="0" memberValueDatatype="130" unbalanced="0"/>
    <cacheHierarchy uniqueName="[tbPavimento].[EXECUTADO]" caption="EXECUTADO" attribute="1" defaultMemberUniqueName="[tbPavimento].[EXECUTADO].[All]" allUniqueName="[tbPavimento].[EXECUTADO].[All]" dimensionUniqueName="[tbPavimento]" displayFolder="" count="0" memberValueDatatype="5" unbalanced="0"/>
    <cacheHierarchy uniqueName="[tbPavimento].[PREVISTO]" caption="PREVISTO" attribute="1" defaultMemberUniqueName="[tbPavimento].[PREVISTO].[All]" allUniqueName="[tbPavimento].[PREVISTO].[All]" dimensionUniqueName="[tbPavimento]" displayFolder="" count="0" memberValueDatatype="5" unbalanced="0"/>
    <cacheHierarchy uniqueName="[tbPavimento].[%]" caption="%" attribute="1" defaultMemberUniqueName="[tbPavimento].[%].[All]" allUniqueName="[tbPavimento].[%].[All]" dimensionUniqueName="[tbPavimento]" displayFolder="" count="0" memberValueDatatype="5" unbalanced="0"/>
    <cacheHierarchy uniqueName="[TbPendencias].[CÓD]" caption="CÓD" attribute="1" defaultMemberUniqueName="[TbPendencias].[CÓD].[All]" allUniqueName="[TbPendencias].[CÓD].[All]" dimensionUniqueName="[TbPendencias]" displayFolder="" count="0" memberValueDatatype="130" unbalanced="0"/>
    <cacheHierarchy uniqueName="[TbPendencias].[DESCRIÇÃO]" caption="DESCRIÇÃO" attribute="1" defaultMemberUniqueName="[TbPendencias].[DESCRIÇÃO].[All]" allUniqueName="[TbPendencias].[DESCRIÇÃO].[All]" dimensionUniqueName="[TbPendencias]" displayFolder="" count="2" memberValueDatatype="130" unbalanced="0">
      <fieldsUsage count="2">
        <fieldUsage x="-1"/>
        <fieldUsage x="1"/>
      </fieldsUsage>
    </cacheHierarchy>
    <cacheHierarchy uniqueName="[TbPendencias].[PENDENTE]" caption="PENDENTE" attribute="1" defaultMemberUniqueName="[TbPendencias].[PENDENTE].[All]" allUniqueName="[TbPendencias].[PENDENTE].[All]" dimensionUniqueName="[TbPendencias]" displayFolder="" count="0" memberValueDatatype="5" unbalanced="0"/>
    <cacheHierarchy uniqueName="[tbPrevisto].[MEDIÇÕES]" caption="MEDIÇÕES" attribute="1" defaultMemberUniqueName="[tbPrevisto].[MEDIÇÕES].[All]" allUniqueName="[tbPrevisto].[MEDIÇÕES].[All]" dimensionUniqueName="[tbPrevisto]" displayFolder="" count="0" memberValueDatatype="20" unbalanced="0"/>
    <cacheHierarchy uniqueName="[tbPrevisto].[DATA]" caption="DATA" attribute="1" time="1" defaultMemberUniqueName="[tbPrevisto].[DATA].[All]" allUniqueName="[tbPrevisto].[DATA].[All]" dimensionUniqueName="[tbPrevisto]" displayFolder="" count="0" memberValueDatatype="7" unbalanced="0"/>
    <cacheHierarchy uniqueName="[tbPrevisto].[PREVISTO]" caption="PREVISTO" attribute="1" defaultMemberUniqueName="[tbPrevisto].[PREVISTO].[All]" allUniqueName="[tbPrevisto].[PREVISTO].[All]" dimensionUniqueName="[tbPrevisto]" displayFolder="" count="0" memberValueDatatype="20" unbalanced="0"/>
    <cacheHierarchy uniqueName="[tbPrevisto].[REALIZADO]" caption="REALIZADO" attribute="1" defaultMemberUniqueName="[tbPrevisto].[REALIZADO].[All]" allUniqueName="[tbPrevisto].[REALIZADO].[All]" dimensionUniqueName="[tbPrevisto]" displayFolder="" count="0" memberValueDatatype="130" unbalanced="0"/>
    <cacheHierarchy uniqueName="[tbPrevisto].[PREVISTO ACUM.]" caption="PREVISTO ACUM." attribute="1" defaultMemberUniqueName="[tbPrevisto].[PREVISTO ACUM.].[All]" allUniqueName="[tbPrevisto].[PREVISTO ACUM.].[All]" dimensionUniqueName="[tbPrevisto]" displayFolder="" count="0" memberValueDatatype="20" unbalanced="0"/>
    <cacheHierarchy uniqueName="[tbPrevisto].[REALIZADO ACUM.]" caption="REALIZADO ACUM." attribute="1" defaultMemberUniqueName="[tbPrevisto].[REALIZADO ACUM.].[All]" allUniqueName="[tbPrevisto].[REALIZADO ACUM.].[All]" dimensionUniqueName="[tbPrevisto]" displayFolder="" count="0" memberValueDatatype="5" unbalanced="0"/>
    <cacheHierarchy uniqueName="[tbPrevisto].[DATA (Ano)]" caption="DATA (Ano)" attribute="1" defaultMemberUniqueName="[tbPrevisto].[DATA (Ano)].[All]" allUniqueName="[tbPrevisto].[DATA (Ano)].[All]" dimensionUniqueName="[tbPrevisto]" displayFolder="" count="0" memberValueDatatype="130" unbalanced="0"/>
    <cacheHierarchy uniqueName="[tbPrevisto].[DATA (Trimestre)]" caption="DATA (Trimestre)" attribute="1" defaultMemberUniqueName="[tbPrevisto].[DATA (Trimestre)].[All]" allUniqueName="[tbPrevisto].[DATA (Trimestre)].[All]" dimensionUniqueName="[tbPrevisto]" displayFolder="" count="0" memberValueDatatype="130" unbalanced="0"/>
    <cacheHierarchy uniqueName="[tbPrevisto].[DATA (Mês)]" caption="DATA (Mês)" attribute="1" defaultMemberUniqueName="[tbPrevisto].[DATA (Mês)].[All]" allUniqueName="[tbPrevisto].[DATA (Mês)].[All]" dimensionUniqueName="[tbPrevisto]" displayFolder="" count="0" memberValueDatatype="130" unbalanced="0"/>
    <cacheHierarchy uniqueName="[tbMapaData].[DATA (Índice de Mês)]" caption="DATA (Índice de Mês)" attribute="1" defaultMemberUniqueName="[tbMapaData].[DATA (Índice de Mês)].[All]" allUniqueName="[tbMapaData].[DATA (Índice de Mês)].[All]" dimensionUniqueName="[tbMapaData]" displayFolder="" count="0" memberValueDatatype="20" unbalanced="0" hidden="1"/>
    <cacheHierarchy uniqueName="[tbPrevisto].[DATA (Índice de Mês)]" caption="DATA (Índice de Mês)" attribute="1" defaultMemberUniqueName="[tbPrevisto].[DATA (Índice de Mês)].[All]" allUniqueName="[tbPrevisto].[DATA (Índice de Mês)].[All]" dimensionUniqueName="[tbPrevisto]" displayFolder="" count="0" memberValueDatatype="20" unbalanced="0" hidden="1"/>
    <cacheHierarchy uniqueName="[Measures].[Total Financeiro]" caption="Total Financeiro" measure="1" displayFolder="" measureGroup="tbContrato" count="0"/>
    <cacheHierarchy uniqueName="[Measures].[Total Retenção]" caption="Total Retenção" measure="1" displayFolder="" measureGroup="tbContrato" count="0"/>
    <cacheHierarchy uniqueName="[Measures].[Valor Líquido]" caption="Valor Líquido" measure="1" displayFolder="" measureGroup="tbContrato" count="0"/>
    <cacheHierarchy uniqueName="[Measures].[Total Executado]" caption="Total Executado" measure="1" displayFolder="" measureGroup="tbMapa" count="0"/>
    <cacheHierarchy uniqueName="[Measures].[Total Físico]" caption="Total Físico" measure="1" displayFolder="" measureGroup="tbFisico" count="0"/>
    <cacheHierarchy uniqueName="[Measures].[% Financeiro]" caption="% Financeiro" measure="1" displayFolder="" measureGroup="tbContrato" count="0"/>
    <cacheHierarchy uniqueName="[Measures].[% Físico]" caption="% Físico" measure="1" displayFolder="" measureGroup="tbFisico" count="0"/>
    <cacheHierarchy uniqueName="[Measures].[__XL_Count Tabela57]" caption="__XL_Count Tabela57" measure="1" displayFolder="" measureGroup="tbMapaData" count="0" hidden="1"/>
    <cacheHierarchy uniqueName="[Measures].[__XL_Count Tabela5]" caption="__XL_Count Tabela5" measure="1" displayFolder="" measureGroup="tbMapa" count="0" hidden="1"/>
    <cacheHierarchy uniqueName="[Measures].[__XL_Count Tabela1]" caption="__XL_Count Tabela1" measure="1" displayFolder="" measureGroup="tbContrato" count="0" hidden="1"/>
    <cacheHierarchy uniqueName="[Measures].[__XL_Count Tabela573]" caption="__XL_Count Tabela573" measure="1" displayFolder="" measureGroup="tbFisico" count="0" hidden="1"/>
    <cacheHierarchy uniqueName="[Measures].[__XL_Count Tabela5739]" caption="__XL_Count Tabela5739" measure="1" displayFolder="" measureGroup="TbCategorias" count="0" hidden="1"/>
    <cacheHierarchy uniqueName="[Measures].[__XL_Count Tabela9]" caption="__XL_Count Tabela9" measure="1" displayFolder="" measureGroup="tbPavimento" count="0" hidden="1"/>
    <cacheHierarchy uniqueName="[Measures].[__XL_Count Tabela511]" caption="__XL_Count Tabela511" measure="1" displayFolder="" measureGroup="TbPendencias" count="0" hidden="1"/>
    <cacheHierarchy uniqueName="[Measures].[__XL_Count Tabela51112]" caption="__XL_Count Tabela51112" measure="1" displayFolder="" measureGroup="tbPrevisto" count="0" hidden="1"/>
    <cacheHierarchy uniqueName="[Measures].[__Não há medidas definidas]" caption="__Não há medidas definidas" measure="1" displayFolder="" count="0" hidden="1"/>
    <cacheHierarchy uniqueName="[Measures].[Soma de VALOR]" caption="Soma de VALOR" measure="1" displayFolder="" measureGroup="TbCategori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%]" caption="Soma de %" measure="1" displayFolder="" measureGroup="tbPavimen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ENDENTE]" caption="Soma de PENDENTE" measure="1" displayFolder="" measureGroup="TbPendenci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REVISTO ACUM.]" caption="Soma de PREVIST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REALIZADO ACUM.]" caption="Soma de REALIZAD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EXECUTADO]" caption="Soma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EXECUTADO]" caption="Contagem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9">
    <dimension measure="1" name="Measures" uniqueName="[Measures]" caption="Measures"/>
    <dimension name="TbCategorias" uniqueName="[TbCategorias]" caption="TbCategorias"/>
    <dimension name="tbContrato" uniqueName="[tbContrato]" caption="tbContrato"/>
    <dimension name="tbFisico" uniqueName="[tbFisico]" caption="tbFisico"/>
    <dimension name="tbMapa" uniqueName="[tbMapa]" caption="tbMapa"/>
    <dimension name="tbMapaData" uniqueName="[tbMapaData]" caption="tbMapaData"/>
    <dimension name="tbPavimento" uniqueName="[tbPavimento]" caption="tbPavimento"/>
    <dimension name="TbPendencias" uniqueName="[TbPendencias]" caption="TbPendencias"/>
    <dimension name="tbPrevisto" uniqueName="[tbPrevisto]" caption="tbPrevisto"/>
  </dimensions>
  <measureGroups count="8">
    <measureGroup name="TbCategorias" caption="TbCategorias"/>
    <measureGroup name="tbContrato" caption="tbContrato"/>
    <measureGroup name="tbFisico" caption="tbFisico"/>
    <measureGroup name="tbMapa" caption="tbMapa"/>
    <measureGroup name="tbMapaData" caption="tbMapaData"/>
    <measureGroup name="tbPavimento" caption="tbPavimento"/>
    <measureGroup name="TbPendencias" caption="TbPendencias"/>
    <measureGroup name="tbPrevisto" caption="tbPrevisto"/>
  </measureGroups>
  <maps count="11">
    <map measureGroup="0" dimension="1"/>
    <map measureGroup="1" dimension="2"/>
    <map measureGroup="1" dimension="5"/>
    <map measureGroup="2" dimension="3"/>
    <map measureGroup="2" dimension="5"/>
    <map measureGroup="3" dimension="4"/>
    <map measureGroup="3" dimension="5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" refreshedDate="46168.398556712964" backgroundQuery="1" createdVersion="8" refreshedVersion="8" minRefreshableVersion="3" recordCount="0" supportSubquery="1" supportAdvancedDrill="1" xr:uid="{F1A40420-10DE-4DE4-92B4-9CACBAEF090E}">
  <cacheSource type="external" connectionId="1"/>
  <cacheFields count="2">
    <cacheField name="[tbPavimento].[PAVIMENTO].[PAVIMENTO]" caption="PAVIMENTO" numFmtId="0" hierarchy="38" level="1">
      <sharedItems count="10">
        <s v="B0"/>
        <s v="B1"/>
        <s v="B2"/>
        <s v="B3"/>
        <s v="B4"/>
        <s v="B5"/>
        <s v="B6"/>
        <s v="B7"/>
        <s v="B8"/>
        <s v="B9"/>
      </sharedItems>
    </cacheField>
    <cacheField name="[Measures].[Soma de %]" caption="Soma de %" numFmtId="0" hierarchy="73" level="32767"/>
  </cacheFields>
  <cacheHierarchies count="79">
    <cacheHierarchy uniqueName="[TbCategorias].[CATEGORIA]" caption="CATEGORIA" attribute="1" defaultMemberUniqueName="[TbCategorias].[CATEGORIA].[All]" allUniqueName="[TbCategorias].[CATEGORIA].[All]" dimensionUniqueName="[TbCategorias]" displayFolder="" count="0" memberValueDatatype="130" unbalanced="0"/>
    <cacheHierarchy uniqueName="[TbCategorias].[VALOR]" caption="VALOR" attribute="1" defaultMemberUniqueName="[TbCategorias].[VALOR].[All]" allUniqueName="[TbCategorias].[VALOR].[All]" dimensionUniqueName="[TbCategorias]" displayFolder="" count="0" memberValueDatatype="5" unbalanced="0"/>
    <cacheHierarchy uniqueName="[tbContrato].[Nº Medição]" caption="Nº Medição" attribute="1" defaultMemberUniqueName="[tbContrato].[Nº Medição].[All]" allUniqueName="[tbContrato].[Nº Medição].[All]" dimensionUniqueName="[tbContrato]" displayFolder="" count="0" memberValueDatatype="20" unbalanced="0"/>
    <cacheHierarchy uniqueName="[tbContrato].[Período]" caption="Período" attribute="1" defaultMemberUniqueName="[tbContrato].[Período].[All]" allUniqueName="[tbContrato].[Período].[All]" dimensionUniqueName="[tbContrato]" displayFolder="" count="0" memberValueDatatype="130" unbalanced="0"/>
    <cacheHierarchy uniqueName="[tbContrato].[Data]" caption="Data" attribute="1" defaultMemberUniqueName="[tbContrato].[Data].[All]" allUniqueName="[tbContrato].[Data].[All]" dimensionUniqueName="[tbContrato]" displayFolder="" count="0" memberValueDatatype="130" unbalanced="0"/>
    <cacheHierarchy uniqueName="[tbContrato].[Nº NF]" caption="Nº NF" attribute="1" defaultMemberUniqueName="[tbContrato].[Nº NF].[All]" allUniqueName="[tbContrato].[Nº NF].[All]" dimensionUniqueName="[tbContrato]" displayFolder="" count="0" memberValueDatatype="20" unbalanced="0"/>
    <cacheHierarchy uniqueName="[tbContrato].[Valor Medição]" caption="Valor Medição" attribute="1" defaultMemberUniqueName="[tbContrato].[Valor Medição].[All]" allUniqueName="[tbContrato].[Valor Medição].[All]" dimensionUniqueName="[tbContrato]" displayFolder="" count="0" memberValueDatatype="20" unbalanced="0"/>
    <cacheHierarchy uniqueName="[tbContrato].[Dedução Medição]" caption="Dedução Medição" attribute="1" defaultMemberUniqueName="[tbContrato].[Dedução Medição].[All]" allUniqueName="[tbContrato].[Dedução Medição].[All]" dimensionUniqueName="[tbContrato]" displayFolder="" count="0" memberValueDatatype="20" unbalanced="0"/>
    <cacheHierarchy uniqueName="[tbContrato].[Retenção Medição]" caption="Retenção Medição" attribute="1" defaultMemberUniqueName="[tbContrato].[Retenção Medição].[All]" allUniqueName="[tbContrato].[Retenção Medição].[All]" dimensionUniqueName="[tbContrato]" displayFolder="" count="0" memberValueDatatype="5" unbalanced="0"/>
    <cacheHierarchy uniqueName="[tbContrato].[Valor Medição Líquido]" caption="Valor Medição Líquido" attribute="1" defaultMemberUniqueName="[tbContrato].[Valor Medição Líquido].[All]" allUniqueName="[tbContrato].[Valor Medição Líquido].[All]" dimensionUniqueName="[tbContrato]" displayFolder="" count="0" memberValueDatatype="5" unbalanced="0"/>
    <cacheHierarchy uniqueName="[tbContrato].[Saldo Medição]" caption="Saldo Medição" attribute="1" defaultMemberUniqueName="[tbContrato].[Saldo Medição].[All]" allUniqueName="[tbContrato].[Saldo Medição].[All]" dimensionUniqueName="[tbContrato]" displayFolder="" count="0" memberValueDatatype="20" unbalanced="0"/>
    <cacheHierarchy uniqueName="[tbContrato].[Faturamento Direto]" caption="Faturamento Direto" attribute="1" defaultMemberUniqueName="[tbContrato].[Faturamento Direto].[All]" allUniqueName="[tbContrato].[Faturamento Direto].[All]" dimensionUniqueName="[tbContrato]" displayFolder="" count="0" memberValueDatatype="20" unbalanced="0"/>
    <cacheHierarchy uniqueName="[tbContrato].[Saldo Faturamento Direto]" caption="Saldo Faturamento Direto" attribute="1" defaultMemberUniqueName="[tbContrato].[Saldo Faturamento Direto].[All]" allUniqueName="[tbContrato].[Saldo Faturamento Direto].[All]" dimensionUniqueName="[tbContrato]" displayFolder="" count="0" memberValueDatatype="20" unbalanced="0"/>
    <cacheHierarchy uniqueName="[tbContrato].[Total Pago]" caption="Total Pago" attribute="1" defaultMemberUniqueName="[tbContrato].[Total Pago].[All]" allUniqueName="[tbContrato].[Total Pago].[All]" dimensionUniqueName="[tbContrato]" displayFolder="" count="0" memberValueDatatype="20" unbalanced="0"/>
    <cacheHierarchy uniqueName="[tbContrato].[Saldo Contratual]" caption="Saldo Contratual" attribute="1" defaultMemberUniqueName="[tbContrato].[Saldo Contratual].[All]" allUniqueName="[tbContrato].[Saldo Contratual].[All]" dimensionUniqueName="[tbContrato]" displayFolder="" count="0" memberValueDatatype="20" unbalanced="0"/>
    <cacheHierarchy uniqueName="[tbContrato].[Status]" caption="Status" attribute="1" defaultMemberUniqueName="[tbContrato].[Status].[All]" allUniqueName="[tbContrato].[Status].[All]" dimensionUniqueName="[tbContrato]" displayFolder="" count="0" memberValueDatatype="130" unbalanced="0"/>
    <cacheHierarchy uniqueName="[tbFisico].[MEDIÇÃO]" caption="MEDIÇÃO" attribute="1" defaultMemberUniqueName="[tbFisico].[MEDIÇÃO].[All]" allUniqueName="[tbFisico].[MEDIÇÃO].[All]" dimensionUniqueName="[tbFisico]" displayFolder="" count="0" memberValueDatatype="20" unbalanced="0"/>
    <cacheHierarchy uniqueName="[tbFisico].[EXECUTADO]" caption="EXECUTADO" attribute="1" defaultMemberUniqueName="[tbFisico].[EXECUTADO].[All]" allUniqueName="[tbFisico].[EXECUTADO].[All]" dimensionUniqueName="[tbFisico]" displayFolder="" count="0" memberValueDatatype="130" unbalanced="0"/>
    <cacheHierarchy uniqueName="[tbMapa].[CÓD]" caption="CÓD" attribute="1" defaultMemberUniqueName="[tbMapa].[CÓD].[All]" allUniqueName="[tbMapa].[CÓD].[All]" dimensionUniqueName="[tbMapa]" displayFolder="" count="0" memberValueDatatype="130" unbalanced="0"/>
    <cacheHierarchy uniqueName="[tbMapa].[DESCRIÇÃO]" caption="DESCRIÇÃO" attribute="1" defaultMemberUniqueName="[tbMapa].[DESCRIÇÃO].[All]" allUniqueName="[tbMapa].[DESCRIÇÃO].[All]" dimensionUniqueName="[tbMapa]" displayFolder="" count="0" memberValueDatatype="130" unbalanced="0"/>
    <cacheHierarchy uniqueName="[tbMapa].[TORRE]" caption="TORRE" attribute="1" defaultMemberUniqueName="[tbMapa].[TORRE].[All]" allUniqueName="[tbMapa].[TORRE].[All]" dimensionUniqueName="[tbMapa]" displayFolder="" count="0" memberValueDatatype="130" unbalanced="0"/>
    <cacheHierarchy uniqueName="[tbMapa].[MEDIÇÃO]" caption="MEDIÇÃO" attribute="1" defaultMemberUniqueName="[tbMapa].[MEDIÇÃO].[All]" allUniqueName="[tbMapa].[MEDIÇÃO].[All]" dimensionUniqueName="[tbMapa]" displayFolder="" count="0" memberValueDatatype="130" unbalanced="0"/>
    <cacheHierarchy uniqueName="[tbMapa].[TOTAL FN]" caption="TOTAL FN" attribute="1" defaultMemberUniqueName="[tbMapa].[TOTAL FN].[All]" allUniqueName="[tbMapa].[TOTAL FN].[All]" dimensionUniqueName="[tbMapa]" displayFolder="" count="0" memberValueDatatype="5" unbalanced="0"/>
    <cacheHierarchy uniqueName="[tbMapa].[TOTAL F0]" caption="TOTAL F0" attribute="1" defaultMemberUniqueName="[tbMapa].[TOTAL F0].[All]" allUniqueName="[tbMapa].[TOTAL F0].[All]" dimensionUniqueName="[tbMapa]" displayFolder="" count="0" memberValueDatatype="5" unbalanced="0"/>
    <cacheHierarchy uniqueName="[tbMapa].[TOTAL F2]" caption="TOTAL F2" attribute="1" defaultMemberUniqueName="[tbMapa].[TOTAL F2].[All]" allUniqueName="[tbMapa].[TOTAL F2].[All]" dimensionUniqueName="[tbMapa]" displayFolder="" count="0" memberValueDatatype="5" unbalanced="0"/>
    <cacheHierarchy uniqueName="[tbMapa].[TOTAL F3]" caption="TOTAL F3" attribute="1" defaultMemberUniqueName="[tbMapa].[TOTAL F3].[All]" allUniqueName="[tbMapa].[TOTAL F3].[All]" dimensionUniqueName="[tbMapa]" displayFolder="" count="0" memberValueDatatype="5" unbalanced="0"/>
    <cacheHierarchy uniqueName="[tbMapa].[TOTAL F4]" caption="TOTAL F4" attribute="1" defaultMemberUniqueName="[tbMapa].[TOTAL F4].[All]" allUniqueName="[tbMapa].[TOTAL F4].[All]" dimensionUniqueName="[tbMapa]" displayFolder="" count="0" memberValueDatatype="5" unbalanced="0"/>
    <cacheHierarchy uniqueName="[tbMapa].[TOTAL F5]" caption="TOTAL F5" attribute="1" defaultMemberUniqueName="[tbMapa].[TOTAL F5].[All]" allUniqueName="[tbMapa].[TOTAL F5].[All]" dimensionUniqueName="[tbMapa]" displayFolder="" count="0" memberValueDatatype="5" unbalanced="0"/>
    <cacheHierarchy uniqueName="[tbMapa].[TOTAL F6]" caption="TOTAL F6" attribute="1" defaultMemberUniqueName="[tbMapa].[TOTAL F6].[All]" allUniqueName="[tbMapa].[TOTAL F6].[All]" dimensionUniqueName="[tbMapa]" displayFolder="" count="0" memberValueDatatype="5" unbalanced="0"/>
    <cacheHierarchy uniqueName="[tbMapa].[TOTAL F7]" caption="TOTAL F7" attribute="1" defaultMemberUniqueName="[tbMapa].[TOTAL F7].[All]" allUniqueName="[tbMapa].[TOTAL F7].[All]" dimensionUniqueName="[tbMapa]" displayFolder="" count="0" memberValueDatatype="5" unbalanced="0"/>
    <cacheHierarchy uniqueName="[tbMapa].[TOTAL F8]" caption="TOTAL F8" attribute="1" defaultMemberUniqueName="[tbMapa].[TOTAL F8].[All]" allUniqueName="[tbMapa].[TOTAL F8].[All]" dimensionUniqueName="[tbMapa]" displayFolder="" count="0" memberValueDatatype="5" unbalanced="0"/>
    <cacheHierarchy uniqueName="[tbMapa].[TOTAL F9]" caption="TOTAL F9" attribute="1" defaultMemberUniqueName="[tbMapa].[TOTAL F9].[All]" allUniqueName="[tbMapa].[TOTAL F9].[All]" dimensionUniqueName="[tbMapa]" displayFolder="" count="0" memberValueDatatype="5" unbalanced="0"/>
    <cacheHierarchy uniqueName="[tbMapaData].[MEDIÇÃO]" caption="MEDIÇÃO" attribute="1" defaultMemberUniqueName="[tbMapaData].[MEDIÇÃO].[All]" allUniqueName="[tbMapaData].[MEDIÇÃO].[All]" dimensionUniqueName="[tbMapaData]" displayFolder="" count="0" memberValueDatatype="20" unbalanced="0"/>
    <cacheHierarchy uniqueName="[tbMapaData].[DATA]" caption="DATA" attribute="1" time="1" defaultMemberUniqueName="[tbMapaData].[DATA].[All]" allUniqueName="[tbMapaData].[DATA].[All]" dimensionUniqueName="[tbMapaData]" displayFolder="" count="0" memberValueDatatype="7" unbalanced="0"/>
    <cacheHierarchy uniqueName="[tbMapaData].[MÊS/ANO]" caption="MÊS/ANO" attribute="1" defaultMemberUniqueName="[tbMapaData].[MÊS/ANO].[All]" allUniqueName="[tbMapaData].[MÊS/ANO].[All]" dimensionUniqueName="[tbMapaData]" displayFolder="" count="0" memberValueDatatype="130" unbalanced="0"/>
    <cacheHierarchy uniqueName="[tbMapaData].[DATA (Ano)]" caption="DATA (Ano)" attribute="1" defaultMemberUniqueName="[tbMapaData].[DATA (Ano)].[All]" allUniqueName="[tbMapaData].[DATA (Ano)].[All]" dimensionUniqueName="[tbMapaData]" displayFolder="" count="0" memberValueDatatype="130" unbalanced="0"/>
    <cacheHierarchy uniqueName="[tbMapaData].[DATA (Trimestre)]" caption="DATA (Trimestre)" attribute="1" defaultMemberUniqueName="[tbMapaData].[DATA (Trimestre)].[All]" allUniqueName="[tbMapaData].[DATA (Trimestre)].[All]" dimensionUniqueName="[tbMapaData]" displayFolder="" count="0" memberValueDatatype="130" unbalanced="0"/>
    <cacheHierarchy uniqueName="[tbMapaData].[DATA (Mês)]" caption="DATA (Mês)" attribute="1" defaultMemberUniqueName="[tbMapaData].[DATA (Mês)].[All]" allUniqueName="[tbMapaData].[DATA (Mês)].[All]" dimensionUniqueName="[tbMapaData]" displayFolder="" count="0" memberValueDatatype="130" unbalanced="0"/>
    <cacheHierarchy uniqueName="[tbPavimento].[PAVIMENTO]" caption="PAVIMENTO" attribute="1" defaultMemberUniqueName="[tbPavimento].[PAVIMENTO].[All]" allUniqueName="[tbPavimento].[PAVIMENTO].[All]" dimensionUniqueName="[tbPavimento]" displayFolder="" count="2" memberValueDatatype="130" unbalanced="0">
      <fieldsUsage count="2">
        <fieldUsage x="-1"/>
        <fieldUsage x="0"/>
      </fieldsUsage>
    </cacheHierarchy>
    <cacheHierarchy uniqueName="[tbPavimento].[EXECUTADO]" caption="EXECUTADO" attribute="1" defaultMemberUniqueName="[tbPavimento].[EXECUTADO].[All]" allUniqueName="[tbPavimento].[EXECUTADO].[All]" dimensionUniqueName="[tbPavimento]" displayFolder="" count="0" memberValueDatatype="5" unbalanced="0"/>
    <cacheHierarchy uniqueName="[tbPavimento].[PREVISTO]" caption="PREVISTO" attribute="1" defaultMemberUniqueName="[tbPavimento].[PREVISTO].[All]" allUniqueName="[tbPavimento].[PREVISTO].[All]" dimensionUniqueName="[tbPavimento]" displayFolder="" count="0" memberValueDatatype="5" unbalanced="0"/>
    <cacheHierarchy uniqueName="[tbPavimento].[%]" caption="%" attribute="1" defaultMemberUniqueName="[tbPavimento].[%].[All]" allUniqueName="[tbPavimento].[%].[All]" dimensionUniqueName="[tbPavimento]" displayFolder="" count="0" memberValueDatatype="5" unbalanced="0"/>
    <cacheHierarchy uniqueName="[TbPendencias].[CÓD]" caption="CÓD" attribute="1" defaultMemberUniqueName="[TbPendencias].[CÓD].[All]" allUniqueName="[TbPendencias].[CÓD].[All]" dimensionUniqueName="[TbPendencias]" displayFolder="" count="0" memberValueDatatype="130" unbalanced="0"/>
    <cacheHierarchy uniqueName="[TbPendencias].[DESCRIÇÃO]" caption="DESCRIÇÃO" attribute="1" defaultMemberUniqueName="[TbPendencias].[DESCRIÇÃO].[All]" allUniqueName="[TbPendencias].[DESCRIÇÃO].[All]" dimensionUniqueName="[TbPendencias]" displayFolder="" count="0" memberValueDatatype="130" unbalanced="0"/>
    <cacheHierarchy uniqueName="[TbPendencias].[PENDENTE]" caption="PENDENTE" attribute="1" defaultMemberUniqueName="[TbPendencias].[PENDENTE].[All]" allUniqueName="[TbPendencias].[PENDENTE].[All]" dimensionUniqueName="[TbPendencias]" displayFolder="" count="0" memberValueDatatype="5" unbalanced="0"/>
    <cacheHierarchy uniqueName="[tbPrevisto].[MEDIÇÕES]" caption="MEDIÇÕES" attribute="1" defaultMemberUniqueName="[tbPrevisto].[MEDIÇÕES].[All]" allUniqueName="[tbPrevisto].[MEDIÇÕES].[All]" dimensionUniqueName="[tbPrevisto]" displayFolder="" count="0" memberValueDatatype="20" unbalanced="0"/>
    <cacheHierarchy uniqueName="[tbPrevisto].[DATA]" caption="DATA" attribute="1" time="1" defaultMemberUniqueName="[tbPrevisto].[DATA].[All]" allUniqueName="[tbPrevisto].[DATA].[All]" dimensionUniqueName="[tbPrevisto]" displayFolder="" count="0" memberValueDatatype="7" unbalanced="0"/>
    <cacheHierarchy uniqueName="[tbPrevisto].[PREVISTO]" caption="PREVISTO" attribute="1" defaultMemberUniqueName="[tbPrevisto].[PREVISTO].[All]" allUniqueName="[tbPrevisto].[PREVISTO].[All]" dimensionUniqueName="[tbPrevisto]" displayFolder="" count="0" memberValueDatatype="20" unbalanced="0"/>
    <cacheHierarchy uniqueName="[tbPrevisto].[REALIZADO]" caption="REALIZADO" attribute="1" defaultMemberUniqueName="[tbPrevisto].[REALIZADO].[All]" allUniqueName="[tbPrevisto].[REALIZADO].[All]" dimensionUniqueName="[tbPrevisto]" displayFolder="" count="0" memberValueDatatype="130" unbalanced="0"/>
    <cacheHierarchy uniqueName="[tbPrevisto].[PREVISTO ACUM.]" caption="PREVISTO ACUM." attribute="1" defaultMemberUniqueName="[tbPrevisto].[PREVISTO ACUM.].[All]" allUniqueName="[tbPrevisto].[PREVISTO ACUM.].[All]" dimensionUniqueName="[tbPrevisto]" displayFolder="" count="0" memberValueDatatype="20" unbalanced="0"/>
    <cacheHierarchy uniqueName="[tbPrevisto].[REALIZADO ACUM.]" caption="REALIZADO ACUM." attribute="1" defaultMemberUniqueName="[tbPrevisto].[REALIZADO ACUM.].[All]" allUniqueName="[tbPrevisto].[REALIZADO ACUM.].[All]" dimensionUniqueName="[tbPrevisto]" displayFolder="" count="0" memberValueDatatype="5" unbalanced="0"/>
    <cacheHierarchy uniqueName="[tbPrevisto].[DATA (Ano)]" caption="DATA (Ano)" attribute="1" defaultMemberUniqueName="[tbPrevisto].[DATA (Ano)].[All]" allUniqueName="[tbPrevisto].[DATA (Ano)].[All]" dimensionUniqueName="[tbPrevisto]" displayFolder="" count="0" memberValueDatatype="130" unbalanced="0"/>
    <cacheHierarchy uniqueName="[tbPrevisto].[DATA (Trimestre)]" caption="DATA (Trimestre)" attribute="1" defaultMemberUniqueName="[tbPrevisto].[DATA (Trimestre)].[All]" allUniqueName="[tbPrevisto].[DATA (Trimestre)].[All]" dimensionUniqueName="[tbPrevisto]" displayFolder="" count="0" memberValueDatatype="130" unbalanced="0"/>
    <cacheHierarchy uniqueName="[tbPrevisto].[DATA (Mês)]" caption="DATA (Mês)" attribute="1" defaultMemberUniqueName="[tbPrevisto].[DATA (Mês)].[All]" allUniqueName="[tbPrevisto].[DATA (Mês)].[All]" dimensionUniqueName="[tbPrevisto]" displayFolder="" count="0" memberValueDatatype="130" unbalanced="0"/>
    <cacheHierarchy uniqueName="[tbMapaData].[DATA (Índice de Mês)]" caption="DATA (Índice de Mês)" attribute="1" defaultMemberUniqueName="[tbMapaData].[DATA (Índice de Mês)].[All]" allUniqueName="[tbMapaData].[DATA (Índice de Mês)].[All]" dimensionUniqueName="[tbMapaData]" displayFolder="" count="0" memberValueDatatype="20" unbalanced="0" hidden="1"/>
    <cacheHierarchy uniqueName="[tbPrevisto].[DATA (Índice de Mês)]" caption="DATA (Índice de Mês)" attribute="1" defaultMemberUniqueName="[tbPrevisto].[DATA (Índice de Mês)].[All]" allUniqueName="[tbPrevisto].[DATA (Índice de Mês)].[All]" dimensionUniqueName="[tbPrevisto]" displayFolder="" count="0" memberValueDatatype="20" unbalanced="0" hidden="1"/>
    <cacheHierarchy uniqueName="[Measures].[Total Financeiro]" caption="Total Financeiro" measure="1" displayFolder="" measureGroup="tbContrato" count="0"/>
    <cacheHierarchy uniqueName="[Measures].[Total Retenção]" caption="Total Retenção" measure="1" displayFolder="" measureGroup="tbContrato" count="0"/>
    <cacheHierarchy uniqueName="[Measures].[Valor Líquido]" caption="Valor Líquido" measure="1" displayFolder="" measureGroup="tbContrato" count="0"/>
    <cacheHierarchy uniqueName="[Measures].[Total Executado]" caption="Total Executado" measure="1" displayFolder="" measureGroup="tbMapa" count="0"/>
    <cacheHierarchy uniqueName="[Measures].[Total Físico]" caption="Total Físico" measure="1" displayFolder="" measureGroup="tbFisico" count="0"/>
    <cacheHierarchy uniqueName="[Measures].[% Financeiro]" caption="% Financeiro" measure="1" displayFolder="" measureGroup="tbContrato" count="0"/>
    <cacheHierarchy uniqueName="[Measures].[% Físico]" caption="% Físico" measure="1" displayFolder="" measureGroup="tbFisico" count="0"/>
    <cacheHierarchy uniqueName="[Measures].[__XL_Count Tabela57]" caption="__XL_Count Tabela57" measure="1" displayFolder="" measureGroup="tbMapaData" count="0" hidden="1"/>
    <cacheHierarchy uniqueName="[Measures].[__XL_Count Tabela5]" caption="__XL_Count Tabela5" measure="1" displayFolder="" measureGroup="tbMapa" count="0" hidden="1"/>
    <cacheHierarchy uniqueName="[Measures].[__XL_Count Tabela1]" caption="__XL_Count Tabela1" measure="1" displayFolder="" measureGroup="tbContrato" count="0" hidden="1"/>
    <cacheHierarchy uniqueName="[Measures].[__XL_Count Tabela573]" caption="__XL_Count Tabela573" measure="1" displayFolder="" measureGroup="tbFisico" count="0" hidden="1"/>
    <cacheHierarchy uniqueName="[Measures].[__XL_Count Tabela5739]" caption="__XL_Count Tabela5739" measure="1" displayFolder="" measureGroup="TbCategorias" count="0" hidden="1"/>
    <cacheHierarchy uniqueName="[Measures].[__XL_Count Tabela9]" caption="__XL_Count Tabela9" measure="1" displayFolder="" measureGroup="tbPavimento" count="0" hidden="1"/>
    <cacheHierarchy uniqueName="[Measures].[__XL_Count Tabela511]" caption="__XL_Count Tabela511" measure="1" displayFolder="" measureGroup="TbPendencias" count="0" hidden="1"/>
    <cacheHierarchy uniqueName="[Measures].[__XL_Count Tabela51112]" caption="__XL_Count Tabela51112" measure="1" displayFolder="" measureGroup="tbPrevisto" count="0" hidden="1"/>
    <cacheHierarchy uniqueName="[Measures].[__Não há medidas definidas]" caption="__Não há medidas definidas" measure="1" displayFolder="" count="0" hidden="1"/>
    <cacheHierarchy uniqueName="[Measures].[Soma de VALOR]" caption="Soma de VALOR" measure="1" displayFolder="" measureGroup="TbCategori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%]" caption="Soma de %" measure="1" displayFolder="" measureGroup="tbPaviment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ENDENTE]" caption="Soma de PENDENTE" measure="1" displayFolder="" measureGroup="TbPendenci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REVISTO ACUM.]" caption="Soma de PREVIST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REALIZADO ACUM.]" caption="Soma de REALIZAD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EXECUTADO]" caption="Soma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EXECUTADO]" caption="Contagem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9">
    <dimension measure="1" name="Measures" uniqueName="[Measures]" caption="Measures"/>
    <dimension name="TbCategorias" uniqueName="[TbCategorias]" caption="TbCategorias"/>
    <dimension name="tbContrato" uniqueName="[tbContrato]" caption="tbContrato"/>
    <dimension name="tbFisico" uniqueName="[tbFisico]" caption="tbFisico"/>
    <dimension name="tbMapa" uniqueName="[tbMapa]" caption="tbMapa"/>
    <dimension name="tbMapaData" uniqueName="[tbMapaData]" caption="tbMapaData"/>
    <dimension name="tbPavimento" uniqueName="[tbPavimento]" caption="tbPavimento"/>
    <dimension name="TbPendencias" uniqueName="[TbPendencias]" caption="TbPendencias"/>
    <dimension name="tbPrevisto" uniqueName="[tbPrevisto]" caption="tbPrevisto"/>
  </dimensions>
  <measureGroups count="8">
    <measureGroup name="TbCategorias" caption="TbCategorias"/>
    <measureGroup name="tbContrato" caption="tbContrato"/>
    <measureGroup name="tbFisico" caption="tbFisico"/>
    <measureGroup name="tbMapa" caption="tbMapa"/>
    <measureGroup name="tbMapaData" caption="tbMapaData"/>
    <measureGroup name="tbPavimento" caption="tbPavimento"/>
    <measureGroup name="TbPendencias" caption="TbPendencias"/>
    <measureGroup name="tbPrevisto" caption="tbPrevisto"/>
  </measureGroups>
  <maps count="11">
    <map measureGroup="0" dimension="1"/>
    <map measureGroup="1" dimension="2"/>
    <map measureGroup="1" dimension="5"/>
    <map measureGroup="2" dimension="3"/>
    <map measureGroup="2" dimension="5"/>
    <map measureGroup="3" dimension="4"/>
    <map measureGroup="3" dimension="5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" refreshedDate="46168.39855578704" backgroundQuery="1" createdVersion="8" refreshedVersion="8" minRefreshableVersion="3" recordCount="0" supportSubquery="1" supportAdvancedDrill="1" xr:uid="{D6EC0216-9290-4F27-BD55-1BAB635619E2}">
  <cacheSource type="external" connectionId="1"/>
  <cacheFields count="2">
    <cacheField name="[tbMapaData].[DATA].[DATA]" caption="DATA" numFmtId="0" hierarchy="33" level="1">
      <sharedItems containsSemiMixedTypes="0" containsNonDate="0" containsDate="1" containsString="0" minDate="2025-10-21T00:00:00" maxDate="2026-04-28T00:00:00" count="5">
        <d v="2025-10-21T00:00:00"/>
        <d v="2025-11-24T00:00:00"/>
        <d v="2025-12-23T00:00:00"/>
        <d v="2026-04-22T00:00:00"/>
        <d v="2026-04-27T00:00:00"/>
      </sharedItems>
    </cacheField>
    <cacheField name="[Measures].[% Financeiro]" caption="% Financeiro" numFmtId="0" hierarchy="61" level="32767"/>
  </cacheFields>
  <cacheHierarchies count="79">
    <cacheHierarchy uniqueName="[TbCategorias].[CATEGORIA]" caption="CATEGORIA" attribute="1" defaultMemberUniqueName="[TbCategorias].[CATEGORIA].[All]" allUniqueName="[TbCategorias].[CATEGORIA].[All]" dimensionUniqueName="[TbCategorias]" displayFolder="" count="0" memberValueDatatype="130" unbalanced="0"/>
    <cacheHierarchy uniqueName="[TbCategorias].[VALOR]" caption="VALOR" attribute="1" defaultMemberUniqueName="[TbCategorias].[VALOR].[All]" allUniqueName="[TbCategorias].[VALOR].[All]" dimensionUniqueName="[TbCategorias]" displayFolder="" count="0" memberValueDatatype="5" unbalanced="0"/>
    <cacheHierarchy uniqueName="[tbContrato].[Nº Medição]" caption="Nº Medição" attribute="1" defaultMemberUniqueName="[tbContrato].[Nº Medição].[All]" allUniqueName="[tbContrato].[Nº Medição].[All]" dimensionUniqueName="[tbContrato]" displayFolder="" count="0" memberValueDatatype="20" unbalanced="0"/>
    <cacheHierarchy uniqueName="[tbContrato].[Período]" caption="Período" attribute="1" defaultMemberUniqueName="[tbContrato].[Período].[All]" allUniqueName="[tbContrato].[Período].[All]" dimensionUniqueName="[tbContrato]" displayFolder="" count="0" memberValueDatatype="130" unbalanced="0"/>
    <cacheHierarchy uniqueName="[tbContrato].[Data]" caption="Data" attribute="1" defaultMemberUniqueName="[tbContrato].[Data].[All]" allUniqueName="[tbContrato].[Data].[All]" dimensionUniqueName="[tbContrato]" displayFolder="" count="0" memberValueDatatype="130" unbalanced="0"/>
    <cacheHierarchy uniqueName="[tbContrato].[Nº NF]" caption="Nº NF" attribute="1" defaultMemberUniqueName="[tbContrato].[Nº NF].[All]" allUniqueName="[tbContrato].[Nº NF].[All]" dimensionUniqueName="[tbContrato]" displayFolder="" count="0" memberValueDatatype="20" unbalanced="0"/>
    <cacheHierarchy uniqueName="[tbContrato].[Valor Medição]" caption="Valor Medição" attribute="1" defaultMemberUniqueName="[tbContrato].[Valor Medição].[All]" allUniqueName="[tbContrato].[Valor Medição].[All]" dimensionUniqueName="[tbContrato]" displayFolder="" count="0" memberValueDatatype="20" unbalanced="0"/>
    <cacheHierarchy uniqueName="[tbContrato].[Dedução Medição]" caption="Dedução Medição" attribute="1" defaultMemberUniqueName="[tbContrato].[Dedução Medição].[All]" allUniqueName="[tbContrato].[Dedução Medição].[All]" dimensionUniqueName="[tbContrato]" displayFolder="" count="0" memberValueDatatype="20" unbalanced="0"/>
    <cacheHierarchy uniqueName="[tbContrato].[Retenção Medição]" caption="Retenção Medição" attribute="1" defaultMemberUniqueName="[tbContrato].[Retenção Medição].[All]" allUniqueName="[tbContrato].[Retenção Medição].[All]" dimensionUniqueName="[tbContrato]" displayFolder="" count="0" memberValueDatatype="5" unbalanced="0"/>
    <cacheHierarchy uniqueName="[tbContrato].[Valor Medição Líquido]" caption="Valor Medição Líquido" attribute="1" defaultMemberUniqueName="[tbContrato].[Valor Medição Líquido].[All]" allUniqueName="[tbContrato].[Valor Medição Líquido].[All]" dimensionUniqueName="[tbContrato]" displayFolder="" count="0" memberValueDatatype="5" unbalanced="0"/>
    <cacheHierarchy uniqueName="[tbContrato].[Saldo Medição]" caption="Saldo Medição" attribute="1" defaultMemberUniqueName="[tbContrato].[Saldo Medição].[All]" allUniqueName="[tbContrato].[Saldo Medição].[All]" dimensionUniqueName="[tbContrato]" displayFolder="" count="0" memberValueDatatype="20" unbalanced="0"/>
    <cacheHierarchy uniqueName="[tbContrato].[Faturamento Direto]" caption="Faturamento Direto" attribute="1" defaultMemberUniqueName="[tbContrato].[Faturamento Direto].[All]" allUniqueName="[tbContrato].[Faturamento Direto].[All]" dimensionUniqueName="[tbContrato]" displayFolder="" count="0" memberValueDatatype="20" unbalanced="0"/>
    <cacheHierarchy uniqueName="[tbContrato].[Saldo Faturamento Direto]" caption="Saldo Faturamento Direto" attribute="1" defaultMemberUniqueName="[tbContrato].[Saldo Faturamento Direto].[All]" allUniqueName="[tbContrato].[Saldo Faturamento Direto].[All]" dimensionUniqueName="[tbContrato]" displayFolder="" count="0" memberValueDatatype="20" unbalanced="0"/>
    <cacheHierarchy uniqueName="[tbContrato].[Total Pago]" caption="Total Pago" attribute="1" defaultMemberUniqueName="[tbContrato].[Total Pago].[All]" allUniqueName="[tbContrato].[Total Pago].[All]" dimensionUniqueName="[tbContrato]" displayFolder="" count="0" memberValueDatatype="20" unbalanced="0"/>
    <cacheHierarchy uniqueName="[tbContrato].[Saldo Contratual]" caption="Saldo Contratual" attribute="1" defaultMemberUniqueName="[tbContrato].[Saldo Contratual].[All]" allUniqueName="[tbContrato].[Saldo Contratual].[All]" dimensionUniqueName="[tbContrato]" displayFolder="" count="0" memberValueDatatype="20" unbalanced="0"/>
    <cacheHierarchy uniqueName="[tbContrato].[Status]" caption="Status" attribute="1" defaultMemberUniqueName="[tbContrato].[Status].[All]" allUniqueName="[tbContrato].[Status].[All]" dimensionUniqueName="[tbContrato]" displayFolder="" count="0" memberValueDatatype="130" unbalanced="0"/>
    <cacheHierarchy uniqueName="[tbFisico].[MEDIÇÃO]" caption="MEDIÇÃO" attribute="1" defaultMemberUniqueName="[tbFisico].[MEDIÇÃO].[All]" allUniqueName="[tbFisico].[MEDIÇÃO].[All]" dimensionUniqueName="[tbFisico]" displayFolder="" count="0" memberValueDatatype="20" unbalanced="0"/>
    <cacheHierarchy uniqueName="[tbFisico].[EXECUTADO]" caption="EXECUTADO" attribute="1" defaultMemberUniqueName="[tbFisico].[EXECUTADO].[All]" allUniqueName="[tbFisico].[EXECUTADO].[All]" dimensionUniqueName="[tbFisico]" displayFolder="" count="0" memberValueDatatype="130" unbalanced="0"/>
    <cacheHierarchy uniqueName="[tbMapa].[CÓD]" caption="CÓD" attribute="1" defaultMemberUniqueName="[tbMapa].[CÓD].[All]" allUniqueName="[tbMapa].[CÓD].[All]" dimensionUniqueName="[tbMapa]" displayFolder="" count="0" memberValueDatatype="130" unbalanced="0"/>
    <cacheHierarchy uniqueName="[tbMapa].[DESCRIÇÃO]" caption="DESCRIÇÃO" attribute="1" defaultMemberUniqueName="[tbMapa].[DESCRIÇÃO].[All]" allUniqueName="[tbMapa].[DESCRIÇÃO].[All]" dimensionUniqueName="[tbMapa]" displayFolder="" count="0" memberValueDatatype="130" unbalanced="0"/>
    <cacheHierarchy uniqueName="[tbMapa].[TORRE]" caption="TORRE" attribute="1" defaultMemberUniqueName="[tbMapa].[TORRE].[All]" allUniqueName="[tbMapa].[TORRE].[All]" dimensionUniqueName="[tbMapa]" displayFolder="" count="0" memberValueDatatype="130" unbalanced="0"/>
    <cacheHierarchy uniqueName="[tbMapa].[MEDIÇÃO]" caption="MEDIÇÃO" attribute="1" defaultMemberUniqueName="[tbMapa].[MEDIÇÃO].[All]" allUniqueName="[tbMapa].[MEDIÇÃO].[All]" dimensionUniqueName="[tbMapa]" displayFolder="" count="0" memberValueDatatype="130" unbalanced="0"/>
    <cacheHierarchy uniqueName="[tbMapa].[TOTAL FN]" caption="TOTAL FN" attribute="1" defaultMemberUniqueName="[tbMapa].[TOTAL FN].[All]" allUniqueName="[tbMapa].[TOTAL FN].[All]" dimensionUniqueName="[tbMapa]" displayFolder="" count="0" memberValueDatatype="5" unbalanced="0"/>
    <cacheHierarchy uniqueName="[tbMapa].[TOTAL F0]" caption="TOTAL F0" attribute="1" defaultMemberUniqueName="[tbMapa].[TOTAL F0].[All]" allUniqueName="[tbMapa].[TOTAL F0].[All]" dimensionUniqueName="[tbMapa]" displayFolder="" count="0" memberValueDatatype="5" unbalanced="0"/>
    <cacheHierarchy uniqueName="[tbMapa].[TOTAL F2]" caption="TOTAL F2" attribute="1" defaultMemberUniqueName="[tbMapa].[TOTAL F2].[All]" allUniqueName="[tbMapa].[TOTAL F2].[All]" dimensionUniqueName="[tbMapa]" displayFolder="" count="0" memberValueDatatype="5" unbalanced="0"/>
    <cacheHierarchy uniqueName="[tbMapa].[TOTAL F3]" caption="TOTAL F3" attribute="1" defaultMemberUniqueName="[tbMapa].[TOTAL F3].[All]" allUniqueName="[tbMapa].[TOTAL F3].[All]" dimensionUniqueName="[tbMapa]" displayFolder="" count="0" memberValueDatatype="5" unbalanced="0"/>
    <cacheHierarchy uniqueName="[tbMapa].[TOTAL F4]" caption="TOTAL F4" attribute="1" defaultMemberUniqueName="[tbMapa].[TOTAL F4].[All]" allUniqueName="[tbMapa].[TOTAL F4].[All]" dimensionUniqueName="[tbMapa]" displayFolder="" count="0" memberValueDatatype="5" unbalanced="0"/>
    <cacheHierarchy uniqueName="[tbMapa].[TOTAL F5]" caption="TOTAL F5" attribute="1" defaultMemberUniqueName="[tbMapa].[TOTAL F5].[All]" allUniqueName="[tbMapa].[TOTAL F5].[All]" dimensionUniqueName="[tbMapa]" displayFolder="" count="0" memberValueDatatype="5" unbalanced="0"/>
    <cacheHierarchy uniqueName="[tbMapa].[TOTAL F6]" caption="TOTAL F6" attribute="1" defaultMemberUniqueName="[tbMapa].[TOTAL F6].[All]" allUniqueName="[tbMapa].[TOTAL F6].[All]" dimensionUniqueName="[tbMapa]" displayFolder="" count="0" memberValueDatatype="5" unbalanced="0"/>
    <cacheHierarchy uniqueName="[tbMapa].[TOTAL F7]" caption="TOTAL F7" attribute="1" defaultMemberUniqueName="[tbMapa].[TOTAL F7].[All]" allUniqueName="[tbMapa].[TOTAL F7].[All]" dimensionUniqueName="[tbMapa]" displayFolder="" count="0" memberValueDatatype="5" unbalanced="0"/>
    <cacheHierarchy uniqueName="[tbMapa].[TOTAL F8]" caption="TOTAL F8" attribute="1" defaultMemberUniqueName="[tbMapa].[TOTAL F8].[All]" allUniqueName="[tbMapa].[TOTAL F8].[All]" dimensionUniqueName="[tbMapa]" displayFolder="" count="0" memberValueDatatype="5" unbalanced="0"/>
    <cacheHierarchy uniqueName="[tbMapa].[TOTAL F9]" caption="TOTAL F9" attribute="1" defaultMemberUniqueName="[tbMapa].[TOTAL F9].[All]" allUniqueName="[tbMapa].[TOTAL F9].[All]" dimensionUniqueName="[tbMapa]" displayFolder="" count="0" memberValueDatatype="5" unbalanced="0"/>
    <cacheHierarchy uniqueName="[tbMapaData].[MEDIÇÃO]" caption="MEDIÇÃO" attribute="1" defaultMemberUniqueName="[tbMapaData].[MEDIÇÃO].[All]" allUniqueName="[tbMapaData].[MEDIÇÃO].[All]" dimensionUniqueName="[tbMapaData]" displayFolder="" count="0" memberValueDatatype="20" unbalanced="0"/>
    <cacheHierarchy uniqueName="[tbMapaData].[DATA]" caption="DATA" attribute="1" time="1" defaultMemberUniqueName="[tbMapaData].[DATA].[All]" allUniqueName="[tbMapaData].[DATA].[All]" dimensionUniqueName="[tbMapaData]" displayFolder="" count="2" memberValueDatatype="7" unbalanced="0">
      <fieldsUsage count="2">
        <fieldUsage x="-1"/>
        <fieldUsage x="0"/>
      </fieldsUsage>
    </cacheHierarchy>
    <cacheHierarchy uniqueName="[tbMapaData].[MÊS/ANO]" caption="MÊS/ANO" attribute="1" defaultMemberUniqueName="[tbMapaData].[MÊS/ANO].[All]" allUniqueName="[tbMapaData].[MÊS/ANO].[All]" dimensionUniqueName="[tbMapaData]" displayFolder="" count="0" memberValueDatatype="130" unbalanced="0"/>
    <cacheHierarchy uniqueName="[tbMapaData].[DATA (Ano)]" caption="DATA (Ano)" attribute="1" defaultMemberUniqueName="[tbMapaData].[DATA (Ano)].[All]" allUniqueName="[tbMapaData].[DATA (Ano)].[All]" dimensionUniqueName="[tbMapaData]" displayFolder="" count="0" memberValueDatatype="130" unbalanced="0"/>
    <cacheHierarchy uniqueName="[tbMapaData].[DATA (Trimestre)]" caption="DATA (Trimestre)" attribute="1" defaultMemberUniqueName="[tbMapaData].[DATA (Trimestre)].[All]" allUniqueName="[tbMapaData].[DATA (Trimestre)].[All]" dimensionUniqueName="[tbMapaData]" displayFolder="" count="0" memberValueDatatype="130" unbalanced="0"/>
    <cacheHierarchy uniqueName="[tbMapaData].[DATA (Mês)]" caption="DATA (Mês)" attribute="1" defaultMemberUniqueName="[tbMapaData].[DATA (Mês)].[All]" allUniqueName="[tbMapaData].[DATA (Mês)].[All]" dimensionUniqueName="[tbMapaData]" displayFolder="" count="0" memberValueDatatype="130" unbalanced="0"/>
    <cacheHierarchy uniqueName="[tbPavimento].[PAVIMENTO]" caption="PAVIMENTO" attribute="1" defaultMemberUniqueName="[tbPavimento].[PAVIMENTO].[All]" allUniqueName="[tbPavimento].[PAVIMENTO].[All]" dimensionUniqueName="[tbPavimento]" displayFolder="" count="0" memberValueDatatype="130" unbalanced="0"/>
    <cacheHierarchy uniqueName="[tbPavimento].[EXECUTADO]" caption="EXECUTADO" attribute="1" defaultMemberUniqueName="[tbPavimento].[EXECUTADO].[All]" allUniqueName="[tbPavimento].[EXECUTADO].[All]" dimensionUniqueName="[tbPavimento]" displayFolder="" count="0" memberValueDatatype="5" unbalanced="0"/>
    <cacheHierarchy uniqueName="[tbPavimento].[PREVISTO]" caption="PREVISTO" attribute="1" defaultMemberUniqueName="[tbPavimento].[PREVISTO].[All]" allUniqueName="[tbPavimento].[PREVISTO].[All]" dimensionUniqueName="[tbPavimento]" displayFolder="" count="0" memberValueDatatype="5" unbalanced="0"/>
    <cacheHierarchy uniqueName="[tbPavimento].[%]" caption="%" attribute="1" defaultMemberUniqueName="[tbPavimento].[%].[All]" allUniqueName="[tbPavimento].[%].[All]" dimensionUniqueName="[tbPavimento]" displayFolder="" count="0" memberValueDatatype="5" unbalanced="0"/>
    <cacheHierarchy uniqueName="[TbPendencias].[CÓD]" caption="CÓD" attribute="1" defaultMemberUniqueName="[TbPendencias].[CÓD].[All]" allUniqueName="[TbPendencias].[CÓD].[All]" dimensionUniqueName="[TbPendencias]" displayFolder="" count="0" memberValueDatatype="130" unbalanced="0"/>
    <cacheHierarchy uniqueName="[TbPendencias].[DESCRIÇÃO]" caption="DESCRIÇÃO" attribute="1" defaultMemberUniqueName="[TbPendencias].[DESCRIÇÃO].[All]" allUniqueName="[TbPendencias].[DESCRIÇÃO].[All]" dimensionUniqueName="[TbPendencias]" displayFolder="" count="0" memberValueDatatype="130" unbalanced="0"/>
    <cacheHierarchy uniqueName="[TbPendencias].[PENDENTE]" caption="PENDENTE" attribute="1" defaultMemberUniqueName="[TbPendencias].[PENDENTE].[All]" allUniqueName="[TbPendencias].[PENDENTE].[All]" dimensionUniqueName="[TbPendencias]" displayFolder="" count="0" memberValueDatatype="5" unbalanced="0"/>
    <cacheHierarchy uniqueName="[tbPrevisto].[MEDIÇÕES]" caption="MEDIÇÕES" attribute="1" defaultMemberUniqueName="[tbPrevisto].[MEDIÇÕES].[All]" allUniqueName="[tbPrevisto].[MEDIÇÕES].[All]" dimensionUniqueName="[tbPrevisto]" displayFolder="" count="0" memberValueDatatype="20" unbalanced="0"/>
    <cacheHierarchy uniqueName="[tbPrevisto].[DATA]" caption="DATA" attribute="1" time="1" defaultMemberUniqueName="[tbPrevisto].[DATA].[All]" allUniqueName="[tbPrevisto].[DATA].[All]" dimensionUniqueName="[tbPrevisto]" displayFolder="" count="0" memberValueDatatype="7" unbalanced="0"/>
    <cacheHierarchy uniqueName="[tbPrevisto].[PREVISTO]" caption="PREVISTO" attribute="1" defaultMemberUniqueName="[tbPrevisto].[PREVISTO].[All]" allUniqueName="[tbPrevisto].[PREVISTO].[All]" dimensionUniqueName="[tbPrevisto]" displayFolder="" count="0" memberValueDatatype="20" unbalanced="0"/>
    <cacheHierarchy uniqueName="[tbPrevisto].[REALIZADO]" caption="REALIZADO" attribute="1" defaultMemberUniqueName="[tbPrevisto].[REALIZADO].[All]" allUniqueName="[tbPrevisto].[REALIZADO].[All]" dimensionUniqueName="[tbPrevisto]" displayFolder="" count="0" memberValueDatatype="130" unbalanced="0"/>
    <cacheHierarchy uniqueName="[tbPrevisto].[PREVISTO ACUM.]" caption="PREVISTO ACUM." attribute="1" defaultMemberUniqueName="[tbPrevisto].[PREVISTO ACUM.].[All]" allUniqueName="[tbPrevisto].[PREVISTO ACUM.].[All]" dimensionUniqueName="[tbPrevisto]" displayFolder="" count="0" memberValueDatatype="20" unbalanced="0"/>
    <cacheHierarchy uniqueName="[tbPrevisto].[REALIZADO ACUM.]" caption="REALIZADO ACUM." attribute="1" defaultMemberUniqueName="[tbPrevisto].[REALIZADO ACUM.].[All]" allUniqueName="[tbPrevisto].[REALIZADO ACUM.].[All]" dimensionUniqueName="[tbPrevisto]" displayFolder="" count="0" memberValueDatatype="5" unbalanced="0"/>
    <cacheHierarchy uniqueName="[tbPrevisto].[DATA (Ano)]" caption="DATA (Ano)" attribute="1" defaultMemberUniqueName="[tbPrevisto].[DATA (Ano)].[All]" allUniqueName="[tbPrevisto].[DATA (Ano)].[All]" dimensionUniqueName="[tbPrevisto]" displayFolder="" count="0" memberValueDatatype="130" unbalanced="0"/>
    <cacheHierarchy uniqueName="[tbPrevisto].[DATA (Trimestre)]" caption="DATA (Trimestre)" attribute="1" defaultMemberUniqueName="[tbPrevisto].[DATA (Trimestre)].[All]" allUniqueName="[tbPrevisto].[DATA (Trimestre)].[All]" dimensionUniqueName="[tbPrevisto]" displayFolder="" count="0" memberValueDatatype="130" unbalanced="0"/>
    <cacheHierarchy uniqueName="[tbPrevisto].[DATA (Mês)]" caption="DATA (Mês)" attribute="1" defaultMemberUniqueName="[tbPrevisto].[DATA (Mês)].[All]" allUniqueName="[tbPrevisto].[DATA (Mês)].[All]" dimensionUniqueName="[tbPrevisto]" displayFolder="" count="0" memberValueDatatype="130" unbalanced="0"/>
    <cacheHierarchy uniqueName="[tbMapaData].[DATA (Índice de Mês)]" caption="DATA (Índice de Mês)" attribute="1" defaultMemberUniqueName="[tbMapaData].[DATA (Índice de Mês)].[All]" allUniqueName="[tbMapaData].[DATA (Índice de Mês)].[All]" dimensionUniqueName="[tbMapaData]" displayFolder="" count="0" memberValueDatatype="20" unbalanced="0" hidden="1"/>
    <cacheHierarchy uniqueName="[tbPrevisto].[DATA (Índice de Mês)]" caption="DATA (Índice de Mês)" attribute="1" defaultMemberUniqueName="[tbPrevisto].[DATA (Índice de Mês)].[All]" allUniqueName="[tbPrevisto].[DATA (Índice de Mês)].[All]" dimensionUniqueName="[tbPrevisto]" displayFolder="" count="0" memberValueDatatype="20" unbalanced="0" hidden="1"/>
    <cacheHierarchy uniqueName="[Measures].[Total Financeiro]" caption="Total Financeiro" measure="1" displayFolder="" measureGroup="tbContrato" count="0"/>
    <cacheHierarchy uniqueName="[Measures].[Total Retenção]" caption="Total Retenção" measure="1" displayFolder="" measureGroup="tbContrato" count="0"/>
    <cacheHierarchy uniqueName="[Measures].[Valor Líquido]" caption="Valor Líquido" measure="1" displayFolder="" measureGroup="tbContrato" count="0"/>
    <cacheHierarchy uniqueName="[Measures].[Total Executado]" caption="Total Executado" measure="1" displayFolder="" measureGroup="tbMapa" count="0"/>
    <cacheHierarchy uniqueName="[Measures].[Total Físico]" caption="Total Físico" measure="1" displayFolder="" measureGroup="tbFisico" count="0"/>
    <cacheHierarchy uniqueName="[Measures].[% Financeiro]" caption="% Financeiro" measure="1" displayFolder="" measureGroup="tbContrato" count="0" oneField="1">
      <fieldsUsage count="1">
        <fieldUsage x="1"/>
      </fieldsUsage>
    </cacheHierarchy>
    <cacheHierarchy uniqueName="[Measures].[% Físico]" caption="% Físico" measure="1" displayFolder="" measureGroup="tbFisico" count="0"/>
    <cacheHierarchy uniqueName="[Measures].[__XL_Count Tabela57]" caption="__XL_Count Tabela57" measure="1" displayFolder="" measureGroup="tbMapaData" count="0" hidden="1"/>
    <cacheHierarchy uniqueName="[Measures].[__XL_Count Tabela5]" caption="__XL_Count Tabela5" measure="1" displayFolder="" measureGroup="tbMapa" count="0" hidden="1"/>
    <cacheHierarchy uniqueName="[Measures].[__XL_Count Tabela1]" caption="__XL_Count Tabela1" measure="1" displayFolder="" measureGroup="tbContrato" count="0" hidden="1"/>
    <cacheHierarchy uniqueName="[Measures].[__XL_Count Tabela573]" caption="__XL_Count Tabela573" measure="1" displayFolder="" measureGroup="tbFisico" count="0" hidden="1"/>
    <cacheHierarchy uniqueName="[Measures].[__XL_Count Tabela5739]" caption="__XL_Count Tabela5739" measure="1" displayFolder="" measureGroup="TbCategorias" count="0" hidden="1"/>
    <cacheHierarchy uniqueName="[Measures].[__XL_Count Tabela9]" caption="__XL_Count Tabela9" measure="1" displayFolder="" measureGroup="tbPavimento" count="0" hidden="1"/>
    <cacheHierarchy uniqueName="[Measures].[__XL_Count Tabela511]" caption="__XL_Count Tabela511" measure="1" displayFolder="" measureGroup="TbPendencias" count="0" hidden="1"/>
    <cacheHierarchy uniqueName="[Measures].[__XL_Count Tabela51112]" caption="__XL_Count Tabela51112" measure="1" displayFolder="" measureGroup="tbPrevisto" count="0" hidden="1"/>
    <cacheHierarchy uniqueName="[Measures].[__Não há medidas definidas]" caption="__Não há medidas definidas" measure="1" displayFolder="" count="0" hidden="1"/>
    <cacheHierarchy uniqueName="[Measures].[Soma de VALOR]" caption="Soma de VALOR" measure="1" displayFolder="" measureGroup="TbCategori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%]" caption="Soma de %" measure="1" displayFolder="" measureGroup="tbPavimen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ENDENTE]" caption="Soma de PENDENTE" measure="1" displayFolder="" measureGroup="TbPendenci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REVISTO ACUM.]" caption="Soma de PREVIST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REALIZADO ACUM.]" caption="Soma de REALIZAD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EXECUTADO]" caption="Soma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EXECUTADO]" caption="Contagem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9">
    <dimension measure="1" name="Measures" uniqueName="[Measures]" caption="Measures"/>
    <dimension name="TbCategorias" uniqueName="[TbCategorias]" caption="TbCategorias"/>
    <dimension name="tbContrato" uniqueName="[tbContrato]" caption="tbContrato"/>
    <dimension name="tbFisico" uniqueName="[tbFisico]" caption="tbFisico"/>
    <dimension name="tbMapa" uniqueName="[tbMapa]" caption="tbMapa"/>
    <dimension name="tbMapaData" uniqueName="[tbMapaData]" caption="tbMapaData"/>
    <dimension name="tbPavimento" uniqueName="[tbPavimento]" caption="tbPavimento"/>
    <dimension name="TbPendencias" uniqueName="[TbPendencias]" caption="TbPendencias"/>
    <dimension name="tbPrevisto" uniqueName="[tbPrevisto]" caption="tbPrevisto"/>
  </dimensions>
  <measureGroups count="8">
    <measureGroup name="TbCategorias" caption="TbCategorias"/>
    <measureGroup name="tbContrato" caption="tbContrato"/>
    <measureGroup name="tbFisico" caption="tbFisico"/>
    <measureGroup name="tbMapa" caption="tbMapa"/>
    <measureGroup name="tbMapaData" caption="tbMapaData"/>
    <measureGroup name="tbPavimento" caption="tbPavimento"/>
    <measureGroup name="TbPendencias" caption="TbPendencias"/>
    <measureGroup name="tbPrevisto" caption="tbPrevisto"/>
  </measureGroups>
  <maps count="11">
    <map measureGroup="0" dimension="1"/>
    <map measureGroup="1" dimension="2"/>
    <map measureGroup="1" dimension="5"/>
    <map measureGroup="2" dimension="3"/>
    <map measureGroup="2" dimension="5"/>
    <map measureGroup="3" dimension="4"/>
    <map measureGroup="3" dimension="5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" refreshedDate="46168.398557638888" backgroundQuery="1" createdVersion="8" refreshedVersion="8" minRefreshableVersion="3" recordCount="0" supportSubquery="1" supportAdvancedDrill="1" xr:uid="{EC6DDAF4-7218-4D26-AB26-A4DDA13C19A3}">
  <cacheSource type="external" connectionId="1"/>
  <cacheFields count="3">
    <cacheField name="[tbMapaData].[DATA].[DATA]" caption="DATA" numFmtId="0" hierarchy="33" level="1">
      <sharedItems containsSemiMixedTypes="0" containsNonDate="0" containsDate="1" containsString="0" minDate="2025-10-21T00:00:00" maxDate="2026-04-28T00:00:00" count="5">
        <d v="2025-10-21T00:00:00"/>
        <d v="2025-11-24T00:00:00"/>
        <d v="2025-12-23T00:00:00"/>
        <d v="2026-04-22T00:00:00"/>
        <d v="2026-04-27T00:00:00"/>
      </sharedItems>
    </cacheField>
    <cacheField name="[TbCategorias].[CATEGORIA].[CATEGORIA]" caption="CATEGORIA" numFmtId="0" level="1">
      <sharedItems count="3">
        <s v="Executado"/>
        <s v="Retenção"/>
        <s v="Saldo"/>
      </sharedItems>
    </cacheField>
    <cacheField name="[Measures].[Soma de VALOR]" caption="Soma de VALOR" numFmtId="0" hierarchy="72" level="32767"/>
  </cacheFields>
  <cacheHierarchies count="79">
    <cacheHierarchy uniqueName="[TbCategorias].[CATEGORIA]" caption="CATEGORIA" attribute="1" defaultMemberUniqueName="[TbCategorias].[CATEGORIA].[All]" allUniqueName="[TbCategorias].[CATEGORIA].[All]" dimensionUniqueName="[TbCategorias]" displayFolder="" count="2" memberValueDatatype="130" unbalanced="0">
      <fieldsUsage count="2">
        <fieldUsage x="-1"/>
        <fieldUsage x="1"/>
      </fieldsUsage>
    </cacheHierarchy>
    <cacheHierarchy uniqueName="[TbCategorias].[VALOR]" caption="VALOR" attribute="1" defaultMemberUniqueName="[TbCategorias].[VALOR].[All]" allUniqueName="[TbCategorias].[VALOR].[All]" dimensionUniqueName="[TbCategorias]" displayFolder="" count="0" memberValueDatatype="5" unbalanced="0"/>
    <cacheHierarchy uniqueName="[tbContrato].[Nº Medição]" caption="Nº Medição" attribute="1" defaultMemberUniqueName="[tbContrato].[Nº Medição].[All]" allUniqueName="[tbContrato].[Nº Medição].[All]" dimensionUniqueName="[tbContrato]" displayFolder="" count="0" memberValueDatatype="20" unbalanced="0"/>
    <cacheHierarchy uniqueName="[tbContrato].[Período]" caption="Período" attribute="1" defaultMemberUniqueName="[tbContrato].[Período].[All]" allUniqueName="[tbContrato].[Período].[All]" dimensionUniqueName="[tbContrato]" displayFolder="" count="0" memberValueDatatype="130" unbalanced="0"/>
    <cacheHierarchy uniqueName="[tbContrato].[Data]" caption="Data" attribute="1" defaultMemberUniqueName="[tbContrato].[Data].[All]" allUniqueName="[tbContrato].[Data].[All]" dimensionUniqueName="[tbContrato]" displayFolder="" count="0" memberValueDatatype="130" unbalanced="0"/>
    <cacheHierarchy uniqueName="[tbContrato].[Nº NF]" caption="Nº NF" attribute="1" defaultMemberUniqueName="[tbContrato].[Nº NF].[All]" allUniqueName="[tbContrato].[Nº NF].[All]" dimensionUniqueName="[tbContrato]" displayFolder="" count="0" memberValueDatatype="20" unbalanced="0"/>
    <cacheHierarchy uniqueName="[tbContrato].[Valor Medição]" caption="Valor Medição" attribute="1" defaultMemberUniqueName="[tbContrato].[Valor Medição].[All]" allUniqueName="[tbContrato].[Valor Medição].[All]" dimensionUniqueName="[tbContrato]" displayFolder="" count="0" memberValueDatatype="20" unbalanced="0"/>
    <cacheHierarchy uniqueName="[tbContrato].[Dedução Medição]" caption="Dedução Medição" attribute="1" defaultMemberUniqueName="[tbContrato].[Dedução Medição].[All]" allUniqueName="[tbContrato].[Dedução Medição].[All]" dimensionUniqueName="[tbContrato]" displayFolder="" count="0" memberValueDatatype="20" unbalanced="0"/>
    <cacheHierarchy uniqueName="[tbContrato].[Retenção Medição]" caption="Retenção Medição" attribute="1" defaultMemberUniqueName="[tbContrato].[Retenção Medição].[All]" allUniqueName="[tbContrato].[Retenção Medição].[All]" dimensionUniqueName="[tbContrato]" displayFolder="" count="0" memberValueDatatype="5" unbalanced="0"/>
    <cacheHierarchy uniqueName="[tbContrato].[Valor Medição Líquido]" caption="Valor Medição Líquido" attribute="1" defaultMemberUniqueName="[tbContrato].[Valor Medição Líquido].[All]" allUniqueName="[tbContrato].[Valor Medição Líquido].[All]" dimensionUniqueName="[tbContrato]" displayFolder="" count="0" memberValueDatatype="5" unbalanced="0"/>
    <cacheHierarchy uniqueName="[tbContrato].[Saldo Medição]" caption="Saldo Medição" attribute="1" defaultMemberUniqueName="[tbContrato].[Saldo Medição].[All]" allUniqueName="[tbContrato].[Saldo Medição].[All]" dimensionUniqueName="[tbContrato]" displayFolder="" count="0" memberValueDatatype="20" unbalanced="0"/>
    <cacheHierarchy uniqueName="[tbContrato].[Faturamento Direto]" caption="Faturamento Direto" attribute="1" defaultMemberUniqueName="[tbContrato].[Faturamento Direto].[All]" allUniqueName="[tbContrato].[Faturamento Direto].[All]" dimensionUniqueName="[tbContrato]" displayFolder="" count="0" memberValueDatatype="20" unbalanced="0"/>
    <cacheHierarchy uniqueName="[tbContrato].[Saldo Faturamento Direto]" caption="Saldo Faturamento Direto" attribute="1" defaultMemberUniqueName="[tbContrato].[Saldo Faturamento Direto].[All]" allUniqueName="[tbContrato].[Saldo Faturamento Direto].[All]" dimensionUniqueName="[tbContrato]" displayFolder="" count="0" memberValueDatatype="20" unbalanced="0"/>
    <cacheHierarchy uniqueName="[tbContrato].[Total Pago]" caption="Total Pago" attribute="1" defaultMemberUniqueName="[tbContrato].[Total Pago].[All]" allUniqueName="[tbContrato].[Total Pago].[All]" dimensionUniqueName="[tbContrato]" displayFolder="" count="0" memberValueDatatype="20" unbalanced="0"/>
    <cacheHierarchy uniqueName="[tbContrato].[Saldo Contratual]" caption="Saldo Contratual" attribute="1" defaultMemberUniqueName="[tbContrato].[Saldo Contratual].[All]" allUniqueName="[tbContrato].[Saldo Contratual].[All]" dimensionUniqueName="[tbContrato]" displayFolder="" count="0" memberValueDatatype="20" unbalanced="0"/>
    <cacheHierarchy uniqueName="[tbContrato].[Status]" caption="Status" attribute="1" defaultMemberUniqueName="[tbContrato].[Status].[All]" allUniqueName="[tbContrato].[Status].[All]" dimensionUniqueName="[tbContrato]" displayFolder="" count="0" memberValueDatatype="130" unbalanced="0"/>
    <cacheHierarchy uniqueName="[tbFisico].[MEDIÇÃO]" caption="MEDIÇÃO" attribute="1" defaultMemberUniqueName="[tbFisico].[MEDIÇÃO].[All]" allUniqueName="[tbFisico].[MEDIÇÃO].[All]" dimensionUniqueName="[tbFisico]" displayFolder="" count="0" memberValueDatatype="20" unbalanced="0"/>
    <cacheHierarchy uniqueName="[tbFisico].[EXECUTADO]" caption="EXECUTADO" attribute="1" defaultMemberUniqueName="[tbFisico].[EXECUTADO].[All]" allUniqueName="[tbFisico].[EXECUTADO].[All]" dimensionUniqueName="[tbFisico]" displayFolder="" count="0" memberValueDatatype="130" unbalanced="0"/>
    <cacheHierarchy uniqueName="[tbMapa].[CÓD]" caption="CÓD" attribute="1" defaultMemberUniqueName="[tbMapa].[CÓD].[All]" allUniqueName="[tbMapa].[CÓD].[All]" dimensionUniqueName="[tbMapa]" displayFolder="" count="0" memberValueDatatype="130" unbalanced="0"/>
    <cacheHierarchy uniqueName="[tbMapa].[DESCRIÇÃO]" caption="DESCRIÇÃO" attribute="1" defaultMemberUniqueName="[tbMapa].[DESCRIÇÃO].[All]" allUniqueName="[tbMapa].[DESCRIÇÃO].[All]" dimensionUniqueName="[tbMapa]" displayFolder="" count="0" memberValueDatatype="130" unbalanced="0"/>
    <cacheHierarchy uniqueName="[tbMapa].[TORRE]" caption="TORRE" attribute="1" defaultMemberUniqueName="[tbMapa].[TORRE].[All]" allUniqueName="[tbMapa].[TORRE].[All]" dimensionUniqueName="[tbMapa]" displayFolder="" count="0" memberValueDatatype="130" unbalanced="0"/>
    <cacheHierarchy uniqueName="[tbMapa].[MEDIÇÃO]" caption="MEDIÇÃO" attribute="1" defaultMemberUniqueName="[tbMapa].[MEDIÇÃO].[All]" allUniqueName="[tbMapa].[MEDIÇÃO].[All]" dimensionUniqueName="[tbMapa]" displayFolder="" count="0" memberValueDatatype="130" unbalanced="0"/>
    <cacheHierarchy uniqueName="[tbMapa].[TOTAL FN]" caption="TOTAL FN" attribute="1" defaultMemberUniqueName="[tbMapa].[TOTAL FN].[All]" allUniqueName="[tbMapa].[TOTAL FN].[All]" dimensionUniqueName="[tbMapa]" displayFolder="" count="0" memberValueDatatype="5" unbalanced="0"/>
    <cacheHierarchy uniqueName="[tbMapa].[TOTAL F0]" caption="TOTAL F0" attribute="1" defaultMemberUniqueName="[tbMapa].[TOTAL F0].[All]" allUniqueName="[tbMapa].[TOTAL F0].[All]" dimensionUniqueName="[tbMapa]" displayFolder="" count="0" memberValueDatatype="5" unbalanced="0"/>
    <cacheHierarchy uniqueName="[tbMapa].[TOTAL F2]" caption="TOTAL F2" attribute="1" defaultMemberUniqueName="[tbMapa].[TOTAL F2].[All]" allUniqueName="[tbMapa].[TOTAL F2].[All]" dimensionUniqueName="[tbMapa]" displayFolder="" count="0" memberValueDatatype="5" unbalanced="0"/>
    <cacheHierarchy uniqueName="[tbMapa].[TOTAL F3]" caption="TOTAL F3" attribute="1" defaultMemberUniqueName="[tbMapa].[TOTAL F3].[All]" allUniqueName="[tbMapa].[TOTAL F3].[All]" dimensionUniqueName="[tbMapa]" displayFolder="" count="0" memberValueDatatype="5" unbalanced="0"/>
    <cacheHierarchy uniqueName="[tbMapa].[TOTAL F4]" caption="TOTAL F4" attribute="1" defaultMemberUniqueName="[tbMapa].[TOTAL F4].[All]" allUniqueName="[tbMapa].[TOTAL F4].[All]" dimensionUniqueName="[tbMapa]" displayFolder="" count="0" memberValueDatatype="5" unbalanced="0"/>
    <cacheHierarchy uniqueName="[tbMapa].[TOTAL F5]" caption="TOTAL F5" attribute="1" defaultMemberUniqueName="[tbMapa].[TOTAL F5].[All]" allUniqueName="[tbMapa].[TOTAL F5].[All]" dimensionUniqueName="[tbMapa]" displayFolder="" count="0" memberValueDatatype="5" unbalanced="0"/>
    <cacheHierarchy uniqueName="[tbMapa].[TOTAL F6]" caption="TOTAL F6" attribute="1" defaultMemberUniqueName="[tbMapa].[TOTAL F6].[All]" allUniqueName="[tbMapa].[TOTAL F6].[All]" dimensionUniqueName="[tbMapa]" displayFolder="" count="0" memberValueDatatype="5" unbalanced="0"/>
    <cacheHierarchy uniqueName="[tbMapa].[TOTAL F7]" caption="TOTAL F7" attribute="1" defaultMemberUniqueName="[tbMapa].[TOTAL F7].[All]" allUniqueName="[tbMapa].[TOTAL F7].[All]" dimensionUniqueName="[tbMapa]" displayFolder="" count="0" memberValueDatatype="5" unbalanced="0"/>
    <cacheHierarchy uniqueName="[tbMapa].[TOTAL F8]" caption="TOTAL F8" attribute="1" defaultMemberUniqueName="[tbMapa].[TOTAL F8].[All]" allUniqueName="[tbMapa].[TOTAL F8].[All]" dimensionUniqueName="[tbMapa]" displayFolder="" count="0" memberValueDatatype="5" unbalanced="0"/>
    <cacheHierarchy uniqueName="[tbMapa].[TOTAL F9]" caption="TOTAL F9" attribute="1" defaultMemberUniqueName="[tbMapa].[TOTAL F9].[All]" allUniqueName="[tbMapa].[TOTAL F9].[All]" dimensionUniqueName="[tbMapa]" displayFolder="" count="0" memberValueDatatype="5" unbalanced="0"/>
    <cacheHierarchy uniqueName="[tbMapaData].[MEDIÇÃO]" caption="MEDIÇÃO" attribute="1" defaultMemberUniqueName="[tbMapaData].[MEDIÇÃO].[All]" allUniqueName="[tbMapaData].[MEDIÇÃO].[All]" dimensionUniqueName="[tbMapaData]" displayFolder="" count="0" memberValueDatatype="20" unbalanced="0"/>
    <cacheHierarchy uniqueName="[tbMapaData].[DATA]" caption="DATA" attribute="1" time="1" defaultMemberUniqueName="[tbMapaData].[DATA].[All]" allUniqueName="[tbMapaData].[DATA].[All]" dimensionUniqueName="[tbMapaData]" displayFolder="" count="2" memberValueDatatype="7" unbalanced="0">
      <fieldsUsage count="2">
        <fieldUsage x="-1"/>
        <fieldUsage x="0"/>
      </fieldsUsage>
    </cacheHierarchy>
    <cacheHierarchy uniqueName="[tbMapaData].[MÊS/ANO]" caption="MÊS/ANO" attribute="1" defaultMemberUniqueName="[tbMapaData].[MÊS/ANO].[All]" allUniqueName="[tbMapaData].[MÊS/ANO].[All]" dimensionUniqueName="[tbMapaData]" displayFolder="" count="0" memberValueDatatype="130" unbalanced="0"/>
    <cacheHierarchy uniqueName="[tbMapaData].[DATA (Ano)]" caption="DATA (Ano)" attribute="1" defaultMemberUniqueName="[tbMapaData].[DATA (Ano)].[All]" allUniqueName="[tbMapaData].[DATA (Ano)].[All]" dimensionUniqueName="[tbMapaData]" displayFolder="" count="0" memberValueDatatype="130" unbalanced="0"/>
    <cacheHierarchy uniqueName="[tbMapaData].[DATA (Trimestre)]" caption="DATA (Trimestre)" attribute="1" defaultMemberUniqueName="[tbMapaData].[DATA (Trimestre)].[All]" allUniqueName="[tbMapaData].[DATA (Trimestre)].[All]" dimensionUniqueName="[tbMapaData]" displayFolder="" count="0" memberValueDatatype="130" unbalanced="0"/>
    <cacheHierarchy uniqueName="[tbMapaData].[DATA (Mês)]" caption="DATA (Mês)" attribute="1" defaultMemberUniqueName="[tbMapaData].[DATA (Mês)].[All]" allUniqueName="[tbMapaData].[DATA (Mês)].[All]" dimensionUniqueName="[tbMapaData]" displayFolder="" count="0" memberValueDatatype="130" unbalanced="0"/>
    <cacheHierarchy uniqueName="[tbPavimento].[PAVIMENTO]" caption="PAVIMENTO" attribute="1" defaultMemberUniqueName="[tbPavimento].[PAVIMENTO].[All]" allUniqueName="[tbPavimento].[PAVIMENTO].[All]" dimensionUniqueName="[tbPavimento]" displayFolder="" count="0" memberValueDatatype="130" unbalanced="0"/>
    <cacheHierarchy uniqueName="[tbPavimento].[EXECUTADO]" caption="EXECUTADO" attribute="1" defaultMemberUniqueName="[tbPavimento].[EXECUTADO].[All]" allUniqueName="[tbPavimento].[EXECUTADO].[All]" dimensionUniqueName="[tbPavimento]" displayFolder="" count="0" memberValueDatatype="5" unbalanced="0"/>
    <cacheHierarchy uniqueName="[tbPavimento].[PREVISTO]" caption="PREVISTO" attribute="1" defaultMemberUniqueName="[tbPavimento].[PREVISTO].[All]" allUniqueName="[tbPavimento].[PREVISTO].[All]" dimensionUniqueName="[tbPavimento]" displayFolder="" count="0" memberValueDatatype="5" unbalanced="0"/>
    <cacheHierarchy uniqueName="[tbPavimento].[%]" caption="%" attribute="1" defaultMemberUniqueName="[tbPavimento].[%].[All]" allUniqueName="[tbPavimento].[%].[All]" dimensionUniqueName="[tbPavimento]" displayFolder="" count="0" memberValueDatatype="5" unbalanced="0"/>
    <cacheHierarchy uniqueName="[TbPendencias].[CÓD]" caption="CÓD" attribute="1" defaultMemberUniqueName="[TbPendencias].[CÓD].[All]" allUniqueName="[TbPendencias].[CÓD].[All]" dimensionUniqueName="[TbPendencias]" displayFolder="" count="0" memberValueDatatype="130" unbalanced="0"/>
    <cacheHierarchy uniqueName="[TbPendencias].[DESCRIÇÃO]" caption="DESCRIÇÃO" attribute="1" defaultMemberUniqueName="[TbPendencias].[DESCRIÇÃO].[All]" allUniqueName="[TbPendencias].[DESCRIÇÃO].[All]" dimensionUniqueName="[TbPendencias]" displayFolder="" count="0" memberValueDatatype="130" unbalanced="0"/>
    <cacheHierarchy uniqueName="[TbPendencias].[PENDENTE]" caption="PENDENTE" attribute="1" defaultMemberUniqueName="[TbPendencias].[PENDENTE].[All]" allUniqueName="[TbPendencias].[PENDENTE].[All]" dimensionUniqueName="[TbPendencias]" displayFolder="" count="0" memberValueDatatype="5" unbalanced="0"/>
    <cacheHierarchy uniqueName="[tbPrevisto].[MEDIÇÕES]" caption="MEDIÇÕES" attribute="1" defaultMemberUniqueName="[tbPrevisto].[MEDIÇÕES].[All]" allUniqueName="[tbPrevisto].[MEDIÇÕES].[All]" dimensionUniqueName="[tbPrevisto]" displayFolder="" count="0" memberValueDatatype="20" unbalanced="0"/>
    <cacheHierarchy uniqueName="[tbPrevisto].[DATA]" caption="DATA" attribute="1" time="1" defaultMemberUniqueName="[tbPrevisto].[DATA].[All]" allUniqueName="[tbPrevisto].[DATA].[All]" dimensionUniqueName="[tbPrevisto]" displayFolder="" count="0" memberValueDatatype="7" unbalanced="0"/>
    <cacheHierarchy uniqueName="[tbPrevisto].[PREVISTO]" caption="PREVISTO" attribute="1" defaultMemberUniqueName="[tbPrevisto].[PREVISTO].[All]" allUniqueName="[tbPrevisto].[PREVISTO].[All]" dimensionUniqueName="[tbPrevisto]" displayFolder="" count="0" memberValueDatatype="20" unbalanced="0"/>
    <cacheHierarchy uniqueName="[tbPrevisto].[REALIZADO]" caption="REALIZADO" attribute="1" defaultMemberUniqueName="[tbPrevisto].[REALIZADO].[All]" allUniqueName="[tbPrevisto].[REALIZADO].[All]" dimensionUniqueName="[tbPrevisto]" displayFolder="" count="0" memberValueDatatype="130" unbalanced="0"/>
    <cacheHierarchy uniqueName="[tbPrevisto].[PREVISTO ACUM.]" caption="PREVISTO ACUM." attribute="1" defaultMemberUniqueName="[tbPrevisto].[PREVISTO ACUM.].[All]" allUniqueName="[tbPrevisto].[PREVISTO ACUM.].[All]" dimensionUniqueName="[tbPrevisto]" displayFolder="" count="0" memberValueDatatype="20" unbalanced="0"/>
    <cacheHierarchy uniqueName="[tbPrevisto].[REALIZADO ACUM.]" caption="REALIZADO ACUM." attribute="1" defaultMemberUniqueName="[tbPrevisto].[REALIZADO ACUM.].[All]" allUniqueName="[tbPrevisto].[REALIZADO ACUM.].[All]" dimensionUniqueName="[tbPrevisto]" displayFolder="" count="0" memberValueDatatype="5" unbalanced="0"/>
    <cacheHierarchy uniqueName="[tbPrevisto].[DATA (Ano)]" caption="DATA (Ano)" attribute="1" defaultMemberUniqueName="[tbPrevisto].[DATA (Ano)].[All]" allUniqueName="[tbPrevisto].[DATA (Ano)].[All]" dimensionUniqueName="[tbPrevisto]" displayFolder="" count="0" memberValueDatatype="130" unbalanced="0"/>
    <cacheHierarchy uniqueName="[tbPrevisto].[DATA (Trimestre)]" caption="DATA (Trimestre)" attribute="1" defaultMemberUniqueName="[tbPrevisto].[DATA (Trimestre)].[All]" allUniqueName="[tbPrevisto].[DATA (Trimestre)].[All]" dimensionUniqueName="[tbPrevisto]" displayFolder="" count="0" memberValueDatatype="130" unbalanced="0"/>
    <cacheHierarchy uniqueName="[tbPrevisto].[DATA (Mês)]" caption="DATA (Mês)" attribute="1" defaultMemberUniqueName="[tbPrevisto].[DATA (Mês)].[All]" allUniqueName="[tbPrevisto].[DATA (Mês)].[All]" dimensionUniqueName="[tbPrevisto]" displayFolder="" count="0" memberValueDatatype="130" unbalanced="0"/>
    <cacheHierarchy uniqueName="[tbMapaData].[DATA (Índice de Mês)]" caption="DATA (Índice de Mês)" attribute="1" defaultMemberUniqueName="[tbMapaData].[DATA (Índice de Mês)].[All]" allUniqueName="[tbMapaData].[DATA (Índice de Mês)].[All]" dimensionUniqueName="[tbMapaData]" displayFolder="" count="0" memberValueDatatype="20" unbalanced="0" hidden="1"/>
    <cacheHierarchy uniqueName="[tbPrevisto].[DATA (Índice de Mês)]" caption="DATA (Índice de Mês)" attribute="1" defaultMemberUniqueName="[tbPrevisto].[DATA (Índice de Mês)].[All]" allUniqueName="[tbPrevisto].[DATA (Índice de Mês)].[All]" dimensionUniqueName="[tbPrevisto]" displayFolder="" count="0" memberValueDatatype="20" unbalanced="0" hidden="1"/>
    <cacheHierarchy uniqueName="[Measures].[Total Financeiro]" caption="Total Financeiro" measure="1" displayFolder="" measureGroup="tbContrato" count="0"/>
    <cacheHierarchy uniqueName="[Measures].[Total Retenção]" caption="Total Retenção" measure="1" displayFolder="" measureGroup="tbContrato" count="0"/>
    <cacheHierarchy uniqueName="[Measures].[Valor Líquido]" caption="Valor Líquido" measure="1" displayFolder="" measureGroup="tbContrato" count="0"/>
    <cacheHierarchy uniqueName="[Measures].[Total Executado]" caption="Total Executado" measure="1" displayFolder="" measureGroup="tbMapa" count="0"/>
    <cacheHierarchy uniqueName="[Measures].[Total Físico]" caption="Total Físico" measure="1" displayFolder="" measureGroup="tbFisico" count="0"/>
    <cacheHierarchy uniqueName="[Measures].[% Financeiro]" caption="% Financeiro" measure="1" displayFolder="" measureGroup="tbContrato" count="0"/>
    <cacheHierarchy uniqueName="[Measures].[% Físico]" caption="% Físico" measure="1" displayFolder="" measureGroup="tbFisico" count="0"/>
    <cacheHierarchy uniqueName="[Measures].[__XL_Count Tabela57]" caption="__XL_Count Tabela57" measure="1" displayFolder="" measureGroup="tbMapaData" count="0" hidden="1"/>
    <cacheHierarchy uniqueName="[Measures].[__XL_Count Tabela5]" caption="__XL_Count Tabela5" measure="1" displayFolder="" measureGroup="tbMapa" count="0" hidden="1"/>
    <cacheHierarchy uniqueName="[Measures].[__XL_Count Tabela1]" caption="__XL_Count Tabela1" measure="1" displayFolder="" measureGroup="tbContrato" count="0" hidden="1"/>
    <cacheHierarchy uniqueName="[Measures].[__XL_Count Tabela573]" caption="__XL_Count Tabela573" measure="1" displayFolder="" measureGroup="tbFisico" count="0" hidden="1"/>
    <cacheHierarchy uniqueName="[Measures].[__XL_Count Tabela5739]" caption="__XL_Count Tabela5739" measure="1" displayFolder="" measureGroup="TbCategorias" count="0" hidden="1"/>
    <cacheHierarchy uniqueName="[Measures].[__XL_Count Tabela9]" caption="__XL_Count Tabela9" measure="1" displayFolder="" measureGroup="tbPavimento" count="0" hidden="1"/>
    <cacheHierarchy uniqueName="[Measures].[__XL_Count Tabela511]" caption="__XL_Count Tabela511" measure="1" displayFolder="" measureGroup="TbPendencias" count="0" hidden="1"/>
    <cacheHierarchy uniqueName="[Measures].[__XL_Count Tabela51112]" caption="__XL_Count Tabela51112" measure="1" displayFolder="" measureGroup="tbPrevisto" count="0" hidden="1"/>
    <cacheHierarchy uniqueName="[Measures].[__Não há medidas definidas]" caption="__Não há medidas definidas" measure="1" displayFolder="" count="0" hidden="1"/>
    <cacheHierarchy uniqueName="[Measures].[Soma de VALOR]" caption="Soma de VALOR" measure="1" displayFolder="" measureGroup="TbCategori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%]" caption="Soma de %" measure="1" displayFolder="" measureGroup="tbPavimen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ENDENTE]" caption="Soma de PENDENTE" measure="1" displayFolder="" measureGroup="TbPendenci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REVISTO ACUM.]" caption="Soma de PREVIST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REALIZADO ACUM.]" caption="Soma de REALIZAD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EXECUTADO]" caption="Soma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EXECUTADO]" caption="Contagem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9">
    <dimension measure="1" name="Measures" uniqueName="[Measures]" caption="Measures"/>
    <dimension name="TbCategorias" uniqueName="[TbCategorias]" caption="TbCategorias"/>
    <dimension name="tbContrato" uniqueName="[tbContrato]" caption="tbContrato"/>
    <dimension name="tbFisico" uniqueName="[tbFisico]" caption="tbFisico"/>
    <dimension name="tbMapa" uniqueName="[tbMapa]" caption="tbMapa"/>
    <dimension name="tbMapaData" uniqueName="[tbMapaData]" caption="tbMapaData"/>
    <dimension name="tbPavimento" uniqueName="[tbPavimento]" caption="tbPavimento"/>
    <dimension name="TbPendencias" uniqueName="[TbPendencias]" caption="TbPendencias"/>
    <dimension name="tbPrevisto" uniqueName="[tbPrevisto]" caption="tbPrevisto"/>
  </dimensions>
  <measureGroups count="8">
    <measureGroup name="TbCategorias" caption="TbCategorias"/>
    <measureGroup name="tbContrato" caption="tbContrato"/>
    <measureGroup name="tbFisico" caption="tbFisico"/>
    <measureGroup name="tbMapa" caption="tbMapa"/>
    <measureGroup name="tbMapaData" caption="tbMapaData"/>
    <measureGroup name="tbPavimento" caption="tbPavimento"/>
    <measureGroup name="TbPendencias" caption="TbPendencias"/>
    <measureGroup name="tbPrevisto" caption="tbPrevisto"/>
  </measureGroups>
  <maps count="11">
    <map measureGroup="0" dimension="1"/>
    <map measureGroup="1" dimension="2"/>
    <map measureGroup="1" dimension="5"/>
    <map measureGroup="2" dimension="3"/>
    <map measureGroup="2" dimension="5"/>
    <map measureGroup="3" dimension="4"/>
    <map measureGroup="3" dimension="5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" refreshedDate="46167.387050810183" backgroundQuery="1" createdVersion="8" refreshedVersion="8" minRefreshableVersion="3" recordCount="0" supportSubquery="1" supportAdvancedDrill="1" xr:uid="{1F008750-B530-4BA9-8D51-C01E27F0219D}">
  <cacheSource type="external" connectionId="1"/>
  <cacheFields count="3">
    <cacheField name="[Measures].[Total Físico]" caption="Total Físico" numFmtId="0" hierarchy="60" level="32767"/>
    <cacheField name="[tbMapaData].[DATA].[DATA]" caption="DATA" numFmtId="0" hierarchy="33" level="1">
      <sharedItems containsSemiMixedTypes="0" containsNonDate="0" containsDate="1" containsString="0" minDate="2025-10-21T00:00:00" maxDate="2026-04-28T00:00:00" count="5">
        <d v="2025-10-21T00:00:00"/>
        <d v="2025-11-24T00:00:00"/>
        <d v="2025-12-23T00:00:00"/>
        <d v="2026-04-22T00:00:00"/>
        <d v="2026-04-27T00:00:00"/>
      </sharedItems>
    </cacheField>
    <cacheField name="Unsupported0" numFmtId="0" hierarchy="7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80">
    <cacheHierarchy uniqueName="[TbCategorias].[CATEGORIA]" caption="CATEGORIA" attribute="1" defaultMemberUniqueName="[TbCategorias].[CATEGORIA].[All]" allUniqueName="[TbCategorias].[CATEGORIA].[All]" dimensionUniqueName="[TbCategorias]" displayFolder="" count="0" memberValueDatatype="130" unbalanced="0"/>
    <cacheHierarchy uniqueName="[TbCategorias].[VALOR]" caption="VALOR" attribute="1" defaultMemberUniqueName="[TbCategorias].[VALOR].[All]" allUniqueName="[TbCategorias].[VALOR].[All]" dimensionUniqueName="[TbCategorias]" displayFolder="" count="0" memberValueDatatype="5" unbalanced="0"/>
    <cacheHierarchy uniqueName="[tbContrato].[Nº Medição]" caption="Nº Medição" attribute="1" defaultMemberUniqueName="[tbContrato].[Nº Medição].[All]" allUniqueName="[tbContrato].[Nº Medição].[All]" dimensionUniqueName="[tbContrato]" displayFolder="" count="0" memberValueDatatype="20" unbalanced="0"/>
    <cacheHierarchy uniqueName="[tbContrato].[Período]" caption="Período" attribute="1" defaultMemberUniqueName="[tbContrato].[Período].[All]" allUniqueName="[tbContrato].[Período].[All]" dimensionUniqueName="[tbContrato]" displayFolder="" count="0" memberValueDatatype="130" unbalanced="0"/>
    <cacheHierarchy uniqueName="[tbContrato].[Data]" caption="Data" attribute="1" defaultMemberUniqueName="[tbContrato].[Data].[All]" allUniqueName="[tbContrato].[Data].[All]" dimensionUniqueName="[tbContrato]" displayFolder="" count="0" memberValueDatatype="130" unbalanced="0"/>
    <cacheHierarchy uniqueName="[tbContrato].[Nº NF]" caption="Nº NF" attribute="1" defaultMemberUniqueName="[tbContrato].[Nº NF].[All]" allUniqueName="[tbContrato].[Nº NF].[All]" dimensionUniqueName="[tbContrato]" displayFolder="" count="0" memberValueDatatype="20" unbalanced="0"/>
    <cacheHierarchy uniqueName="[tbContrato].[Valor Medição]" caption="Valor Medição" attribute="1" defaultMemberUniqueName="[tbContrato].[Valor Medição].[All]" allUniqueName="[tbContrato].[Valor Medição].[All]" dimensionUniqueName="[tbContrato]" displayFolder="" count="0" memberValueDatatype="20" unbalanced="0"/>
    <cacheHierarchy uniqueName="[tbContrato].[Dedução Medição]" caption="Dedução Medição" attribute="1" defaultMemberUniqueName="[tbContrato].[Dedução Medição].[All]" allUniqueName="[tbContrato].[Dedução Medição].[All]" dimensionUniqueName="[tbContrato]" displayFolder="" count="0" memberValueDatatype="20" unbalanced="0"/>
    <cacheHierarchy uniqueName="[tbContrato].[Retenção Medição]" caption="Retenção Medição" attribute="1" defaultMemberUniqueName="[tbContrato].[Retenção Medição].[All]" allUniqueName="[tbContrato].[Retenção Medição].[All]" dimensionUniqueName="[tbContrato]" displayFolder="" count="0" memberValueDatatype="5" unbalanced="0"/>
    <cacheHierarchy uniqueName="[tbContrato].[Valor Medição Líquido]" caption="Valor Medição Líquido" attribute="1" defaultMemberUniqueName="[tbContrato].[Valor Medição Líquido].[All]" allUniqueName="[tbContrato].[Valor Medição Líquido].[All]" dimensionUniqueName="[tbContrato]" displayFolder="" count="0" memberValueDatatype="5" unbalanced="0"/>
    <cacheHierarchy uniqueName="[tbContrato].[Saldo Medição]" caption="Saldo Medição" attribute="1" defaultMemberUniqueName="[tbContrato].[Saldo Medição].[All]" allUniqueName="[tbContrato].[Saldo Medição].[All]" dimensionUniqueName="[tbContrato]" displayFolder="" count="0" memberValueDatatype="20" unbalanced="0"/>
    <cacheHierarchy uniqueName="[tbContrato].[Faturamento Direto]" caption="Faturamento Direto" attribute="1" defaultMemberUniqueName="[tbContrato].[Faturamento Direto].[All]" allUniqueName="[tbContrato].[Faturamento Direto].[All]" dimensionUniqueName="[tbContrato]" displayFolder="" count="0" memberValueDatatype="20" unbalanced="0"/>
    <cacheHierarchy uniqueName="[tbContrato].[Saldo Faturamento Direto]" caption="Saldo Faturamento Direto" attribute="1" defaultMemberUniqueName="[tbContrato].[Saldo Faturamento Direto].[All]" allUniqueName="[tbContrato].[Saldo Faturamento Direto].[All]" dimensionUniqueName="[tbContrato]" displayFolder="" count="0" memberValueDatatype="20" unbalanced="0"/>
    <cacheHierarchy uniqueName="[tbContrato].[Total Pago]" caption="Total Pago" attribute="1" defaultMemberUniqueName="[tbContrato].[Total Pago].[All]" allUniqueName="[tbContrato].[Total Pago].[All]" dimensionUniqueName="[tbContrato]" displayFolder="" count="0" memberValueDatatype="20" unbalanced="0"/>
    <cacheHierarchy uniqueName="[tbContrato].[Saldo Contratual]" caption="Saldo Contratual" attribute="1" defaultMemberUniqueName="[tbContrato].[Saldo Contratual].[All]" allUniqueName="[tbContrato].[Saldo Contratual].[All]" dimensionUniqueName="[tbContrato]" displayFolder="" count="0" memberValueDatatype="20" unbalanced="0"/>
    <cacheHierarchy uniqueName="[tbContrato].[Status]" caption="Status" attribute="1" defaultMemberUniqueName="[tbContrato].[Status].[All]" allUniqueName="[tbContrato].[Status].[All]" dimensionUniqueName="[tbContrato]" displayFolder="" count="0" memberValueDatatype="130" unbalanced="0"/>
    <cacheHierarchy uniqueName="[tbFisico].[MEDIÇÃO]" caption="MEDIÇÃO" attribute="1" defaultMemberUniqueName="[tbFisico].[MEDIÇÃO].[All]" allUniqueName="[tbFisico].[MEDIÇÃO].[All]" dimensionUniqueName="[tbFisico]" displayFolder="" count="0" memberValueDatatype="20" unbalanced="0"/>
    <cacheHierarchy uniqueName="[tbFisico].[EXECUTADO]" caption="EXECUTADO" attribute="1" defaultMemberUniqueName="[tbFisico].[EXECUTADO].[All]" allUniqueName="[tbFisico].[EXECUTADO].[All]" dimensionUniqueName="[tbFisico]" displayFolder="" count="0" memberValueDatatype="130" unbalanced="0"/>
    <cacheHierarchy uniqueName="[tbMapa].[CÓD]" caption="CÓD" attribute="1" defaultMemberUniqueName="[tbMapa].[CÓD].[All]" allUniqueName="[tbMapa].[CÓD].[All]" dimensionUniqueName="[tbMapa]" displayFolder="" count="0" memberValueDatatype="130" unbalanced="0"/>
    <cacheHierarchy uniqueName="[tbMapa].[DESCRIÇÃO]" caption="DESCRIÇÃO" attribute="1" defaultMemberUniqueName="[tbMapa].[DESCRIÇÃO].[All]" allUniqueName="[tbMapa].[DESCRIÇÃO].[All]" dimensionUniqueName="[tbMapa]" displayFolder="" count="0" memberValueDatatype="130" unbalanced="0"/>
    <cacheHierarchy uniqueName="[tbMapa].[TORRE]" caption="TORRE" attribute="1" defaultMemberUniqueName="[tbMapa].[TORRE].[All]" allUniqueName="[tbMapa].[TORRE].[All]" dimensionUniqueName="[tbMapa]" displayFolder="" count="0" memberValueDatatype="130" unbalanced="0"/>
    <cacheHierarchy uniqueName="[tbMapa].[MEDIÇÃO]" caption="MEDIÇÃO" attribute="1" defaultMemberUniqueName="[tbMapa].[MEDIÇÃO].[All]" allUniqueName="[tbMapa].[MEDIÇÃO].[All]" dimensionUniqueName="[tbMapa]" displayFolder="" count="0" memberValueDatatype="130" unbalanced="0"/>
    <cacheHierarchy uniqueName="[tbMapa].[TOTAL FN]" caption="TOTAL FN" attribute="1" defaultMemberUniqueName="[tbMapa].[TOTAL FN].[All]" allUniqueName="[tbMapa].[TOTAL FN].[All]" dimensionUniqueName="[tbMapa]" displayFolder="" count="0" memberValueDatatype="5" unbalanced="0"/>
    <cacheHierarchy uniqueName="[tbMapa].[TOTAL F0]" caption="TOTAL F0" attribute="1" defaultMemberUniqueName="[tbMapa].[TOTAL F0].[All]" allUniqueName="[tbMapa].[TOTAL F0].[All]" dimensionUniqueName="[tbMapa]" displayFolder="" count="0" memberValueDatatype="5" unbalanced="0"/>
    <cacheHierarchy uniqueName="[tbMapa].[TOTAL F2]" caption="TOTAL F2" attribute="1" defaultMemberUniqueName="[tbMapa].[TOTAL F2].[All]" allUniqueName="[tbMapa].[TOTAL F2].[All]" dimensionUniqueName="[tbMapa]" displayFolder="" count="0" memberValueDatatype="5" unbalanced="0"/>
    <cacheHierarchy uniqueName="[tbMapa].[TOTAL F3]" caption="TOTAL F3" attribute="1" defaultMemberUniqueName="[tbMapa].[TOTAL F3].[All]" allUniqueName="[tbMapa].[TOTAL F3].[All]" dimensionUniqueName="[tbMapa]" displayFolder="" count="0" memberValueDatatype="5" unbalanced="0"/>
    <cacheHierarchy uniqueName="[tbMapa].[TOTAL F4]" caption="TOTAL F4" attribute="1" defaultMemberUniqueName="[tbMapa].[TOTAL F4].[All]" allUniqueName="[tbMapa].[TOTAL F4].[All]" dimensionUniqueName="[tbMapa]" displayFolder="" count="0" memberValueDatatype="5" unbalanced="0"/>
    <cacheHierarchy uniqueName="[tbMapa].[TOTAL F5]" caption="TOTAL F5" attribute="1" defaultMemberUniqueName="[tbMapa].[TOTAL F5].[All]" allUniqueName="[tbMapa].[TOTAL F5].[All]" dimensionUniqueName="[tbMapa]" displayFolder="" count="0" memberValueDatatype="5" unbalanced="0"/>
    <cacheHierarchy uniqueName="[tbMapa].[TOTAL F6]" caption="TOTAL F6" attribute="1" defaultMemberUniqueName="[tbMapa].[TOTAL F6].[All]" allUniqueName="[tbMapa].[TOTAL F6].[All]" dimensionUniqueName="[tbMapa]" displayFolder="" count="0" memberValueDatatype="5" unbalanced="0"/>
    <cacheHierarchy uniqueName="[tbMapa].[TOTAL F7]" caption="TOTAL F7" attribute="1" defaultMemberUniqueName="[tbMapa].[TOTAL F7].[All]" allUniqueName="[tbMapa].[TOTAL F7].[All]" dimensionUniqueName="[tbMapa]" displayFolder="" count="0" memberValueDatatype="5" unbalanced="0"/>
    <cacheHierarchy uniqueName="[tbMapa].[TOTAL F8]" caption="TOTAL F8" attribute="1" defaultMemberUniqueName="[tbMapa].[TOTAL F8].[All]" allUniqueName="[tbMapa].[TOTAL F8].[All]" dimensionUniqueName="[tbMapa]" displayFolder="" count="0" memberValueDatatype="5" unbalanced="0"/>
    <cacheHierarchy uniqueName="[tbMapa].[TOTAL F9]" caption="TOTAL F9" attribute="1" defaultMemberUniqueName="[tbMapa].[TOTAL F9].[All]" allUniqueName="[tbMapa].[TOTAL F9].[All]" dimensionUniqueName="[tbMapa]" displayFolder="" count="0" memberValueDatatype="5" unbalanced="0"/>
    <cacheHierarchy uniqueName="[tbMapaData].[MEDIÇÃO]" caption="MEDIÇÃO" attribute="1" defaultMemberUniqueName="[tbMapaData].[MEDIÇÃO].[All]" allUniqueName="[tbMapaData].[MEDIÇÃO].[All]" dimensionUniqueName="[tbMapaData]" displayFolder="" count="0" memberValueDatatype="20" unbalanced="0"/>
    <cacheHierarchy uniqueName="[tbMapaData].[DATA]" caption="DATA" attribute="1" time="1" defaultMemberUniqueName="[tbMapaData].[DATA].[All]" allUniqueName="[tbMapaData].[DATA].[All]" dimensionUniqueName="[tbMapaData]" displayFolder="" count="2" memberValueDatatype="7" unbalanced="0">
      <fieldsUsage count="2">
        <fieldUsage x="-1"/>
        <fieldUsage x="1"/>
      </fieldsUsage>
    </cacheHierarchy>
    <cacheHierarchy uniqueName="[tbMapaData].[MÊS/ANO]" caption="MÊS/ANO" attribute="1" defaultMemberUniqueName="[tbMapaData].[MÊS/ANO].[All]" allUniqueName="[tbMapaData].[MÊS/ANO].[All]" dimensionUniqueName="[tbMapaData]" displayFolder="" count="0" memberValueDatatype="130" unbalanced="0"/>
    <cacheHierarchy uniqueName="[tbMapaData].[DATA (Ano)]" caption="DATA (Ano)" attribute="1" defaultMemberUniqueName="[tbMapaData].[DATA (Ano)].[All]" allUniqueName="[tbMapaData].[DATA (Ano)].[All]" dimensionUniqueName="[tbMapaData]" displayFolder="" count="0" memberValueDatatype="130" unbalanced="0"/>
    <cacheHierarchy uniqueName="[tbMapaData].[DATA (Trimestre)]" caption="DATA (Trimestre)" attribute="1" defaultMemberUniqueName="[tbMapaData].[DATA (Trimestre)].[All]" allUniqueName="[tbMapaData].[DATA (Trimestre)].[All]" dimensionUniqueName="[tbMapaData]" displayFolder="" count="0" memberValueDatatype="130" unbalanced="0"/>
    <cacheHierarchy uniqueName="[tbMapaData].[DATA (Mês)]" caption="DATA (Mês)" attribute="1" defaultMemberUniqueName="[tbMapaData].[DATA (Mês)].[All]" allUniqueName="[tbMapaData].[DATA (Mês)].[All]" dimensionUniqueName="[tbMapaData]" displayFolder="" count="0" memberValueDatatype="130" unbalanced="0"/>
    <cacheHierarchy uniqueName="[tbPavimento].[PAVIMENTO]" caption="PAVIMENTO" attribute="1" defaultMemberUniqueName="[tbPavimento].[PAVIMENTO].[All]" allUniqueName="[tbPavimento].[PAVIMENTO].[All]" dimensionUniqueName="[tbPavimento]" displayFolder="" count="0" memberValueDatatype="130" unbalanced="0"/>
    <cacheHierarchy uniqueName="[tbPavimento].[EXECUTADO]" caption="EXECUTADO" attribute="1" defaultMemberUniqueName="[tbPavimento].[EXECUTADO].[All]" allUniqueName="[tbPavimento].[EXECUTADO].[All]" dimensionUniqueName="[tbPavimento]" displayFolder="" count="0" memberValueDatatype="5" unbalanced="0"/>
    <cacheHierarchy uniqueName="[tbPavimento].[PREVISTO]" caption="PREVISTO" attribute="1" defaultMemberUniqueName="[tbPavimento].[PREVISTO].[All]" allUniqueName="[tbPavimento].[PREVISTO].[All]" dimensionUniqueName="[tbPavimento]" displayFolder="" count="0" memberValueDatatype="5" unbalanced="0"/>
    <cacheHierarchy uniqueName="[tbPavimento].[%]" caption="%" attribute="1" defaultMemberUniqueName="[tbPavimento].[%].[All]" allUniqueName="[tbPavimento].[%].[All]" dimensionUniqueName="[tbPavimento]" displayFolder="" count="0" memberValueDatatype="5" unbalanced="0"/>
    <cacheHierarchy uniqueName="[TbPendencias].[CÓD]" caption="CÓD" attribute="1" defaultMemberUniqueName="[TbPendencias].[CÓD].[All]" allUniqueName="[TbPendencias].[CÓD].[All]" dimensionUniqueName="[TbPendencias]" displayFolder="" count="0" memberValueDatatype="130" unbalanced="0"/>
    <cacheHierarchy uniqueName="[TbPendencias].[DESCRIÇÃO]" caption="DESCRIÇÃO" attribute="1" defaultMemberUniqueName="[TbPendencias].[DESCRIÇÃO].[All]" allUniqueName="[TbPendencias].[DESCRIÇÃO].[All]" dimensionUniqueName="[TbPendencias]" displayFolder="" count="0" memberValueDatatype="130" unbalanced="0"/>
    <cacheHierarchy uniqueName="[TbPendencias].[PENDENTE]" caption="PENDENTE" attribute="1" defaultMemberUniqueName="[TbPendencias].[PENDENTE].[All]" allUniqueName="[TbPendencias].[PENDENTE].[All]" dimensionUniqueName="[TbPendencias]" displayFolder="" count="0" memberValueDatatype="5" unbalanced="0"/>
    <cacheHierarchy uniqueName="[tbPrevisto].[MEDIÇÕES]" caption="MEDIÇÕES" attribute="1" defaultMemberUniqueName="[tbPrevisto].[MEDIÇÕES].[All]" allUniqueName="[tbPrevisto].[MEDIÇÕES].[All]" dimensionUniqueName="[tbPrevisto]" displayFolder="" count="0" memberValueDatatype="20" unbalanced="0"/>
    <cacheHierarchy uniqueName="[tbPrevisto].[DATA]" caption="DATA" attribute="1" time="1" defaultMemberUniqueName="[tbPrevisto].[DATA].[All]" allUniqueName="[tbPrevisto].[DATA].[All]" dimensionUniqueName="[tbPrevisto]" displayFolder="" count="0" memberValueDatatype="7" unbalanced="0"/>
    <cacheHierarchy uniqueName="[tbPrevisto].[PREVISTO]" caption="PREVISTO" attribute="1" defaultMemberUniqueName="[tbPrevisto].[PREVISTO].[All]" allUniqueName="[tbPrevisto].[PREVISTO].[All]" dimensionUniqueName="[tbPrevisto]" displayFolder="" count="0" memberValueDatatype="20" unbalanced="0"/>
    <cacheHierarchy uniqueName="[tbPrevisto].[REALIZADO]" caption="REALIZADO" attribute="1" defaultMemberUniqueName="[tbPrevisto].[REALIZADO].[All]" allUniqueName="[tbPrevisto].[REALIZADO].[All]" dimensionUniqueName="[tbPrevisto]" displayFolder="" count="0" memberValueDatatype="130" unbalanced="0"/>
    <cacheHierarchy uniqueName="[tbPrevisto].[PREVISTO ACUM.]" caption="PREVISTO ACUM." attribute="1" defaultMemberUniqueName="[tbPrevisto].[PREVISTO ACUM.].[All]" allUniqueName="[tbPrevisto].[PREVISTO ACUM.].[All]" dimensionUniqueName="[tbPrevisto]" displayFolder="" count="0" memberValueDatatype="20" unbalanced="0"/>
    <cacheHierarchy uniqueName="[tbPrevisto].[REALIZADO ACUM.]" caption="REALIZADO ACUM." attribute="1" defaultMemberUniqueName="[tbPrevisto].[REALIZADO ACUM.].[All]" allUniqueName="[tbPrevisto].[REALIZADO ACUM.].[All]" dimensionUniqueName="[tbPrevisto]" displayFolder="" count="0" memberValueDatatype="5" unbalanced="0"/>
    <cacheHierarchy uniqueName="[tbPrevisto].[DATA (Ano)]" caption="DATA (Ano)" attribute="1" defaultMemberUniqueName="[tbPrevisto].[DATA (Ano)].[All]" allUniqueName="[tbPrevisto].[DATA (Ano)].[All]" dimensionUniqueName="[tbPrevisto]" displayFolder="" count="0" memberValueDatatype="130" unbalanced="0"/>
    <cacheHierarchy uniqueName="[tbPrevisto].[DATA (Trimestre)]" caption="DATA (Trimestre)" attribute="1" defaultMemberUniqueName="[tbPrevisto].[DATA (Trimestre)].[All]" allUniqueName="[tbPrevisto].[DATA (Trimestre)].[All]" dimensionUniqueName="[tbPrevisto]" displayFolder="" count="0" memberValueDatatype="130" unbalanced="0"/>
    <cacheHierarchy uniqueName="[tbPrevisto].[DATA (Mês)]" caption="DATA (Mês)" attribute="1" defaultMemberUniqueName="[tbPrevisto].[DATA (Mês)].[All]" allUniqueName="[tbPrevisto].[DATA (Mês)].[All]" dimensionUniqueName="[tbPrevisto]" displayFolder="" count="0" memberValueDatatype="130" unbalanced="0"/>
    <cacheHierarchy uniqueName="[tbMapaData].[DATA (Índice de Mês)]" caption="DATA (Índice de Mês)" attribute="1" defaultMemberUniqueName="[tbMapaData].[DATA (Índice de Mês)].[All]" allUniqueName="[tbMapaData].[DATA (Índice de Mês)].[All]" dimensionUniqueName="[tbMapaData]" displayFolder="" count="0" memberValueDatatype="20" unbalanced="0" hidden="1"/>
    <cacheHierarchy uniqueName="[tbPrevisto].[DATA (Índice de Mês)]" caption="DATA (Índice de Mês)" attribute="1" defaultMemberUniqueName="[tbPrevisto].[DATA (Índice de Mês)].[All]" allUniqueName="[tbPrevisto].[DATA (Índice de Mês)].[All]" dimensionUniqueName="[tbPrevisto]" displayFolder="" count="0" memberValueDatatype="20" unbalanced="0" hidden="1"/>
    <cacheHierarchy uniqueName="[Measures].[Total Financeiro]" caption="Total Financeiro" measure="1" displayFolder="" measureGroup="tbContrato" count="0"/>
    <cacheHierarchy uniqueName="[Measures].[Total Retenção]" caption="Total Retenção" measure="1" displayFolder="" measureGroup="tbContrato" count="0"/>
    <cacheHierarchy uniqueName="[Measures].[Valor Líquido]" caption="Valor Líquido" measure="1" displayFolder="" measureGroup="tbContrato" count="0"/>
    <cacheHierarchy uniqueName="[Measures].[Total Executado]" caption="Total Executado" measure="1" displayFolder="" measureGroup="tbMapa" count="0"/>
    <cacheHierarchy uniqueName="[Measures].[Total Físico]" caption="Total Físico" measure="1" displayFolder="" measureGroup="tbFisico" count="0" oneField="1">
      <fieldsUsage count="1">
        <fieldUsage x="0"/>
      </fieldsUsage>
    </cacheHierarchy>
    <cacheHierarchy uniqueName="[Measures].[% Financeiro]" caption="% Financeiro" measure="1" displayFolder="" measureGroup="tbContrato" count="0"/>
    <cacheHierarchy uniqueName="[Measures].[% Físico]" caption="% Físico" measure="1" displayFolder="" measureGroup="tbFisico" count="0"/>
    <cacheHierarchy uniqueName="[Measures].[__XL_Count Tabela57]" caption="__XL_Count Tabela57" measure="1" displayFolder="" measureGroup="tbMapaData" count="0" hidden="1"/>
    <cacheHierarchy uniqueName="[Measures].[__XL_Count Tabela5]" caption="__XL_Count Tabela5" measure="1" displayFolder="" measureGroup="tbMapa" count="0" hidden="1"/>
    <cacheHierarchy uniqueName="[Measures].[__XL_Count Tabela1]" caption="__XL_Count Tabela1" measure="1" displayFolder="" measureGroup="tbContrato" count="0" hidden="1"/>
    <cacheHierarchy uniqueName="[Measures].[__XL_Count Tabela573]" caption="__XL_Count Tabela573" measure="1" displayFolder="" measureGroup="tbFisico" count="0" hidden="1"/>
    <cacheHierarchy uniqueName="[Measures].[__XL_Count Tabela5739]" caption="__XL_Count Tabela5739" measure="1" displayFolder="" measureGroup="TbCategorias" count="0" hidden="1"/>
    <cacheHierarchy uniqueName="[Measures].[__XL_Count Tabela9]" caption="__XL_Count Tabela9" measure="1" displayFolder="" measureGroup="tbPavimento" count="0" hidden="1"/>
    <cacheHierarchy uniqueName="[Measures].[__XL_Count Tabela511]" caption="__XL_Count Tabela511" measure="1" displayFolder="" measureGroup="TbPendencias" count="0" hidden="1"/>
    <cacheHierarchy uniqueName="[Measures].[__XL_Count Tabela51112]" caption="__XL_Count Tabela51112" measure="1" displayFolder="" measureGroup="tbPrevisto" count="0" hidden="1"/>
    <cacheHierarchy uniqueName="[Measures].[__Não há medidas definidas]" caption="__Não há medidas definidas" measure="1" displayFolder="" count="0" hidden="1"/>
    <cacheHierarchy uniqueName="[Measures].[Soma de VALOR]" caption="Soma de VALOR" measure="1" displayFolder="" measureGroup="TbCategori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%]" caption="Soma de %" measure="1" displayFolder="" measureGroup="tbPavimen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ENDENTE]" caption="Soma de PENDENTE" measure="1" displayFolder="" measureGroup="TbPendenci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REVISTO ACUM.]" caption="Soma de PREVIST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REALIZADO ACUM.]" caption="Soma de REALIZADO ACUM." measure="1" displayFolder="" measureGroup="tbPrevist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EXECUTADO]" caption="Soma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EXECUTADO]" caption="Contagem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Unsupported0" caption="CATEGORIA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9">
    <dimension measure="1" name="Measures" uniqueName="[Measures]" caption="Measures"/>
    <dimension name="TbCategorias" uniqueName="[TbCategorias]" caption="TbCategorias"/>
    <dimension name="tbContrato" uniqueName="[tbContrato]" caption="tbContrato"/>
    <dimension name="tbFisico" uniqueName="[tbFisico]" caption="tbFisico"/>
    <dimension name="tbMapa" uniqueName="[tbMapa]" caption="tbMapa"/>
    <dimension name="tbMapaData" uniqueName="[tbMapaData]" caption="tbMapaData"/>
    <dimension name="tbPavimento" uniqueName="[tbPavimento]" caption="tbPavimento"/>
    <dimension name="TbPendencias" uniqueName="[TbPendencias]" caption="TbPendencias"/>
    <dimension name="tbPrevisto" uniqueName="[tbPrevisto]" caption="tbPrevisto"/>
  </dimensions>
  <measureGroups count="8">
    <measureGroup name="TbCategorias" caption="TbCategorias"/>
    <measureGroup name="tbContrato" caption="tbContrato"/>
    <measureGroup name="tbFisico" caption="tbFisico"/>
    <measureGroup name="tbMapa" caption="tbMapa"/>
    <measureGroup name="tbMapaData" caption="tbMapaData"/>
    <measureGroup name="tbPavimento" caption="tbPavimento"/>
    <measureGroup name="TbPendencias" caption="TbPendencias"/>
    <measureGroup name="tbPrevisto" caption="tbPrevisto"/>
  </measureGroups>
  <maps count="11">
    <map measureGroup="0" dimension="1"/>
    <map measureGroup="1" dimension="2"/>
    <map measureGroup="1" dimension="5"/>
    <map measureGroup="2" dimension="3"/>
    <map measureGroup="2" dimension="5"/>
    <map measureGroup="3" dimension="4"/>
    <map measureGroup="3" dimension="5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A" refreshedDate="46168.403073726855" backgroundQuery="1" createdVersion="8" refreshedVersion="8" minRefreshableVersion="3" recordCount="0" supportSubquery="1" supportAdvancedDrill="1" xr:uid="{E3A9C6DA-211A-4C80-B6D1-EBE7D607BBE1}">
  <cacheSource type="external" connectionId="1"/>
  <cacheFields count="6">
    <cacheField name="[tbMapaData].[DATA].[DATA]" caption="DATA" numFmtId="0" hierarchy="33" level="1">
      <sharedItems containsSemiMixedTypes="0" containsNonDate="0" containsDate="1" containsString="0" minDate="2025-10-21T00:00:00" maxDate="2026-04-28T00:00:00" count="5">
        <d v="2025-10-21T00:00:00"/>
        <d v="2025-11-24T00:00:00"/>
        <d v="2025-12-23T00:00:00"/>
        <d v="2026-04-22T00:00:00"/>
        <d v="2026-04-27T00:00:00"/>
      </sharedItems>
    </cacheField>
    <cacheField name="[Measures].[Soma de PREVISTO ACUM.]" caption="Soma de PREVISTO ACUM." numFmtId="0" hierarchy="75" level="32767"/>
    <cacheField name="[Measures].[Soma de REALIZADO ACUM.]" caption="Soma de REALIZADO ACUM." numFmtId="0" hierarchy="76" level="32767"/>
    <cacheField name="[tbPrevisto].[DATA].[DATA]" caption="DATA" numFmtId="0" hierarchy="46" level="1">
      <sharedItems containsSemiMixedTypes="0" containsNonDate="0" containsDate="1" containsString="0" minDate="2025-10-21T00:00:00" maxDate="2026-04-28T00:00:00" count="5">
        <d v="2025-10-21T00:00:00"/>
        <d v="2025-11-24T00:00:00"/>
        <d v="2025-12-23T00:00:00"/>
        <d v="2026-04-22T00:00:00"/>
        <d v="2026-04-27T00:00:00"/>
      </sharedItems>
    </cacheField>
    <cacheField name="[tbPrevisto].[DATA (Ano)].[DATA (Ano)]" caption="DATA (Ano)" numFmtId="0" hierarchy="51" level="1">
      <sharedItems count="2">
        <s v="2025"/>
        <s v="2026"/>
      </sharedItems>
    </cacheField>
    <cacheField name="[tbPrevisto].[MEDIÇÕES].[MEDIÇÕES]" caption="MEDIÇÕES" numFmtId="0" hierarchy="45" level="1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  <extLst>
        <ext xmlns:x15="http://schemas.microsoft.com/office/spreadsheetml/2010/11/main" uri="{4F2E5C28-24EA-4eb8-9CBF-B6C8F9C3D259}">
          <x15:cachedUniqueNames>
            <x15:cachedUniqueName index="0" name="[tbPrevisto].[MEDIÇÕES].&amp;[1]"/>
            <x15:cachedUniqueName index="1" name="[tbPrevisto].[MEDIÇÕES].&amp;[2]"/>
            <x15:cachedUniqueName index="2" name="[tbPrevisto].[MEDIÇÕES].&amp;[3]"/>
            <x15:cachedUniqueName index="3" name="[tbPrevisto].[MEDIÇÕES].&amp;[4]"/>
            <x15:cachedUniqueName index="4" name="[tbPrevisto].[MEDIÇÕES].&amp;[5]"/>
            <x15:cachedUniqueName index="5" name="[tbPrevisto].[MEDIÇÕES].&amp;[6]"/>
            <x15:cachedUniqueName index="6" name="[tbPrevisto].[MEDIÇÕES].&amp;[7]"/>
            <x15:cachedUniqueName index="7" name="[tbPrevisto].[MEDIÇÕES].&amp;[8]"/>
            <x15:cachedUniqueName index="8" name="[tbPrevisto].[MEDIÇÕES].&amp;[9]"/>
            <x15:cachedUniqueName index="9" name="[tbPrevisto].[MEDIÇÕES].&amp;[10]"/>
          </x15:cachedUniqueNames>
        </ext>
      </extLst>
    </cacheField>
  </cacheFields>
  <cacheHierarchies count="79">
    <cacheHierarchy uniqueName="[TbCategorias].[CATEGORIA]" caption="CATEGORIA" attribute="1" defaultMemberUniqueName="[TbCategorias].[CATEGORIA].[All]" allUniqueName="[TbCategorias].[CATEGORIA].[All]" dimensionUniqueName="[TbCategorias]" displayFolder="" count="0" memberValueDatatype="130" unbalanced="0"/>
    <cacheHierarchy uniqueName="[TbCategorias].[VALOR]" caption="VALOR" attribute="1" defaultMemberUniqueName="[TbCategorias].[VALOR].[All]" allUniqueName="[TbCategorias].[VALOR].[All]" dimensionUniqueName="[TbCategorias]" displayFolder="" count="0" memberValueDatatype="5" unbalanced="0"/>
    <cacheHierarchy uniqueName="[tbContrato].[Nº Medição]" caption="Nº Medição" attribute="1" defaultMemberUniqueName="[tbContrato].[Nº Medição].[All]" allUniqueName="[tbContrato].[Nº Medição].[All]" dimensionUniqueName="[tbContrato]" displayFolder="" count="0" memberValueDatatype="20" unbalanced="0"/>
    <cacheHierarchy uniqueName="[tbContrato].[Período]" caption="Período" attribute="1" defaultMemberUniqueName="[tbContrato].[Período].[All]" allUniqueName="[tbContrato].[Período].[All]" dimensionUniqueName="[tbContrato]" displayFolder="" count="0" memberValueDatatype="130" unbalanced="0"/>
    <cacheHierarchy uniqueName="[tbContrato].[Data]" caption="Data" attribute="1" defaultMemberUniqueName="[tbContrato].[Data].[All]" allUniqueName="[tbContrato].[Data].[All]" dimensionUniqueName="[tbContrato]" displayFolder="" count="0" memberValueDatatype="130" unbalanced="0"/>
    <cacheHierarchy uniqueName="[tbContrato].[Nº NF]" caption="Nº NF" attribute="1" defaultMemberUniqueName="[tbContrato].[Nº NF].[All]" allUniqueName="[tbContrato].[Nº NF].[All]" dimensionUniqueName="[tbContrato]" displayFolder="" count="0" memberValueDatatype="20" unbalanced="0"/>
    <cacheHierarchy uniqueName="[tbContrato].[Valor Medição]" caption="Valor Medição" attribute="1" defaultMemberUniqueName="[tbContrato].[Valor Medição].[All]" allUniqueName="[tbContrato].[Valor Medição].[All]" dimensionUniqueName="[tbContrato]" displayFolder="" count="0" memberValueDatatype="20" unbalanced="0"/>
    <cacheHierarchy uniqueName="[tbContrato].[Dedução Medição]" caption="Dedução Medição" attribute="1" defaultMemberUniqueName="[tbContrato].[Dedução Medição].[All]" allUniqueName="[tbContrato].[Dedução Medição].[All]" dimensionUniqueName="[tbContrato]" displayFolder="" count="0" memberValueDatatype="20" unbalanced="0"/>
    <cacheHierarchy uniqueName="[tbContrato].[Retenção Medição]" caption="Retenção Medição" attribute="1" defaultMemberUniqueName="[tbContrato].[Retenção Medição].[All]" allUniqueName="[tbContrato].[Retenção Medição].[All]" dimensionUniqueName="[tbContrato]" displayFolder="" count="0" memberValueDatatype="5" unbalanced="0"/>
    <cacheHierarchy uniqueName="[tbContrato].[Valor Medição Líquido]" caption="Valor Medição Líquido" attribute="1" defaultMemberUniqueName="[tbContrato].[Valor Medição Líquido].[All]" allUniqueName="[tbContrato].[Valor Medição Líquido].[All]" dimensionUniqueName="[tbContrato]" displayFolder="" count="0" memberValueDatatype="5" unbalanced="0"/>
    <cacheHierarchy uniqueName="[tbContrato].[Saldo Medição]" caption="Saldo Medição" attribute="1" defaultMemberUniqueName="[tbContrato].[Saldo Medição].[All]" allUniqueName="[tbContrato].[Saldo Medição].[All]" dimensionUniqueName="[tbContrato]" displayFolder="" count="0" memberValueDatatype="20" unbalanced="0"/>
    <cacheHierarchy uniqueName="[tbContrato].[Faturamento Direto]" caption="Faturamento Direto" attribute="1" defaultMemberUniqueName="[tbContrato].[Faturamento Direto].[All]" allUniqueName="[tbContrato].[Faturamento Direto].[All]" dimensionUniqueName="[tbContrato]" displayFolder="" count="0" memberValueDatatype="20" unbalanced="0"/>
    <cacheHierarchy uniqueName="[tbContrato].[Saldo Faturamento Direto]" caption="Saldo Faturamento Direto" attribute="1" defaultMemberUniqueName="[tbContrato].[Saldo Faturamento Direto].[All]" allUniqueName="[tbContrato].[Saldo Faturamento Direto].[All]" dimensionUniqueName="[tbContrato]" displayFolder="" count="0" memberValueDatatype="20" unbalanced="0"/>
    <cacheHierarchy uniqueName="[tbContrato].[Total Pago]" caption="Total Pago" attribute="1" defaultMemberUniqueName="[tbContrato].[Total Pago].[All]" allUniqueName="[tbContrato].[Total Pago].[All]" dimensionUniqueName="[tbContrato]" displayFolder="" count="0" memberValueDatatype="20" unbalanced="0"/>
    <cacheHierarchy uniqueName="[tbContrato].[Saldo Contratual]" caption="Saldo Contratual" attribute="1" defaultMemberUniqueName="[tbContrato].[Saldo Contratual].[All]" allUniqueName="[tbContrato].[Saldo Contratual].[All]" dimensionUniqueName="[tbContrato]" displayFolder="" count="0" memberValueDatatype="20" unbalanced="0"/>
    <cacheHierarchy uniqueName="[tbContrato].[Status]" caption="Status" attribute="1" defaultMemberUniqueName="[tbContrato].[Status].[All]" allUniqueName="[tbContrato].[Status].[All]" dimensionUniqueName="[tbContrato]" displayFolder="" count="0" memberValueDatatype="130" unbalanced="0"/>
    <cacheHierarchy uniqueName="[tbFisico].[MEDIÇÃO]" caption="MEDIÇÃO" attribute="1" defaultMemberUniqueName="[tbFisico].[MEDIÇÃO].[All]" allUniqueName="[tbFisico].[MEDIÇÃO].[All]" dimensionUniqueName="[tbFisico]" displayFolder="" count="0" memberValueDatatype="20" unbalanced="0"/>
    <cacheHierarchy uniqueName="[tbFisico].[EXECUTADO]" caption="EXECUTADO" attribute="1" defaultMemberUniqueName="[tbFisico].[EXECUTADO].[All]" allUniqueName="[tbFisico].[EXECUTADO].[All]" dimensionUniqueName="[tbFisico]" displayFolder="" count="0" memberValueDatatype="130" unbalanced="0"/>
    <cacheHierarchy uniqueName="[tbMapa].[CÓD]" caption="CÓD" attribute="1" defaultMemberUniqueName="[tbMapa].[CÓD].[All]" allUniqueName="[tbMapa].[CÓD].[All]" dimensionUniqueName="[tbMapa]" displayFolder="" count="0" memberValueDatatype="130" unbalanced="0"/>
    <cacheHierarchy uniqueName="[tbMapa].[DESCRIÇÃO]" caption="DESCRIÇÃO" attribute="1" defaultMemberUniqueName="[tbMapa].[DESCRIÇÃO].[All]" allUniqueName="[tbMapa].[DESCRIÇÃO].[All]" dimensionUniqueName="[tbMapa]" displayFolder="" count="0" memberValueDatatype="130" unbalanced="0"/>
    <cacheHierarchy uniqueName="[tbMapa].[TORRE]" caption="TORRE" attribute="1" defaultMemberUniqueName="[tbMapa].[TORRE].[All]" allUniqueName="[tbMapa].[TORRE].[All]" dimensionUniqueName="[tbMapa]" displayFolder="" count="0" memberValueDatatype="130" unbalanced="0"/>
    <cacheHierarchy uniqueName="[tbMapa].[MEDIÇÃO]" caption="MEDIÇÃO" attribute="1" defaultMemberUniqueName="[tbMapa].[MEDIÇÃO].[All]" allUniqueName="[tbMapa].[MEDIÇÃO].[All]" dimensionUniqueName="[tbMapa]" displayFolder="" count="0" memberValueDatatype="130" unbalanced="0"/>
    <cacheHierarchy uniqueName="[tbMapa].[TOTAL FN]" caption="TOTAL FN" attribute="1" defaultMemberUniqueName="[tbMapa].[TOTAL FN].[All]" allUniqueName="[tbMapa].[TOTAL FN].[All]" dimensionUniqueName="[tbMapa]" displayFolder="" count="0" memberValueDatatype="5" unbalanced="0"/>
    <cacheHierarchy uniqueName="[tbMapa].[TOTAL F0]" caption="TOTAL F0" attribute="1" defaultMemberUniqueName="[tbMapa].[TOTAL F0].[All]" allUniqueName="[tbMapa].[TOTAL F0].[All]" dimensionUniqueName="[tbMapa]" displayFolder="" count="0" memberValueDatatype="5" unbalanced="0"/>
    <cacheHierarchy uniqueName="[tbMapa].[TOTAL F2]" caption="TOTAL F2" attribute="1" defaultMemberUniqueName="[tbMapa].[TOTAL F2].[All]" allUniqueName="[tbMapa].[TOTAL F2].[All]" dimensionUniqueName="[tbMapa]" displayFolder="" count="0" memberValueDatatype="5" unbalanced="0"/>
    <cacheHierarchy uniqueName="[tbMapa].[TOTAL F3]" caption="TOTAL F3" attribute="1" defaultMemberUniqueName="[tbMapa].[TOTAL F3].[All]" allUniqueName="[tbMapa].[TOTAL F3].[All]" dimensionUniqueName="[tbMapa]" displayFolder="" count="0" memberValueDatatype="5" unbalanced="0"/>
    <cacheHierarchy uniqueName="[tbMapa].[TOTAL F4]" caption="TOTAL F4" attribute="1" defaultMemberUniqueName="[tbMapa].[TOTAL F4].[All]" allUniqueName="[tbMapa].[TOTAL F4].[All]" dimensionUniqueName="[tbMapa]" displayFolder="" count="0" memberValueDatatype="5" unbalanced="0"/>
    <cacheHierarchy uniqueName="[tbMapa].[TOTAL F5]" caption="TOTAL F5" attribute="1" defaultMemberUniqueName="[tbMapa].[TOTAL F5].[All]" allUniqueName="[tbMapa].[TOTAL F5].[All]" dimensionUniqueName="[tbMapa]" displayFolder="" count="0" memberValueDatatype="5" unbalanced="0"/>
    <cacheHierarchy uniqueName="[tbMapa].[TOTAL F6]" caption="TOTAL F6" attribute="1" defaultMemberUniqueName="[tbMapa].[TOTAL F6].[All]" allUniqueName="[tbMapa].[TOTAL F6].[All]" dimensionUniqueName="[tbMapa]" displayFolder="" count="0" memberValueDatatype="5" unbalanced="0"/>
    <cacheHierarchy uniqueName="[tbMapa].[TOTAL F7]" caption="TOTAL F7" attribute="1" defaultMemberUniqueName="[tbMapa].[TOTAL F7].[All]" allUniqueName="[tbMapa].[TOTAL F7].[All]" dimensionUniqueName="[tbMapa]" displayFolder="" count="0" memberValueDatatype="5" unbalanced="0"/>
    <cacheHierarchy uniqueName="[tbMapa].[TOTAL F8]" caption="TOTAL F8" attribute="1" defaultMemberUniqueName="[tbMapa].[TOTAL F8].[All]" allUniqueName="[tbMapa].[TOTAL F8].[All]" dimensionUniqueName="[tbMapa]" displayFolder="" count="0" memberValueDatatype="5" unbalanced="0"/>
    <cacheHierarchy uniqueName="[tbMapa].[TOTAL F9]" caption="TOTAL F9" attribute="1" defaultMemberUniqueName="[tbMapa].[TOTAL F9].[All]" allUniqueName="[tbMapa].[TOTAL F9].[All]" dimensionUniqueName="[tbMapa]" displayFolder="" count="0" memberValueDatatype="5" unbalanced="0"/>
    <cacheHierarchy uniqueName="[tbMapaData].[MEDIÇÃO]" caption="MEDIÇÃO" attribute="1" defaultMemberUniqueName="[tbMapaData].[MEDIÇÃO].[All]" allUniqueName="[tbMapaData].[MEDIÇÃO].[All]" dimensionUniqueName="[tbMapaData]" displayFolder="" count="0" memberValueDatatype="20" unbalanced="0"/>
    <cacheHierarchy uniqueName="[tbMapaData].[DATA]" caption="DATA" attribute="1" time="1" defaultMemberUniqueName="[tbMapaData].[DATA].[All]" allUniqueName="[tbMapaData].[DATA].[All]" dimensionUniqueName="[tbMapaData]" displayFolder="" count="2" memberValueDatatype="7" unbalanced="0">
      <fieldsUsage count="2">
        <fieldUsage x="-1"/>
        <fieldUsage x="0"/>
      </fieldsUsage>
    </cacheHierarchy>
    <cacheHierarchy uniqueName="[tbMapaData].[MÊS/ANO]" caption="MÊS/ANO" attribute="1" defaultMemberUniqueName="[tbMapaData].[MÊS/ANO].[All]" allUniqueName="[tbMapaData].[MÊS/ANO].[All]" dimensionUniqueName="[tbMapaData]" displayFolder="" count="0" memberValueDatatype="130" unbalanced="0"/>
    <cacheHierarchy uniqueName="[tbMapaData].[DATA (Ano)]" caption="DATA (Ano)" attribute="1" defaultMemberUniqueName="[tbMapaData].[DATA (Ano)].[All]" allUniqueName="[tbMapaData].[DATA (Ano)].[All]" dimensionUniqueName="[tbMapaData]" displayFolder="" count="0" memberValueDatatype="130" unbalanced="0"/>
    <cacheHierarchy uniqueName="[tbMapaData].[DATA (Trimestre)]" caption="DATA (Trimestre)" attribute="1" defaultMemberUniqueName="[tbMapaData].[DATA (Trimestre)].[All]" allUniqueName="[tbMapaData].[DATA (Trimestre)].[All]" dimensionUniqueName="[tbMapaData]" displayFolder="" count="0" memberValueDatatype="130" unbalanced="0"/>
    <cacheHierarchy uniqueName="[tbMapaData].[DATA (Mês)]" caption="DATA (Mês)" attribute="1" defaultMemberUniqueName="[tbMapaData].[DATA (Mês)].[All]" allUniqueName="[tbMapaData].[DATA (Mês)].[All]" dimensionUniqueName="[tbMapaData]" displayFolder="" count="0" memberValueDatatype="130" unbalanced="0"/>
    <cacheHierarchy uniqueName="[tbPavimento].[PAVIMENTO]" caption="PAVIMENTO" attribute="1" defaultMemberUniqueName="[tbPavimento].[PAVIMENTO].[All]" allUniqueName="[tbPavimento].[PAVIMENTO].[All]" dimensionUniqueName="[tbPavimento]" displayFolder="" count="0" memberValueDatatype="130" unbalanced="0"/>
    <cacheHierarchy uniqueName="[tbPavimento].[EXECUTADO]" caption="EXECUTADO" attribute="1" defaultMemberUniqueName="[tbPavimento].[EXECUTADO].[All]" allUniqueName="[tbPavimento].[EXECUTADO].[All]" dimensionUniqueName="[tbPavimento]" displayFolder="" count="0" memberValueDatatype="5" unbalanced="0"/>
    <cacheHierarchy uniqueName="[tbPavimento].[PREVISTO]" caption="PREVISTO" attribute="1" defaultMemberUniqueName="[tbPavimento].[PREVISTO].[All]" allUniqueName="[tbPavimento].[PREVISTO].[All]" dimensionUniqueName="[tbPavimento]" displayFolder="" count="0" memberValueDatatype="5" unbalanced="0"/>
    <cacheHierarchy uniqueName="[tbPavimento].[%]" caption="%" attribute="1" defaultMemberUniqueName="[tbPavimento].[%].[All]" allUniqueName="[tbPavimento].[%].[All]" dimensionUniqueName="[tbPavimento]" displayFolder="" count="0" memberValueDatatype="5" unbalanced="0"/>
    <cacheHierarchy uniqueName="[TbPendencias].[CÓD]" caption="CÓD" attribute="1" defaultMemberUniqueName="[TbPendencias].[CÓD].[All]" allUniqueName="[TbPendencias].[CÓD].[All]" dimensionUniqueName="[TbPendencias]" displayFolder="" count="0" memberValueDatatype="130" unbalanced="0"/>
    <cacheHierarchy uniqueName="[TbPendencias].[DESCRIÇÃO]" caption="DESCRIÇÃO" attribute="1" defaultMemberUniqueName="[TbPendencias].[DESCRIÇÃO].[All]" allUniqueName="[TbPendencias].[DESCRIÇÃO].[All]" dimensionUniqueName="[TbPendencias]" displayFolder="" count="0" memberValueDatatype="130" unbalanced="0"/>
    <cacheHierarchy uniqueName="[TbPendencias].[PENDENTE]" caption="PENDENTE" attribute="1" defaultMemberUniqueName="[TbPendencias].[PENDENTE].[All]" allUniqueName="[TbPendencias].[PENDENTE].[All]" dimensionUniqueName="[TbPendencias]" displayFolder="" count="0" memberValueDatatype="5" unbalanced="0"/>
    <cacheHierarchy uniqueName="[tbPrevisto].[MEDIÇÕES]" caption="MEDIÇÕES" attribute="1" defaultMemberUniqueName="[tbPrevisto].[MEDIÇÕES].[All]" allUniqueName="[tbPrevisto].[MEDIÇÕES].[All]" dimensionUniqueName="[tbPrevisto]" displayFolder="" count="2" memberValueDatatype="20" unbalanced="0">
      <fieldsUsage count="2">
        <fieldUsage x="-1"/>
        <fieldUsage x="5"/>
      </fieldsUsage>
    </cacheHierarchy>
    <cacheHierarchy uniqueName="[tbPrevisto].[DATA]" caption="DATA" attribute="1" time="1" defaultMemberUniqueName="[tbPrevisto].[DATA].[All]" allUniqueName="[tbPrevisto].[DATA].[All]" dimensionUniqueName="[tbPrevisto]" displayFolder="" count="2" memberValueDatatype="7" unbalanced="0">
      <fieldsUsage count="2">
        <fieldUsage x="-1"/>
        <fieldUsage x="3"/>
      </fieldsUsage>
    </cacheHierarchy>
    <cacheHierarchy uniqueName="[tbPrevisto].[PREVISTO]" caption="PREVISTO" attribute="1" defaultMemberUniqueName="[tbPrevisto].[PREVISTO].[All]" allUniqueName="[tbPrevisto].[PREVISTO].[All]" dimensionUniqueName="[tbPrevisto]" displayFolder="" count="0" memberValueDatatype="20" unbalanced="0"/>
    <cacheHierarchy uniqueName="[tbPrevisto].[REALIZADO]" caption="REALIZADO" attribute="1" defaultMemberUniqueName="[tbPrevisto].[REALIZADO].[All]" allUniqueName="[tbPrevisto].[REALIZADO].[All]" dimensionUniqueName="[tbPrevisto]" displayFolder="" count="0" memberValueDatatype="130" unbalanced="0"/>
    <cacheHierarchy uniqueName="[tbPrevisto].[PREVISTO ACUM.]" caption="PREVISTO ACUM." attribute="1" defaultMemberUniqueName="[tbPrevisto].[PREVISTO ACUM.].[All]" allUniqueName="[tbPrevisto].[PREVISTO ACUM.].[All]" dimensionUniqueName="[tbPrevisto]" displayFolder="" count="0" memberValueDatatype="20" unbalanced="0"/>
    <cacheHierarchy uniqueName="[tbPrevisto].[REALIZADO ACUM.]" caption="REALIZADO ACUM." attribute="1" defaultMemberUniqueName="[tbPrevisto].[REALIZADO ACUM.].[All]" allUniqueName="[tbPrevisto].[REALIZADO ACUM.].[All]" dimensionUniqueName="[tbPrevisto]" displayFolder="" count="0" memberValueDatatype="5" unbalanced="0"/>
    <cacheHierarchy uniqueName="[tbPrevisto].[DATA (Ano)]" caption="DATA (Ano)" attribute="1" defaultMemberUniqueName="[tbPrevisto].[DATA (Ano)].[All]" allUniqueName="[tbPrevisto].[DATA (Ano)].[All]" dimensionUniqueName="[tbPrevisto]" displayFolder="" count="2" memberValueDatatype="130" unbalanced="0">
      <fieldsUsage count="2">
        <fieldUsage x="-1"/>
        <fieldUsage x="4"/>
      </fieldsUsage>
    </cacheHierarchy>
    <cacheHierarchy uniqueName="[tbPrevisto].[DATA (Trimestre)]" caption="DATA (Trimestre)" attribute="1" defaultMemberUniqueName="[tbPrevisto].[DATA (Trimestre)].[All]" allUniqueName="[tbPrevisto].[DATA (Trimestre)].[All]" dimensionUniqueName="[tbPrevisto]" displayFolder="" count="0" memberValueDatatype="130" unbalanced="0"/>
    <cacheHierarchy uniqueName="[tbPrevisto].[DATA (Mês)]" caption="DATA (Mês)" attribute="1" defaultMemberUniqueName="[tbPrevisto].[DATA (Mês)].[All]" allUniqueName="[tbPrevisto].[DATA (Mês)].[All]" dimensionUniqueName="[tbPrevisto]" displayFolder="" count="0" memberValueDatatype="130" unbalanced="0"/>
    <cacheHierarchy uniqueName="[tbMapaData].[DATA (Índice de Mês)]" caption="DATA (Índice de Mês)" attribute="1" defaultMemberUniqueName="[tbMapaData].[DATA (Índice de Mês)].[All]" allUniqueName="[tbMapaData].[DATA (Índice de Mês)].[All]" dimensionUniqueName="[tbMapaData]" displayFolder="" count="0" memberValueDatatype="20" unbalanced="0" hidden="1"/>
    <cacheHierarchy uniqueName="[tbPrevisto].[DATA (Índice de Mês)]" caption="DATA (Índice de Mês)" attribute="1" defaultMemberUniqueName="[tbPrevisto].[DATA (Índice de Mês)].[All]" allUniqueName="[tbPrevisto].[DATA (Índice de Mês)].[All]" dimensionUniqueName="[tbPrevisto]" displayFolder="" count="0" memberValueDatatype="20" unbalanced="0" hidden="1"/>
    <cacheHierarchy uniqueName="[Measures].[Total Financeiro]" caption="Total Financeiro" measure="1" displayFolder="" measureGroup="tbContrato" count="0"/>
    <cacheHierarchy uniqueName="[Measures].[Total Retenção]" caption="Total Retenção" measure="1" displayFolder="" measureGroup="tbContrato" count="0"/>
    <cacheHierarchy uniqueName="[Measures].[Valor Líquido]" caption="Valor Líquido" measure="1" displayFolder="" measureGroup="tbContrato" count="0"/>
    <cacheHierarchy uniqueName="[Measures].[Total Executado]" caption="Total Executado" measure="1" displayFolder="" measureGroup="tbMapa" count="0"/>
    <cacheHierarchy uniqueName="[Measures].[Total Físico]" caption="Total Físico" measure="1" displayFolder="" measureGroup="tbFisico" count="0"/>
    <cacheHierarchy uniqueName="[Measures].[% Financeiro]" caption="% Financeiro" measure="1" displayFolder="" measureGroup="tbContrato" count="0"/>
    <cacheHierarchy uniqueName="[Measures].[% Físico]" caption="% Físico" measure="1" displayFolder="" measureGroup="tbFisico" count="0"/>
    <cacheHierarchy uniqueName="[Measures].[__XL_Count Tabela57]" caption="__XL_Count Tabela57" measure="1" displayFolder="" measureGroup="tbMapaData" count="0" hidden="1"/>
    <cacheHierarchy uniqueName="[Measures].[__XL_Count Tabela5]" caption="__XL_Count Tabela5" measure="1" displayFolder="" measureGroup="tbMapa" count="0" hidden="1"/>
    <cacheHierarchy uniqueName="[Measures].[__XL_Count Tabela1]" caption="__XL_Count Tabela1" measure="1" displayFolder="" measureGroup="tbContrato" count="0" hidden="1"/>
    <cacheHierarchy uniqueName="[Measures].[__XL_Count Tabela573]" caption="__XL_Count Tabela573" measure="1" displayFolder="" measureGroup="tbFisico" count="0" hidden="1"/>
    <cacheHierarchy uniqueName="[Measures].[__XL_Count Tabela5739]" caption="__XL_Count Tabela5739" measure="1" displayFolder="" measureGroup="TbCategorias" count="0" hidden="1"/>
    <cacheHierarchy uniqueName="[Measures].[__XL_Count Tabela9]" caption="__XL_Count Tabela9" measure="1" displayFolder="" measureGroup="tbPavimento" count="0" hidden="1"/>
    <cacheHierarchy uniqueName="[Measures].[__XL_Count Tabela511]" caption="__XL_Count Tabela511" measure="1" displayFolder="" measureGroup="TbPendencias" count="0" hidden="1"/>
    <cacheHierarchy uniqueName="[Measures].[__XL_Count Tabela51112]" caption="__XL_Count Tabela51112" measure="1" displayFolder="" measureGroup="tbPrevisto" count="0" hidden="1"/>
    <cacheHierarchy uniqueName="[Measures].[__Não há medidas definidas]" caption="__Não há medidas definidas" measure="1" displayFolder="" count="0" hidden="1"/>
    <cacheHierarchy uniqueName="[Measures].[Soma de VALOR]" caption="Soma de VALOR" measure="1" displayFolder="" measureGroup="TbCategori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%]" caption="Soma de %" measure="1" displayFolder="" measureGroup="tbPavimento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oma de PENDENTE]" caption="Soma de PENDENTE" measure="1" displayFolder="" measureGroup="TbPendencia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oma de PREVISTO ACUM.]" caption="Soma de PREVISTO ACUM." measure="1" displayFolder="" measureGroup="tbPrevist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oma de REALIZADO ACUM.]" caption="Soma de REALIZADO ACUM." measure="1" displayFolder="" measureGroup="tbPrevist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oma de EXECUTADO]" caption="Soma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ntagem de EXECUTADO]" caption="Contagem de EXECUTADO" measure="1" displayFolder="" measureGroup="tbFisic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9">
    <dimension measure="1" name="Measures" uniqueName="[Measures]" caption="Measures"/>
    <dimension name="TbCategorias" uniqueName="[TbCategorias]" caption="TbCategorias"/>
    <dimension name="tbContrato" uniqueName="[tbContrato]" caption="tbContrato"/>
    <dimension name="tbFisico" uniqueName="[tbFisico]" caption="tbFisico"/>
    <dimension name="tbMapa" uniqueName="[tbMapa]" caption="tbMapa"/>
    <dimension name="tbMapaData" uniqueName="[tbMapaData]" caption="tbMapaData"/>
    <dimension name="tbPavimento" uniqueName="[tbPavimento]" caption="tbPavimento"/>
    <dimension name="TbPendencias" uniqueName="[TbPendencias]" caption="TbPendencias"/>
    <dimension name="tbPrevisto" uniqueName="[tbPrevisto]" caption="tbPrevisto"/>
  </dimensions>
  <measureGroups count="8">
    <measureGroup name="TbCategorias" caption="TbCategorias"/>
    <measureGroup name="tbContrato" caption="tbContrato"/>
    <measureGroup name="tbFisico" caption="tbFisico"/>
    <measureGroup name="tbMapa" caption="tbMapa"/>
    <measureGroup name="tbMapaData" caption="tbMapaData"/>
    <measureGroup name="tbPavimento" caption="tbPavimento"/>
    <measureGroup name="TbPendencias" caption="TbPendencias"/>
    <measureGroup name="tbPrevisto" caption="tbPrevisto"/>
  </measureGroups>
  <maps count="11">
    <map measureGroup="0" dimension="1"/>
    <map measureGroup="1" dimension="2"/>
    <map measureGroup="1" dimension="5"/>
    <map measureGroup="2" dimension="3"/>
    <map measureGroup="2" dimension="5"/>
    <map measureGroup="3" dimension="4"/>
    <map measureGroup="3" dimension="5"/>
    <map measureGroup="4" dimension="5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BEA65-2E31-4846-BF0F-8EF6D2B31F7C}" name="Tabela dinâmica7" cacheId="161" applyNumberFormats="0" applyBorderFormats="0" applyFontFormats="0" applyPatternFormats="0" applyAlignmentFormats="0" applyWidthHeightFormats="1" dataCaption="Valores" tag="4929a74c-02bd-49fc-98dc-8cf2d71e4c75" updatedVersion="8" minRefreshableVersion="3" subtotalHiddenItems="1" itemPrintTitles="1" createdVersion="8" indent="0" outline="1" outlineData="1" multipleFieldFilters="0" chartFormat="43">
  <location ref="K10:L17" firstHeaderRow="1" firstDataRow="1" firstDataCol="1"/>
  <pivotFields count="3">
    <pivotField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EXECUTADO" fld="2" subtotal="count" baseField="0" baseItem="0"/>
  </dataFields>
  <formats count="6">
    <format dxfId="159">
      <pivotArea outline="0" collapsedLevelsAreSubtotals="1" fieldPosition="0"/>
    </format>
    <format dxfId="160">
      <pivotArea outline="0" collapsedLevelsAreSubtotals="1" fieldPosition="0"/>
    </format>
    <format dxfId="161">
      <pivotArea dataOnly="0" labelOnly="1" grandRow="1" outline="0" fieldPosition="0"/>
    </format>
    <format dxfId="162">
      <pivotArea outline="0" collapsedLevelsAreSubtotals="1" fieldPosition="0"/>
    </format>
    <format dxfId="163">
      <pivotArea dataOnly="0" labelOnly="1" grandRow="1" outline="0" fieldPosition="0"/>
    </format>
    <format dxfId="164">
      <pivotArea outline="0" collapsedLevelsAreSubtotals="1" fieldPosition="0"/>
    </format>
  </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EXECUT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Contrato]"/>
        <x15:activeTabTopLevelEntity name="[tbMapaData]"/>
        <x15:activeTabTopLevelEntity name="[tbMapa]"/>
        <x15:activeTabTopLevelEntity name="[tbFisico]"/>
        <x15:activeTabTopLevelEntity name="[TbCategorias]"/>
        <x15:activeTabTopLevelEntity name="[tbPavi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CECC8-5212-4D81-BA78-B5616B406EED}" name="Tabela dinâmica1" cacheId="162" applyNumberFormats="0" applyBorderFormats="0" applyFontFormats="0" applyPatternFormats="0" applyAlignmentFormats="0" applyWidthHeightFormats="1" dataCaption="Valores" tag="51a3eba0-e14d-4137-91f3-165412905b8d" updatedVersion="8" minRefreshableVersion="3" subtotalHiddenItems="1" itemPrintTitles="1" createdVersion="8" indent="0" outline="1" outlineData="1" multipleFieldFilters="0" chartFormat="51">
  <location ref="O2:P8" firstHeaderRow="1" firstDataRow="1" firstDataCol="1"/>
  <pivotFields count="3">
    <pivotField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Soma de PENDENTE" fld="2" baseField="0" baseItem="0"/>
  </dataFields>
  <formats count="6">
    <format dxfId="289">
      <pivotArea outline="0" collapsedLevelsAreSubtotals="1" fieldPosition="0"/>
    </format>
    <format dxfId="288">
      <pivotArea outline="0" collapsedLevelsAreSubtotals="1" fieldPosition="0"/>
    </format>
    <format dxfId="287">
      <pivotArea dataOnly="0" labelOnly="1" grandRow="1" outline="0" fieldPosition="0"/>
    </format>
    <format dxfId="286">
      <pivotArea outline="0" collapsedLevelsAreSubtotals="1" fieldPosition="0"/>
    </format>
    <format dxfId="285">
      <pivotArea dataOnly="0" labelOnly="1" grandRow="1" outline="0" fieldPosition="0"/>
    </format>
    <format dxfId="284">
      <pivotArea outline="0" collapsedLevelsAreSubtotals="1" fieldPosition="0"/>
    </format>
  </formats>
  <chartFormats count="1"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EXECUT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Contrato]"/>
        <x15:activeTabTopLevelEntity name="[tbMapaData]"/>
        <x15:activeTabTopLevelEntity name="[tbMapa]"/>
        <x15:activeTabTopLevelEntity name="[tbFisico]"/>
        <x15:activeTabTopLevelEntity name="[TbCategorias]"/>
        <x15:activeTabTopLevelEntity name="[tbPavimento]"/>
        <x15:activeTabTopLevelEntity name="[TbPendenc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4BF30-DEAD-4206-AE6B-27FFF5EA312F}" name="Tabela dinâmica4" cacheId="163" applyNumberFormats="0" applyBorderFormats="0" applyFontFormats="0" applyPatternFormats="0" applyAlignmentFormats="0" applyWidthHeightFormats="1" dataCaption="Valores" tag="9c6cd80b-c5f8-4dbb-a394-99e4cdce6eb4" updatedVersion="8" minRefreshableVersion="3" useAutoFormatting="1" subtotalHiddenItems="1" itemPrintTitles="1" createdVersion="8" indent="0" outline="1" outlineData="1" multipleFieldFilters="0" chartFormat="37">
  <location ref="H2:I13" firstHeaderRow="1" firstDataRow="1" firstDataCol="1"/>
  <pivotFields count="2">
    <pivotField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2"/>
    </i>
    <i>
      <x v="5"/>
    </i>
    <i>
      <x v="6"/>
    </i>
    <i>
      <x v="3"/>
    </i>
    <i>
      <x/>
    </i>
    <i>
      <x v="1"/>
    </i>
    <i>
      <x v="4"/>
    </i>
    <i>
      <x v="8"/>
    </i>
    <i>
      <x v="7"/>
    </i>
    <i>
      <x v="9"/>
    </i>
    <i t="grand">
      <x/>
    </i>
  </rowItems>
  <colItems count="1">
    <i/>
  </colItems>
  <dataFields count="1">
    <dataField name="Soma de %" fld="1" baseField="0" baseItem="0" numFmtId="10"/>
  </dataFields>
  <formats count="6">
    <format dxfId="295">
      <pivotArea outline="0" collapsedLevelsAreSubtotals="1" fieldPosition="0"/>
    </format>
    <format dxfId="294">
      <pivotArea outline="0" collapsedLevelsAreSubtotals="1" fieldPosition="0"/>
    </format>
    <format dxfId="293">
      <pivotArea dataOnly="0" labelOnly="1" grandRow="1" outline="0" fieldPosition="0"/>
    </format>
    <format dxfId="292">
      <pivotArea outline="0" collapsedLevelsAreSubtotals="1" fieldPosition="0"/>
    </format>
    <format dxfId="291">
      <pivotArea dataOnly="0" labelOnly="1" grandRow="1" outline="0" fieldPosition="0"/>
    </format>
    <format dxfId="290">
      <pivotArea outline="0" collapsedLevelsAreSubtotals="1" fieldPosition="0"/>
    </format>
  </formats>
  <chartFormats count="1"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Contrato]"/>
        <x15:activeTabTopLevelEntity name="[tbMapaData]"/>
        <x15:activeTabTopLevelEntity name="[tbMapa]"/>
        <x15:activeTabTopLevelEntity name="[tbFisico]"/>
        <x15:activeTabTopLevelEntity name="[TbCategorias]"/>
        <x15:activeTabTopLevelEntity name="[tbPavi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2CD38-A60E-4F0F-B079-192337C5C1A8}" name="Tabela dinâmica2" cacheId="164" applyNumberFormats="0" applyBorderFormats="0" applyFontFormats="0" applyPatternFormats="0" applyAlignmentFormats="0" applyWidthHeightFormats="1" dataCaption="Valores" tag="a1e64463-f5e6-4ee7-803c-692d0a69a6d5" updatedVersion="8" minRefreshableVersion="3" useAutoFormatting="1" subtotalHiddenItems="1" itemPrintTitles="1" createdVersion="8" indent="0" outline="1" outlineData="1" multipleFieldFilters="0" chartFormat="19">
  <location ref="A2:B8" firstHeaderRow="1" firstDataRow="1" firstDataCol="1"/>
  <pivotFields count="2">
    <pivotField axis="axisRow" allDrilled="1" subtotalTop="0" showAll="0" sortType="ascending" defaultSubtotal="0" defaultAttributeDrillState="1">
      <items count="5">
        <item s="1" x="0"/>
        <item s="1" x="1"/>
        <item s="1" x="2"/>
        <item s="1" x="3"/>
        <item s="1"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/>
    </i>
    <i>
      <x v="4"/>
    </i>
    <i>
      <x v="1"/>
    </i>
    <i>
      <x v="3"/>
    </i>
    <i t="grand">
      <x/>
    </i>
  </rowItems>
  <colItems count="1">
    <i/>
  </colItems>
  <dataFields count="1">
    <dataField fld="1" subtotal="count" baseField="0" baseItem="0"/>
  </dataFields>
  <formats count="7">
    <format dxfId="302">
      <pivotArea outline="0" collapsedLevelsAreSubtotals="1" fieldPosition="0"/>
    </format>
    <format dxfId="301">
      <pivotArea outline="0" collapsedLevelsAreSubtotals="1" fieldPosition="0"/>
    </format>
    <format dxfId="300">
      <pivotArea dataOnly="0" labelOnly="1" fieldPosition="0">
        <references count="1">
          <reference field="0" count="0"/>
        </references>
      </pivotArea>
    </format>
    <format dxfId="299">
      <pivotArea dataOnly="0" labelOnly="1" grandRow="1" outline="0" fieldPosition="0"/>
    </format>
    <format dxfId="298">
      <pivotArea outline="0" collapsedLevelsAreSubtotals="1" fieldPosition="0"/>
    </format>
    <format dxfId="297">
      <pivotArea dataOnly="0" labelOnly="1" fieldPosition="0">
        <references count="1">
          <reference field="0" count="0"/>
        </references>
      </pivotArea>
    </format>
    <format dxfId="296">
      <pivotArea dataOnly="0" labelOnly="1" grandRow="1" outline="0" fieldPosition="0"/>
    </format>
  </formats>
  <chartFormats count="3"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Contrato]"/>
        <x15:activeTabTopLevelEntity name="[tbMapaData]"/>
        <x15:activeTabTopLevelEntity name="[tbMapa]"/>
        <x15:activeTabTopLevelEntity name="[tbFisi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32C52-C035-40AB-A62A-B17A1C746E07}" name="Tabela dinâmica3" cacheId="165" applyNumberFormats="0" applyBorderFormats="0" applyFontFormats="0" applyPatternFormats="0" applyAlignmentFormats="0" applyWidthHeightFormats="1" dataCaption="Valores" tag="197245af-9445-4394-ad0d-e4e8f29fd3e9" updatedVersion="8" minRefreshableVersion="3" useAutoFormatting="1" subtotalHiddenItems="1" itemPrintTitles="1" createdVersion="8" indent="0" outline="1" outlineData="1" multipleFieldFilters="0" chartFormat="33">
  <location ref="E2:F6" firstHeaderRow="1" firstDataRow="1" firstDataCol="1"/>
  <pivotFields count="3">
    <pivotField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" fld="2" baseField="0" baseItem="0" numFmtId="44"/>
  </dataFields>
  <formats count="6">
    <format dxfId="308">
      <pivotArea outline="0" collapsedLevelsAreSubtotals="1" fieldPosition="0"/>
    </format>
    <format dxfId="307">
      <pivotArea outline="0" collapsedLevelsAreSubtotals="1" fieldPosition="0"/>
    </format>
    <format dxfId="306">
      <pivotArea dataOnly="0" labelOnly="1" grandRow="1" outline="0" fieldPosition="0"/>
    </format>
    <format dxfId="305">
      <pivotArea outline="0" collapsedLevelsAreSubtotals="1" fieldPosition="0"/>
    </format>
    <format dxfId="304">
      <pivotArea dataOnly="0" labelOnly="1" grandRow="1" outline="0" fieldPosition="0"/>
    </format>
    <format dxfId="303">
      <pivotArea outline="0" collapsedLevelsAreSubtotals="1" fieldPosition="0"/>
    </format>
  </formats>
  <chartFormats count="4">
    <chartFormat chart="2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Contrato]"/>
        <x15:activeTabTopLevelEntity name="[tbMapaData]"/>
        <x15:activeTabTopLevelEntity name="[tbMapa]"/>
        <x15:activeTabTopLevelEntity name="[tbFisico]"/>
        <x15:activeTabTopLevelEntity name="[Tb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2C3CD-B6D2-4311-A09B-5EC996A196A3}" name="Tabela dinâmica5" cacheId="166" applyNumberFormats="0" applyBorderFormats="0" applyFontFormats="0" applyPatternFormats="0" applyAlignmentFormats="0" applyWidthHeightFormats="1" dataCaption="Valores" tag="6301dd94-84a4-49f4-98b0-0a0cd83c20bb" updatedVersion="8" minRefreshableVersion="3" subtotalHiddenItems="1" itemPrintTitles="1" createdVersion="8" indent="0" outline="1" outlineData="1" multipleFieldFilters="0" chartFormat="43">
  <location ref="K2:M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EXECUTADO" fld="0" subtotal="count" baseField="1" baseItem="4"/>
    <dataField name="ACUMULADO" fld="2" subtotal="count" showDataAs="runTotal" baseField="1" baseItem="0">
      <extLst>
        <ext xmlns:x14="http://schemas.microsoft.com/office/spreadsheetml/2009/9/main" uri="{E15A36E0-9728-4e99-A89B-3F7291B0FE68}">
          <x14:dataField sourceField="0" uniqueName="[__Xl2].[Measures].[Total Físico]"/>
        </ext>
      </extLst>
    </dataField>
  </dataFields>
  <formats count="6">
    <format dxfId="168">
      <pivotArea outline="0" collapsedLevelsAreSubtotals="1" fieldPosition="0"/>
    </format>
    <format dxfId="169">
      <pivotArea outline="0" collapsedLevelsAreSubtotals="1" fieldPosition="0"/>
    </format>
    <format dxfId="170">
      <pivotArea dataOnly="0" labelOnly="1" grandRow="1" outline="0" fieldPosition="0"/>
    </format>
    <format dxfId="171">
      <pivotArea outline="0" collapsedLevelsAreSubtotals="1" fieldPosition="0"/>
    </format>
    <format dxfId="172">
      <pivotArea dataOnly="0" labelOnly="1" grandRow="1" outline="0" fieldPosition="0"/>
    </format>
    <format dxfId="173">
      <pivotArea outline="0" collapsedLevelsAreSubtotals="1" fieldPosition="0"/>
    </format>
  </formats>
  <chartFormats count="7">
    <chartFormat chart="3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39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9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9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9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</chartFormats>
  <pivotHierarchies count="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EXECUT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Contrato]"/>
        <x15:activeTabTopLevelEntity name="[tbMapaData]"/>
        <x15:activeTabTopLevelEntity name="[tbMapa]"/>
        <x15:activeTabTopLevelEntity name="[tbFisico]"/>
        <x15:activeTabTopLevelEntity name="[TbCategorias]"/>
        <x15:activeTabTopLevelEntity name="[tbPavim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025B2-BDE0-4D8E-8145-C1262DC73823}" name="Tabela dinâmica6" cacheId="169" applyNumberFormats="0" applyBorderFormats="0" applyFontFormats="0" applyPatternFormats="0" applyAlignmentFormats="0" applyWidthHeightFormats="1" dataCaption="Valores" tag="28533016-c732-42f5-884a-db9c2ac14ab9" updatedVersion="8" minRefreshableVersion="3" subtotalHiddenItems="1" itemPrintTitles="1" createdVersion="8" indent="0" outline="1" outlineData="1" multipleFieldFilters="0" chartFormat="61">
  <location ref="S2:U13" firstHeaderRow="0" firstDataRow="1" firstDataCol="1"/>
  <pivotFields count="6">
    <pivotField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PREVISTO ACUM." fld="1" baseField="0" baseItem="0"/>
    <dataField name="Soma de REALIZADO ACUM." fld="2" baseField="0" baseItem="0"/>
  </dataFields>
  <formats count="6">
    <format dxfId="314">
      <pivotArea outline="0" collapsedLevelsAreSubtotals="1" fieldPosition="0"/>
    </format>
    <format dxfId="313">
      <pivotArea outline="0" collapsedLevelsAreSubtotals="1" fieldPosition="0"/>
    </format>
    <format dxfId="312">
      <pivotArea dataOnly="0" labelOnly="1" grandRow="1" outline="0" fieldPosition="0"/>
    </format>
    <format dxfId="311">
      <pivotArea outline="0" collapsedLevelsAreSubtotals="1" fieldPosition="0"/>
    </format>
    <format dxfId="310">
      <pivotArea dataOnly="0" labelOnly="1" grandRow="1" outline="0" fieldPosition="0"/>
    </format>
    <format dxfId="309">
      <pivotArea outline="0" collapsedLevelsAreSubtotals="1" fieldPosition="0"/>
    </format>
  </formats>
  <chartFormats count="20">
    <chartFormat chart="5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5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5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6" format="9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56" format="10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56" format="11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56" format="12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56" format="13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56" format="14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56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6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6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6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6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6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6" format="21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56" format="22">
      <pivotArea type="data" outline="0" fieldPosition="0">
        <references count="2">
          <reference field="4294967294" count="1" selected="0">
            <x v="1"/>
          </reference>
          <reference field="5" count="1" selected="0">
            <x v="7"/>
          </reference>
        </references>
      </pivotArea>
    </chartFormat>
    <chartFormat chart="56" format="23">
      <pivotArea type="data" outline="0" fieldPosition="0">
        <references count="2">
          <reference field="4294967294" count="1" selected="0">
            <x v="1"/>
          </reference>
          <reference field="5" count="1" selected="0">
            <x v="8"/>
          </reference>
        </references>
      </pivotArea>
    </chartFormat>
  </chart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EXECUTAD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Contrato]"/>
        <x15:activeTabTopLevelEntity name="[tbMapaData]"/>
        <x15:activeTabTopLevelEntity name="[tbMapa]"/>
        <x15:activeTabTopLevelEntity name="[tbFisico]"/>
        <x15:activeTabTopLevelEntity name="[TbCategorias]"/>
        <x15:activeTabTopLevelEntity name="[tbPavimento]"/>
        <x15:activeTabTopLevelEntity name="[TbPendencias]"/>
        <x15:activeTabTopLevelEntity name="[tbPrevis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F31C11-CE83-44C2-A75D-301416FC2828}" name="Tabela51112" displayName="Tabela51112" ref="A1:F11" totalsRowShown="0" headerRowDxfId="283" dataDxfId="282">
  <tableColumns count="6">
    <tableColumn id="1" xr3:uid="{B73FA879-D1E3-4996-8455-BA36B73F7518}" name="MEDIÇÕES" dataDxfId="281"/>
    <tableColumn id="12" xr3:uid="{B9F46E59-9BAB-4789-B720-479054D9319B}" name="DATA" dataDxfId="280">
      <calculatedColumnFormula>Tabela57[[#This Row],[DATA]]</calculatedColumnFormula>
    </tableColumn>
    <tableColumn id="2" xr3:uid="{15E6E950-7C64-4653-9894-894AA55A8A27}" name="PREVISTO" dataDxfId="279"/>
    <tableColumn id="8" xr3:uid="{6E951894-20DC-4F5A-9452-A743C8D57D5D}" name="REALIZADO" dataDxfId="278">
      <calculatedColumnFormula>Tabela573[[#This Row],[EXECUTADO]]</calculatedColumnFormula>
    </tableColumn>
    <tableColumn id="4" xr3:uid="{35F74E85-E98C-41CD-A465-C06A26247DC1}" name="PREVISTO ACUM." dataDxfId="277">
      <calculatedColumnFormula>Tabela51112[[#This Row],[PREVISTO]]</calculatedColumnFormula>
    </tableColumn>
    <tableColumn id="6" xr3:uid="{54FA1662-863B-4F7E-B439-E9935464A30F}" name="REALIZADO ACUM. " dataDxfId="276">
      <calculatedColumnFormula>SUM(F1,Tabela573[[#This Row],[EXECUTADO]])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16A4F0-51D6-43A3-B163-0F98662A17B1}" name="Tabela511" displayName="Tabela511" ref="A1:C6" totalsRowShown="0" headerRowDxfId="275" dataDxfId="274">
  <tableColumns count="3">
    <tableColumn id="1" xr3:uid="{C489DCEC-A8C0-43F0-984F-C39CA30398CF}" name="CÓD" dataDxfId="273"/>
    <tableColumn id="2" xr3:uid="{4B89663E-EB91-4FE4-B03A-BE9E51FA13CD}" name="DESCRIÇÃO" dataDxfId="272"/>
    <tableColumn id="4" xr3:uid="{AE3F1C52-B7B4-4723-9D3B-3AB530D7834D}" name="PENDENTE" dataDxfId="271">
      <calculatedColumnFormula>SUM(tbBoletim!E3)-SUM(Tabela5[[#This Row],[TOTAL F0]:[TOTAL F9]])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AF7FDA-1422-4E79-9C0F-08A521C93F62}" name="Tabela5739" displayName="Tabela5739" ref="A1:B4" totalsRowShown="0" headerRowDxfId="270" dataDxfId="269">
  <tableColumns count="2">
    <tableColumn id="1" xr3:uid="{1158BD7D-E503-4225-B737-B5054D5205AD}" name="CATEGORIA" dataDxfId="268"/>
    <tableColumn id="2" xr3:uid="{EB99D263-6C92-4C78-BB1F-0FE0DD8E0A8C}" name="VALOR" dataDxfId="267">
      <calculatedColumnFormula>'1. Controle de Contrato'!J21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9C32E8-7F27-4AC7-A1D5-CD011227E61F}" name="Tabela57" displayName="Tabela57" ref="A1:C12" totalsRowShown="0" headerRowDxfId="266" dataDxfId="265">
  <tableColumns count="3">
    <tableColumn id="1" xr3:uid="{89D5453B-6994-4E02-A37E-BA5479E85F2D}" name="MEDIÇÃO" dataDxfId="264"/>
    <tableColumn id="2" xr3:uid="{EAE63E87-E4F4-4F5D-82F1-41EB82020F0C}" name="DATA" dataDxfId="263"/>
    <tableColumn id="3" xr3:uid="{31DCB8ED-0AE3-4E6F-BAC0-C06C9CC75138}" name="MÊS/ANO" dataDxfId="262">
      <calculatedColumnFormula>TEXT(Tabela57[[#This Row],[DATA]],"mmm/aa")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370721-F8F9-4C0C-8320-2D8DAFFDF8A7}" name="Tabela5" displayName="Tabela5" ref="A1:N6" totalsRowShown="0" headerRowDxfId="261" dataDxfId="260">
  <tableColumns count="14">
    <tableColumn id="1" xr3:uid="{2900CB71-FBEA-41BA-8ABB-5CFA1BE0696E}" name="CÓD" dataDxfId="259"/>
    <tableColumn id="2" xr3:uid="{88B3E32E-207E-4833-86DE-A3D64C01DE00}" name="DESCRIÇÃO" dataDxfId="258"/>
    <tableColumn id="3" xr3:uid="{A3594C7F-5763-4C93-817F-2EC537D23C95}" name="TORRE" dataDxfId="257"/>
    <tableColumn id="4" xr3:uid="{1E494B65-F307-474B-B545-6ED7E7269248}" name="MEDIÇÃO" dataDxfId="256"/>
    <tableColumn id="5" xr3:uid="{D914A01C-724A-45F0-BBB9-69484FD8EB5C}" name="TOTAL F0" dataDxfId="255"/>
    <tableColumn id="6" xr3:uid="{A7240A1E-7553-42F3-8EFE-678381DA2AFE}" name="TOTAL F1" dataDxfId="254"/>
    <tableColumn id="7" xr3:uid="{01BB9EA3-26BE-49E0-AF4C-ACF18A78DE7E}" name="TOTAL F2" dataDxfId="253"/>
    <tableColumn id="8" xr3:uid="{B29C55B6-C58A-4AA0-AA45-24436FBEA621}" name="TOTAL F3" dataDxfId="252"/>
    <tableColumn id="9" xr3:uid="{CF2CB609-D2A0-4BCD-869D-676F4C3686DF}" name="TOTAL F4" dataDxfId="251"/>
    <tableColumn id="10" xr3:uid="{1CEA2F7C-27EF-4AD6-92B5-40520F9D88B4}" name="TOTAL F5" dataDxfId="250"/>
    <tableColumn id="11" xr3:uid="{B8BED2AD-53FC-494F-9E7F-69FA53AD8B00}" name="TOTAL F6" dataDxfId="249"/>
    <tableColumn id="12" xr3:uid="{9D8D0A28-05D6-49A7-AB35-25CC2E281FAC}" name="TOTAL F7" dataDxfId="248"/>
    <tableColumn id="13" xr3:uid="{D241B1A9-7E9C-45AD-ACCE-8C11FD2DD5C9}" name="TOTAL F8" dataDxfId="247"/>
    <tableColumn id="14" xr3:uid="{4B838424-6D48-44B2-AEEC-8F1BD4C00C08}" name="TOTAL F9" dataDxfId="246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A9AC89-48E7-423F-AF3F-A8B8675DA661}" name="Tabela9" displayName="Tabela9" ref="A1:D11" totalsRowShown="0" headerRowDxfId="245" dataDxfId="244">
  <tableColumns count="4">
    <tableColumn id="1" xr3:uid="{9F98560E-F742-41BE-BD14-B7C70F21E893}" name="PAVIMENTO" dataDxfId="243"/>
    <tableColumn id="2" xr3:uid="{823F41A1-19F6-4EEF-AF29-64D6865C40FE}" name="EXECUTADO" dataDxfId="242"/>
    <tableColumn id="3" xr3:uid="{B0173914-79F4-4C72-9552-6F9C286A0809}" name="PREVISTO" dataDxfId="175">
      <calculatedColumnFormula>SUM(#REF!/10)</calculatedColumnFormula>
    </tableColumn>
    <tableColumn id="4" xr3:uid="{8AF92E6B-CE55-41C8-A0A5-2C3A88EAF1BC}" name="%" dataDxfId="174" dataCellStyle="Porcentagem">
      <calculatedColumnFormula>Tabela9[[#This Row],[EXECUTADO]]/Tabela9[[#This Row],[PREVISTO]]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FA5322-9B7D-4246-948C-16F0C250AF20}" name="Tabela1" displayName="Tabela1" ref="A1:N21" totalsRowShown="0" headerRowDxfId="241" dataDxfId="240">
  <autoFilter ref="A1:N21" xr:uid="{70FA5322-9B7D-4246-948C-16F0C250AF20}"/>
  <tableColumns count="14">
    <tableColumn id="1" xr3:uid="{A4CE61AF-1F8F-435F-B164-8FDC1FC9D69E}" name="Nº Medição" dataDxfId="239">
      <calculatedColumnFormula>'1. Controle de Contrato'!C24</calculatedColumnFormula>
    </tableColumn>
    <tableColumn id="2" xr3:uid="{89780575-9EEC-4591-919C-9645BF3D695D}" name="Período" dataDxfId="238">
      <calculatedColumnFormula>'1. Controle de Contrato'!D24</calculatedColumnFormula>
    </tableColumn>
    <tableColumn id="3" xr3:uid="{3D64F987-CFF5-4207-9CA2-24E932AAC0BB}" name="Data" dataDxfId="237">
      <calculatedColumnFormula>'1. Controle de Contrato'!E24</calculatedColumnFormula>
    </tableColumn>
    <tableColumn id="4" xr3:uid="{ADC67E9E-FD82-4F84-AE3D-E565812ADDE2}" name="Nº NF" dataDxfId="236">
      <calculatedColumnFormula>'1. Controle de Contrato'!F24</calculatedColumnFormula>
    </tableColumn>
    <tableColumn id="5" xr3:uid="{669C3724-0E7C-4D58-BD17-F4CED29F50BC}" name="Valor Medição" dataDxfId="235" dataCellStyle="Moeda">
      <calculatedColumnFormula>'1. Controle de Contrato'!G24</calculatedColumnFormula>
    </tableColumn>
    <tableColumn id="6" xr3:uid="{EAED5CF5-2723-4A38-AECA-403067C60CF2}" name="Dedução Medição" dataDxfId="234" dataCellStyle="Moeda">
      <calculatedColumnFormula>'1. Controle de Contrato'!H24</calculatedColumnFormula>
    </tableColumn>
    <tableColumn id="7" xr3:uid="{5D95A7E2-3CAF-4233-9A3B-1FAEE94A0588}" name="Retenção Medição" dataDxfId="233">
      <calculatedColumnFormula>'1. Controle de Contrato'!I24</calculatedColumnFormula>
    </tableColumn>
    <tableColumn id="8" xr3:uid="{EB7770C4-2991-4087-BE0C-B4C96B515A4A}" name="Valor Medição Líquido" dataDxfId="232">
      <calculatedColumnFormula>'1. Controle de Contrato'!J24</calculatedColumnFormula>
    </tableColumn>
    <tableColumn id="9" xr3:uid="{4FAF0B29-F145-433A-850B-2EAFD16E6AD0}" name="Saldo Medição " dataDxfId="231">
      <calculatedColumnFormula>'1. Controle de Contrato'!K24</calculatedColumnFormula>
    </tableColumn>
    <tableColumn id="10" xr3:uid="{3EFC808D-22E6-425A-B342-94CCB18869F6}" name="Faturamento Direto" dataDxfId="230">
      <calculatedColumnFormula>'1. Controle de Contrato'!L24</calculatedColumnFormula>
    </tableColumn>
    <tableColumn id="11" xr3:uid="{9821C9F8-5863-4833-9FA9-DE60B35B52A9}" name="Saldo Faturamento Direto" dataDxfId="229" dataCellStyle="Moeda">
      <calculatedColumnFormula>'1. Controle de Contrato'!M24</calculatedColumnFormula>
    </tableColumn>
    <tableColumn id="12" xr3:uid="{D26F6817-29B3-4635-A88D-27C5A163607D}" name="Total Pago" dataDxfId="228">
      <calculatedColumnFormula>'1. Controle de Contrato'!N24</calculatedColumnFormula>
    </tableColumn>
    <tableColumn id="13" xr3:uid="{13D656C1-8C0D-4064-B300-22C9D24E10BD}" name="Saldo Contratual" dataDxfId="227">
      <calculatedColumnFormula>'1. Controle de Contrato'!O24</calculatedColumnFormula>
    </tableColumn>
    <tableColumn id="14" xr3:uid="{11D9DAC6-623A-43EC-AD5A-7B27CDD8E77E}" name="Status" dataDxfId="226" dataCellStyle="Vírgula">
      <calculatedColumnFormula>'1. Controle de Contrato'!P24</calculatedColumnFormula>
    </tableColumn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CCB543-E750-4222-9E00-7A3BBDE4B3A3}" name="Tabela573" displayName="Tabela573" ref="A1:B11" totalsRowShown="0" headerRowDxfId="225" dataDxfId="224">
  <tableColumns count="2">
    <tableColumn id="1" xr3:uid="{82DC75B2-7909-4A8C-A8BC-8E3BEE9D8940}" name="MEDIÇÃO" dataDxfId="223"/>
    <tableColumn id="2" xr3:uid="{DAD18BEE-3EBC-4463-AED7-BECDF85E94F7}" name="EXECUTADO" dataDxfId="222">
      <calculatedColumnFormula>SUM(tbBoletim!M2:M15)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98CD08-8293-43E6-B3EC-B8DF54351900}" name="tbBoletimMedicao" displayName="tbBoletimMedicao" ref="A1:AF21" headerRowDxfId="221" dataDxfId="220" totalsRowDxfId="219">
  <tableColumns count="32">
    <tableColumn id="2" xr3:uid="{31442024-F775-4FB6-9C18-B8EF3C75698B}" name="ITEM" dataDxfId="218"/>
    <tableColumn id="3" xr3:uid="{3B9AF64E-5A65-4597-AAFD-F33E04303D25}" name="CÓDIGO TAREFA" dataDxfId="217">
      <calculatedColumnFormula>'2. Boletim de Medição'!C17</calculatedColumnFormula>
    </tableColumn>
    <tableColumn id="4" xr3:uid="{0EC88867-7A10-489F-B44C-A5777BC58675}" name="DESCRIÇÃO DO ITEM" dataDxfId="216"/>
    <tableColumn id="5" xr3:uid="{6D8A0078-A06E-42CB-A827-F58B4FA00C39}" name="UNIDADE" dataDxfId="215"/>
    <tableColumn id="6" xr3:uid="{7EF743CF-3028-4487-9806-AEBFE5D8B9D3}" name="QUANTIDADE" dataDxfId="214"/>
    <tableColumn id="7" xr3:uid="{E3C1955F-D170-4F36-8CB7-60FADDA7A753}" name="UNITÁRIO" dataDxfId="213"/>
    <tableColumn id="8" xr3:uid="{3BF326B5-AC19-43D8-85C6-BF23E9E01BF2}" name="PESO" dataDxfId="212"/>
    <tableColumn id="9" xr3:uid="{979E5E79-DCAB-41D6-B0BE-2C88EEE90C5E}" name="TOTAL" dataDxfId="211"/>
    <tableColumn id="12" xr3:uid="{FBCB76D6-788C-4497-831D-A47430248706}" name="TOTAL MEDIDO" dataDxfId="210"/>
    <tableColumn id="13" xr3:uid="{D94686CA-4B2E-4751-9867-097414C06EE6}" name="VALOR MEDIDO" dataDxfId="209"/>
    <tableColumn id="15" xr3:uid="{CDAAA1E8-D630-4E56-BB31-1C940EFD9D16}" name="SALDO" dataDxfId="208"/>
    <tableColumn id="16" xr3:uid="{5942372D-543A-4EA5-A5CC-BB2327E1E702}" name="VALOR SALDO" dataDxfId="207"/>
    <tableColumn id="17" xr3:uid="{9EBE94C8-A76A-4EFF-93C8-0244ED2DEEA3}" name="MEDIÇÃO 1" dataDxfId="206">
      <calculatedColumnFormula>'2. Boletim de Medição'!S17</calculatedColumnFormula>
    </tableColumn>
    <tableColumn id="18" xr3:uid="{2012BF3C-A378-4490-9764-71DD685E32F8}" name="VALOR MEDIÇÃO 1" dataDxfId="205">
      <calculatedColumnFormula>'2. Boletim de Medição'!T17</calculatedColumnFormula>
    </tableColumn>
    <tableColumn id="19" xr3:uid="{71919182-70E8-4772-A42D-3DE9F2C8B36E}" name="MEDIÇÃO 2" dataDxfId="204"/>
    <tableColumn id="20" xr3:uid="{1970500D-0F55-4610-A7AB-BFF498F672AC}" name="VALOR MEDIÇÃO 2" dataDxfId="203"/>
    <tableColumn id="21" xr3:uid="{32B40295-1CD7-4895-91AD-5E4BA2D8A636}" name="MEDIÇÃO 3" dataDxfId="202">
      <calculatedColumnFormula>'2. Boletim de Medição'!Z17</calculatedColumnFormula>
    </tableColumn>
    <tableColumn id="22" xr3:uid="{4CC1C3BD-FA2B-4185-9DA6-B9B47FE8892A}" name="VALOR MEDIÇÃO 3" dataDxfId="201"/>
    <tableColumn id="23" xr3:uid="{A87FBC9D-1BA1-4BC9-A25F-414CDE4A8BBE}" name="MEDIÇÃO 4" dataDxfId="200"/>
    <tableColumn id="24" xr3:uid="{0764289B-CB15-4B6B-9AB1-EC53280AFEE6}" name="VALOR MEDIÇÃO 4" dataDxfId="199">
      <calculatedColumnFormula>'2. Boletim de Medição'!AD17</calculatedColumnFormula>
    </tableColumn>
    <tableColumn id="25" xr3:uid="{4B109160-D464-4547-B237-397D0EFCD2E7}" name="MEDIÇÃO 5" dataDxfId="198">
      <calculatedColumnFormula>'2. Boletim de Medição'!AF17</calculatedColumnFormula>
    </tableColumn>
    <tableColumn id="26" xr3:uid="{8CBF0495-A302-4A14-A105-A21450ECF9B0}" name="VALOR MEDIÇÃO 5" dataDxfId="197">
      <calculatedColumnFormula>'2. Boletim de Medição'!AG17</calculatedColumnFormula>
    </tableColumn>
    <tableColumn id="27" xr3:uid="{9808539F-4AC8-465C-9A13-BC22D9163A41}" name="MEDIÇÃO 6" dataDxfId="196"/>
    <tableColumn id="28" xr3:uid="{2EF8F563-D1E4-4379-BD30-AF2A811393F8}" name="VALOR MEDIÇÃO 6" dataDxfId="195">
      <calculatedColumnFormula>'2. Boletim de Medição'!AJ17</calculatedColumnFormula>
    </tableColumn>
    <tableColumn id="29" xr3:uid="{2F67EFB2-6DAC-4FED-BEE1-6FAC7A27FB24}" name="MEDIÇÃO 7" dataDxfId="194">
      <calculatedColumnFormula>'2. Boletim de Medição'!AL17</calculatedColumnFormula>
    </tableColumn>
    <tableColumn id="30" xr3:uid="{1FBFC709-51DF-48BB-9A0A-DAB270DB39D2}" name="VALOR MEDIÇÃO 7" dataDxfId="193"/>
    <tableColumn id="31" xr3:uid="{A96A1847-047B-4498-A780-2CB8DFCC1875}" name="MEDIÇÃO 8" dataDxfId="192">
      <calculatedColumnFormula>'2. Boletim de Medição'!AO17</calculatedColumnFormula>
    </tableColumn>
    <tableColumn id="32" xr3:uid="{BF89CBEB-AD09-4CCE-ADE3-2B9081878CFE}" name="VALOR MEDIÇÃO 8" dataDxfId="191">
      <calculatedColumnFormula>'2. Boletim de Medição'!AP17</calculatedColumnFormula>
    </tableColumn>
    <tableColumn id="33" xr3:uid="{CE1FB33D-9923-4FDD-A8FD-A2B78B5B2EDB}" name="MEDIÇÃO 9" dataDxfId="190"/>
    <tableColumn id="34" xr3:uid="{A0C31B7F-F102-4EC8-8281-33A01DA0CE5B}" name="VALOR MEDIÇÃO 9" dataDxfId="189">
      <calculatedColumnFormula>'2. Boletim de Medição'!AS17</calculatedColumnFormula>
    </tableColumn>
    <tableColumn id="35" xr3:uid="{FA34200D-62E5-4655-9B88-8AF96DDC750F}" name="MEDIÇÃO 10" dataDxfId="188">
      <calculatedColumnFormula>'2. Boletim de Medição'!AU17</calculatedColumnFormula>
    </tableColumn>
    <tableColumn id="36" xr3:uid="{879452CF-1C34-48FD-A114-55E9E186D6D6}" name="VALOR MEDIÇÃO 10" dataDxfId="187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1B6942-1331-431A-B8D5-4FBB9824C3B2}" name="Tabela4" displayName="Tabela4" ref="A1:I7" totalsRowShown="0" headerRowDxfId="186" dataDxfId="185">
  <tableColumns count="9">
    <tableColumn id="1" xr3:uid="{2D180BCF-0A73-4093-9437-5CE414EB855D}" name="ITEM" dataDxfId="184">
      <calculatedColumnFormula>'3. Faturamento Direto'!B17</calculatedColumnFormula>
    </tableColumn>
    <tableColumn id="2" xr3:uid="{EF2DB609-0BDF-426E-A6D2-634AC803442E}" name="CÓDIGO TAREFA" dataDxfId="183">
      <calculatedColumnFormula>'3. Faturamento Direto'!C17</calculatedColumnFormula>
    </tableColumn>
    <tableColumn id="3" xr3:uid="{DDCF26A1-9F25-4141-B718-6CAE19302185}" name="DESCRIÇÃO DO ITEM" dataDxfId="182">
      <calculatedColumnFormula>'3. Faturamento Direto'!D17</calculatedColumnFormula>
    </tableColumn>
    <tableColumn id="7" xr3:uid="{87B88992-B3D2-40D8-824E-205D58EB58D4}" name="PESO" dataDxfId="181" dataCellStyle="Porcentagem">
      <calculatedColumnFormula>'3. Faturamento Direto'!H17</calculatedColumnFormula>
    </tableColumn>
    <tableColumn id="8" xr3:uid="{B69E62D1-D041-4D1B-A921-BBE9EDA05662}" name="TOTAL" dataDxfId="180" dataCellStyle="Moeda">
      <calculatedColumnFormula>'3. Faturamento Direto'!I17</calculatedColumnFormula>
    </tableColumn>
    <tableColumn id="9" xr3:uid="{9D106FCF-5E11-4526-A9A1-91FFEDED876E}" name="TOTAL MEDIDO" dataDxfId="179">
      <calculatedColumnFormula>'3. Faturamento Direto'!L17</calculatedColumnFormula>
    </tableColumn>
    <tableColumn id="10" xr3:uid="{2912EC5B-CAFE-4C83-B97B-1E56D0273C39}" name="QUANTIDADE" dataDxfId="178" dataCellStyle="Porcentagem">
      <calculatedColumnFormula>'3. Faturamento Direto'!N17</calculatedColumnFormula>
    </tableColumn>
    <tableColumn id="11" xr3:uid="{517A38D6-4F45-4DCF-A750-99D55C0D6847}" name="SALDO" dataDxfId="177">
      <calculatedColumnFormula>'3. Faturamento Direto'!O17</calculatedColumnFormula>
    </tableColumn>
    <tableColumn id="12" xr3:uid="{89ADF33F-7D03-466E-A346-7F0D345A61E2}" name="MEDIÇÃO 1" dataDxfId="176" dataCellStyle="Moeda">
      <calculatedColumnFormula>'3. Faturamento Direto'!Q17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1FBFFB-2AB7-4ACE-8155-71BB1931DB1E}" name="Tabela108" displayName="Tabela108" ref="AS108:AS109" totalsRowShown="0" headerRowDxfId="166" dataDxfId="165">
  <tableColumns count="1">
    <tableColumn id="1" xr3:uid="{AE043E44-C6C9-4287-B677-CE6F50725CE9}" name="PREVISTO TOTAL" dataDxfId="167">
      <calculatedColumnFormula>SUM(F18:F22)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8F02-ED45-4A2F-A188-E379C8CE224A}">
  <sheetPr codeName="Planilha1"/>
  <dimension ref="A1:U17"/>
  <sheetViews>
    <sheetView topLeftCell="I1" workbookViewId="0">
      <selection activeCell="T9" sqref="T9"/>
    </sheetView>
  </sheetViews>
  <sheetFormatPr defaultRowHeight="14.5" x14ac:dyDescent="0.35"/>
  <cols>
    <col min="1" max="1" width="17" bestFit="1" customWidth="1"/>
    <col min="2" max="2" width="11.36328125" bestFit="1" customWidth="1"/>
    <col min="3" max="3" width="7.26953125" bestFit="1" customWidth="1"/>
    <col min="5" max="5" width="17" bestFit="1" customWidth="1"/>
    <col min="6" max="6" width="14.1796875" bestFit="1" customWidth="1"/>
    <col min="8" max="8" width="17" bestFit="1" customWidth="1"/>
    <col min="9" max="9" width="9.90625" bestFit="1" customWidth="1"/>
    <col min="11" max="11" width="17" bestFit="1" customWidth="1"/>
    <col min="12" max="13" width="11.08984375" bestFit="1" customWidth="1"/>
    <col min="15" max="15" width="17" bestFit="1" customWidth="1"/>
    <col min="16" max="16" width="11.08984375" bestFit="1" customWidth="1"/>
    <col min="17" max="17" width="12" bestFit="1" customWidth="1"/>
    <col min="19" max="19" width="17" bestFit="1" customWidth="1"/>
  </cols>
  <sheetData>
    <row r="1" spans="1:21" x14ac:dyDescent="0.35">
      <c r="A1" s="378" t="s">
        <v>217</v>
      </c>
      <c r="B1" s="378"/>
      <c r="C1" s="378"/>
      <c r="E1" s="378" t="s">
        <v>223</v>
      </c>
      <c r="F1" s="378"/>
      <c r="H1" s="378" t="s">
        <v>228</v>
      </c>
      <c r="I1" s="378"/>
      <c r="K1" s="378" t="s">
        <v>230</v>
      </c>
      <c r="L1" s="378"/>
      <c r="M1" s="378"/>
      <c r="O1" s="378" t="s">
        <v>233</v>
      </c>
      <c r="P1" s="378"/>
      <c r="Q1" s="378"/>
      <c r="S1" s="378" t="s">
        <v>225</v>
      </c>
      <c r="T1" s="378"/>
      <c r="U1" s="378"/>
    </row>
    <row r="2" spans="1:21" x14ac:dyDescent="0.35">
      <c r="A2" s="351" t="s">
        <v>212</v>
      </c>
      <c r="B2" t="s">
        <v>216</v>
      </c>
      <c r="E2" s="351" t="s">
        <v>212</v>
      </c>
      <c r="F2" t="s">
        <v>222</v>
      </c>
      <c r="H2" s="351" t="s">
        <v>212</v>
      </c>
      <c r="I2" t="s">
        <v>229</v>
      </c>
      <c r="K2" s="351" t="s">
        <v>212</v>
      </c>
      <c r="L2" t="s">
        <v>214</v>
      </c>
      <c r="M2" t="s">
        <v>231</v>
      </c>
      <c r="O2" s="351" t="s">
        <v>212</v>
      </c>
      <c r="P2" t="s">
        <v>234</v>
      </c>
      <c r="S2" s="351" t="s">
        <v>212</v>
      </c>
      <c r="T2" t="s">
        <v>244</v>
      </c>
      <c r="U2" t="s">
        <v>245</v>
      </c>
    </row>
    <row r="3" spans="1:21" x14ac:dyDescent="0.35">
      <c r="A3" s="349">
        <v>46014</v>
      </c>
      <c r="B3" s="335">
        <v>4.4680904854336206E-2</v>
      </c>
      <c r="E3" s="352" t="s">
        <v>219</v>
      </c>
      <c r="F3" s="337">
        <v>270307</v>
      </c>
      <c r="H3" s="352" t="s">
        <v>249</v>
      </c>
      <c r="I3" s="359">
        <v>1.4463161476944018E-2</v>
      </c>
      <c r="K3" s="358">
        <v>45951</v>
      </c>
      <c r="L3" s="334">
        <v>2195.1999999999998</v>
      </c>
      <c r="M3" s="334">
        <v>2195.1999999999998</v>
      </c>
      <c r="O3" s="352" t="s">
        <v>235</v>
      </c>
      <c r="P3" s="398">
        <v>235.3599999999999</v>
      </c>
      <c r="S3" s="352">
        <v>1</v>
      </c>
      <c r="T3" s="398">
        <v>11754</v>
      </c>
      <c r="U3" s="398">
        <v>2136</v>
      </c>
    </row>
    <row r="4" spans="1:21" x14ac:dyDescent="0.35">
      <c r="A4" s="349">
        <v>45951</v>
      </c>
      <c r="B4" s="335">
        <v>9.9100819964549669E-2</v>
      </c>
      <c r="E4" s="352" t="s">
        <v>221</v>
      </c>
      <c r="F4" s="337">
        <v>18921.490000000002</v>
      </c>
      <c r="H4" s="352" t="s">
        <v>252</v>
      </c>
      <c r="I4" s="359">
        <v>3.9135613408201458E-2</v>
      </c>
      <c r="K4" s="358">
        <v>45985</v>
      </c>
      <c r="L4" s="334">
        <v>3271.05</v>
      </c>
      <c r="M4" s="334">
        <v>5466.25</v>
      </c>
      <c r="O4" s="352" t="s">
        <v>237</v>
      </c>
      <c r="P4" s="398">
        <v>337</v>
      </c>
      <c r="S4" s="352">
        <v>2</v>
      </c>
      <c r="T4" s="398">
        <v>23508</v>
      </c>
      <c r="U4" s="398">
        <v>3541</v>
      </c>
    </row>
    <row r="5" spans="1:21" x14ac:dyDescent="0.35">
      <c r="A5" s="349">
        <v>46139</v>
      </c>
      <c r="B5" s="335">
        <v>0.11182586076614297</v>
      </c>
      <c r="E5" s="352" t="s">
        <v>220</v>
      </c>
      <c r="F5" s="337">
        <v>0</v>
      </c>
      <c r="H5" s="352" t="s">
        <v>253</v>
      </c>
      <c r="I5" s="359">
        <v>4.7643355453462648E-2</v>
      </c>
      <c r="K5" s="358">
        <v>46014</v>
      </c>
      <c r="L5" s="334">
        <v>1315.9299999999998</v>
      </c>
      <c r="M5" s="334">
        <v>6782.18</v>
      </c>
      <c r="O5" s="352" t="s">
        <v>238</v>
      </c>
      <c r="P5" s="398">
        <v>353</v>
      </c>
      <c r="S5" s="352">
        <v>3</v>
      </c>
      <c r="T5" s="398">
        <v>35262</v>
      </c>
      <c r="U5" s="398">
        <v>4337</v>
      </c>
    </row>
    <row r="6" spans="1:21" x14ac:dyDescent="0.35">
      <c r="A6" s="349">
        <v>45985</v>
      </c>
      <c r="B6" s="335">
        <v>0.24315783264183646</v>
      </c>
      <c r="E6" s="334" t="s">
        <v>213</v>
      </c>
      <c r="F6" s="337">
        <v>289228.49</v>
      </c>
      <c r="H6" s="352" t="s">
        <v>250</v>
      </c>
      <c r="I6" s="359">
        <v>7.2315807384720085E-2</v>
      </c>
      <c r="K6" s="358">
        <v>46134</v>
      </c>
      <c r="L6" s="334">
        <v>829.79</v>
      </c>
      <c r="M6" s="334">
        <v>7611.97</v>
      </c>
      <c r="O6" s="352" t="s">
        <v>236</v>
      </c>
      <c r="P6" s="398">
        <v>2393.3199999999997</v>
      </c>
      <c r="S6" s="352">
        <v>4</v>
      </c>
      <c r="T6" s="398">
        <v>47016</v>
      </c>
      <c r="U6" s="398">
        <v>5166.79</v>
      </c>
    </row>
    <row r="7" spans="1:21" x14ac:dyDescent="0.35">
      <c r="A7" s="349">
        <v>46134</v>
      </c>
      <c r="B7" s="335">
        <v>0.2605431036177881</v>
      </c>
      <c r="H7" s="352" t="s">
        <v>247</v>
      </c>
      <c r="I7" s="359">
        <v>7.74204526118768E-2</v>
      </c>
      <c r="K7" s="358">
        <v>46139</v>
      </c>
      <c r="L7" s="334">
        <v>265.2</v>
      </c>
      <c r="M7" s="334">
        <v>7877.17</v>
      </c>
      <c r="O7" s="352" t="s">
        <v>239</v>
      </c>
      <c r="P7" s="398">
        <v>5942.8</v>
      </c>
      <c r="S7" s="352">
        <v>5</v>
      </c>
      <c r="T7" s="398">
        <v>58770</v>
      </c>
      <c r="U7" s="398">
        <v>5222.79</v>
      </c>
    </row>
    <row r="8" spans="1:21" x14ac:dyDescent="0.35">
      <c r="A8" s="334" t="s">
        <v>213</v>
      </c>
      <c r="B8" s="335">
        <v>0.75930852184465336</v>
      </c>
      <c r="H8" s="352" t="s">
        <v>248</v>
      </c>
      <c r="I8" s="359">
        <v>8.8480517270716347E-2</v>
      </c>
      <c r="K8" s="334" t="s">
        <v>213</v>
      </c>
      <c r="L8" s="334">
        <v>7877.17</v>
      </c>
      <c r="M8" s="334"/>
      <c r="O8" s="334" t="s">
        <v>213</v>
      </c>
      <c r="P8" s="398">
        <v>9261.48</v>
      </c>
      <c r="S8" s="352">
        <v>6</v>
      </c>
      <c r="T8" s="398">
        <v>70524</v>
      </c>
      <c r="U8" s="398">
        <v>5222.79</v>
      </c>
    </row>
    <row r="9" spans="1:21" x14ac:dyDescent="0.35">
      <c r="H9" s="352" t="s">
        <v>251</v>
      </c>
      <c r="I9" s="359">
        <v>0.13952696954228347</v>
      </c>
      <c r="S9" s="352">
        <v>7</v>
      </c>
      <c r="T9" s="398">
        <v>82278</v>
      </c>
      <c r="U9" s="398">
        <v>5222.79</v>
      </c>
    </row>
    <row r="10" spans="1:21" x14ac:dyDescent="0.35">
      <c r="H10" s="352" t="s">
        <v>255</v>
      </c>
      <c r="I10" s="359">
        <v>0.14378084056491405</v>
      </c>
      <c r="K10" s="351" t="s">
        <v>212</v>
      </c>
      <c r="L10" t="s">
        <v>262</v>
      </c>
      <c r="S10" s="352">
        <v>8</v>
      </c>
      <c r="T10" s="398">
        <v>94032</v>
      </c>
      <c r="U10" s="398">
        <v>5222.79</v>
      </c>
    </row>
    <row r="11" spans="1:21" x14ac:dyDescent="0.35">
      <c r="H11" s="352" t="s">
        <v>254</v>
      </c>
      <c r="I11" s="359">
        <v>0.15228858261017525</v>
      </c>
      <c r="K11" s="352"/>
      <c r="L11" s="398">
        <v>10</v>
      </c>
      <c r="S11" s="352">
        <v>9</v>
      </c>
      <c r="T11" s="398">
        <v>105786</v>
      </c>
      <c r="U11" s="398">
        <v>5222.79</v>
      </c>
    </row>
    <row r="12" spans="1:21" x14ac:dyDescent="0.35">
      <c r="H12" s="352" t="s">
        <v>256</v>
      </c>
      <c r="I12" s="359">
        <v>0.2164369576314446</v>
      </c>
      <c r="K12" s="352" t="s">
        <v>257</v>
      </c>
      <c r="L12" s="398">
        <v>10</v>
      </c>
      <c r="S12" s="352">
        <v>10</v>
      </c>
      <c r="T12" s="398">
        <v>117540</v>
      </c>
      <c r="U12" s="398">
        <v>5222.79</v>
      </c>
    </row>
    <row r="13" spans="1:21" x14ac:dyDescent="0.35">
      <c r="H13" s="334" t="s">
        <v>213</v>
      </c>
      <c r="I13" s="359">
        <v>0.99149225795473872</v>
      </c>
      <c r="K13" s="352" t="s">
        <v>258</v>
      </c>
      <c r="L13" s="398">
        <v>10</v>
      </c>
      <c r="S13" s="334" t="s">
        <v>213</v>
      </c>
      <c r="T13" s="398">
        <v>646470</v>
      </c>
      <c r="U13" s="398">
        <v>46517.53</v>
      </c>
    </row>
    <row r="14" spans="1:21" x14ac:dyDescent="0.35">
      <c r="K14" s="352" t="s">
        <v>259</v>
      </c>
      <c r="L14" s="398">
        <v>10</v>
      </c>
    </row>
    <row r="15" spans="1:21" x14ac:dyDescent="0.35">
      <c r="K15" s="352" t="s">
        <v>260</v>
      </c>
      <c r="L15" s="398">
        <v>10</v>
      </c>
    </row>
    <row r="16" spans="1:21" x14ac:dyDescent="0.35">
      <c r="K16" s="352" t="s">
        <v>261</v>
      </c>
      <c r="L16" s="398">
        <v>10</v>
      </c>
    </row>
    <row r="17" spans="11:12" x14ac:dyDescent="0.35">
      <c r="K17" s="334" t="s">
        <v>213</v>
      </c>
      <c r="L17" s="398">
        <v>10</v>
      </c>
    </row>
  </sheetData>
  <mergeCells count="6">
    <mergeCell ref="S1:U1"/>
    <mergeCell ref="A1:C1"/>
    <mergeCell ref="E1:F1"/>
    <mergeCell ref="H1:I1"/>
    <mergeCell ref="K1:M1"/>
    <mergeCell ref="O1:Q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A47E-B880-46E2-8F44-84A340C16676}">
  <sheetPr codeName="Planilha2"/>
  <dimension ref="A1:F13"/>
  <sheetViews>
    <sheetView workbookViewId="0">
      <selection activeCell="E16" sqref="E16"/>
    </sheetView>
  </sheetViews>
  <sheetFormatPr defaultRowHeight="14.5" x14ac:dyDescent="0.35"/>
  <cols>
    <col min="1" max="1" width="10.453125" style="334" bestFit="1" customWidth="1"/>
    <col min="2" max="2" width="10.453125" style="334" customWidth="1"/>
    <col min="3" max="3" width="9" style="334" bestFit="1" customWidth="1"/>
    <col min="4" max="4" width="10.26953125" style="334" bestFit="1" customWidth="1"/>
    <col min="5" max="5" width="15.36328125" style="334" customWidth="1"/>
    <col min="6" max="6" width="17.1796875" style="334" bestFit="1" customWidth="1"/>
  </cols>
  <sheetData>
    <row r="1" spans="1:6" x14ac:dyDescent="0.35">
      <c r="A1" s="334" t="s">
        <v>243</v>
      </c>
      <c r="B1" s="334" t="s">
        <v>122</v>
      </c>
      <c r="C1" s="334" t="s">
        <v>225</v>
      </c>
      <c r="D1" s="334" t="s">
        <v>241</v>
      </c>
      <c r="E1" s="334" t="s">
        <v>240</v>
      </c>
      <c r="F1" s="334" t="s">
        <v>242</v>
      </c>
    </row>
    <row r="2" spans="1:6" x14ac:dyDescent="0.35">
      <c r="A2" s="334">
        <v>1</v>
      </c>
      <c r="B2" s="349">
        <f>Tabela57[[#This Row],[DATA]]</f>
        <v>45951</v>
      </c>
      <c r="C2" s="354">
        <v>11754</v>
      </c>
      <c r="D2" s="334">
        <f>Tabela573[[#This Row],[EXECUTADO]]</f>
        <v>2136</v>
      </c>
      <c r="E2" s="354">
        <f>Tabela51112[[#This Row],[PREVISTO]]</f>
        <v>11754</v>
      </c>
      <c r="F2" s="354">
        <f>SUM(F1,Tabela573[[#This Row],[EXECUTADO]])</f>
        <v>2136</v>
      </c>
    </row>
    <row r="3" spans="1:6" x14ac:dyDescent="0.35">
      <c r="A3" s="334">
        <v>2</v>
      </c>
      <c r="B3" s="349">
        <f>Tabela57[[#This Row],[DATA]]</f>
        <v>45985</v>
      </c>
      <c r="C3" s="354">
        <v>11754</v>
      </c>
      <c r="D3" s="334">
        <f>Tabela573[[#This Row],[EXECUTADO]]</f>
        <v>1405</v>
      </c>
      <c r="E3" s="354">
        <f>Tabela51112[[#This Row],[PREVISTO]]+C2</f>
        <v>23508</v>
      </c>
      <c r="F3" s="354">
        <f>SUM(D2:D3)</f>
        <v>3541</v>
      </c>
    </row>
    <row r="4" spans="1:6" x14ac:dyDescent="0.35">
      <c r="A4" s="334">
        <v>3</v>
      </c>
      <c r="B4" s="349">
        <f>Tabela57[[#This Row],[DATA]]</f>
        <v>46014</v>
      </c>
      <c r="C4" s="354">
        <v>11754</v>
      </c>
      <c r="D4" s="334">
        <f>Tabela573[[#This Row],[EXECUTADO]]</f>
        <v>796</v>
      </c>
      <c r="E4" s="354">
        <f>Tabela51112[[#This Row],[PREVISTO]]+C2+C3</f>
        <v>35262</v>
      </c>
      <c r="F4" s="354">
        <f>SUM(D2:D4)</f>
        <v>4337</v>
      </c>
    </row>
    <row r="5" spans="1:6" x14ac:dyDescent="0.35">
      <c r="A5" s="334">
        <v>4</v>
      </c>
      <c r="B5" s="349">
        <f>Tabela57[[#This Row],[DATA]]</f>
        <v>46134</v>
      </c>
      <c r="C5" s="354">
        <v>11754</v>
      </c>
      <c r="D5" s="334">
        <f>Tabela573[[#This Row],[EXECUTADO]]</f>
        <v>829.79</v>
      </c>
      <c r="E5" s="354">
        <f>Tabela51112[[#This Row],[PREVISTO]]+C4+C3+C2</f>
        <v>47016</v>
      </c>
      <c r="F5" s="354">
        <f>SUM(D2:D5)</f>
        <v>5166.79</v>
      </c>
    </row>
    <row r="6" spans="1:6" x14ac:dyDescent="0.35">
      <c r="A6" s="334">
        <v>5</v>
      </c>
      <c r="B6" s="349">
        <f>Tabela57[[#This Row],[DATA]]</f>
        <v>46139</v>
      </c>
      <c r="C6" s="354">
        <v>11754</v>
      </c>
      <c r="D6" s="334">
        <f>Tabela573[[#This Row],[EXECUTADO]]</f>
        <v>56</v>
      </c>
      <c r="E6" s="354">
        <f>Tabela51112[[#This Row],[PREVISTO]]+C5+C4+C3+C2</f>
        <v>58770</v>
      </c>
      <c r="F6" s="354">
        <f>SUM(D2:D6)</f>
        <v>5222.79</v>
      </c>
    </row>
    <row r="7" spans="1:6" x14ac:dyDescent="0.35">
      <c r="A7" s="334">
        <v>6</v>
      </c>
      <c r="C7" s="354">
        <v>11754</v>
      </c>
      <c r="D7" s="334" t="str">
        <f>Tabela573[[#This Row],[EXECUTADO]]</f>
        <v/>
      </c>
      <c r="E7" s="354">
        <f>SUM(E6,C6)</f>
        <v>70524</v>
      </c>
      <c r="F7" s="354">
        <f>SUM(D2:D7)</f>
        <v>5222.79</v>
      </c>
    </row>
    <row r="8" spans="1:6" x14ac:dyDescent="0.35">
      <c r="A8" s="334">
        <v>7</v>
      </c>
      <c r="C8" s="354">
        <v>11754</v>
      </c>
      <c r="D8" s="334" t="str">
        <f>Tabela573[[#This Row],[EXECUTADO]]</f>
        <v/>
      </c>
      <c r="E8" s="354">
        <f t="shared" ref="E8:E11" si="0">SUM(E7,C7)</f>
        <v>82278</v>
      </c>
      <c r="F8" s="354">
        <f>SUM(D2:D8)</f>
        <v>5222.79</v>
      </c>
    </row>
    <row r="9" spans="1:6" x14ac:dyDescent="0.35">
      <c r="A9" s="334">
        <v>8</v>
      </c>
      <c r="C9" s="354">
        <v>11754</v>
      </c>
      <c r="D9" s="334" t="str">
        <f>Tabela573[[#This Row],[EXECUTADO]]</f>
        <v/>
      </c>
      <c r="E9" s="354">
        <f t="shared" si="0"/>
        <v>94032</v>
      </c>
      <c r="F9" s="354">
        <f>SUM(D2:D9)</f>
        <v>5222.79</v>
      </c>
    </row>
    <row r="10" spans="1:6" x14ac:dyDescent="0.35">
      <c r="A10" s="334">
        <v>9</v>
      </c>
      <c r="C10" s="354">
        <v>11754</v>
      </c>
      <c r="D10" s="360" t="str">
        <f>Tabela573[[#This Row],[EXECUTADO]]</f>
        <v/>
      </c>
      <c r="E10" s="354">
        <f t="shared" si="0"/>
        <v>105786</v>
      </c>
      <c r="F10" s="354">
        <f>SUM(D2:D10)</f>
        <v>5222.79</v>
      </c>
    </row>
    <row r="11" spans="1:6" x14ac:dyDescent="0.35">
      <c r="A11" s="334">
        <v>10</v>
      </c>
      <c r="C11" s="354">
        <v>11754</v>
      </c>
      <c r="D11" s="360" t="str">
        <f>Tabela573[[#This Row],[EXECUTADO]]</f>
        <v/>
      </c>
      <c r="E11" s="354">
        <f t="shared" si="0"/>
        <v>117540</v>
      </c>
      <c r="F11" s="354">
        <f>SUM(Tabela51112[REALIZADO])</f>
        <v>5222.79</v>
      </c>
    </row>
    <row r="12" spans="1:6" x14ac:dyDescent="0.35">
      <c r="C12" s="356"/>
      <c r="D12" s="356"/>
    </row>
    <row r="13" spans="1:6" x14ac:dyDescent="0.35">
      <c r="C13" s="356"/>
      <c r="D13" s="356"/>
    </row>
  </sheetData>
  <pageMargins left="0.511811024" right="0.511811024" top="0.78740157499999996" bottom="0.78740157499999996" header="0.31496062000000002" footer="0.31496062000000002"/>
  <ignoredErrors>
    <ignoredError sqref="E3:E6 E7:E11 F3:F12" calculatedColumn="1"/>
    <ignoredError xmlns:x16r3="http://schemas.microsoft.com/office/spreadsheetml/2018/08/main" sqref="A12" x16r3:misleadingForma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0FFC-A76D-4702-9E78-953B07DCAD3B}">
  <sheetPr codeName="Planilha3"/>
  <dimension ref="A1:C14"/>
  <sheetViews>
    <sheetView workbookViewId="0">
      <selection activeCell="C5" sqref="C5"/>
    </sheetView>
  </sheetViews>
  <sheetFormatPr defaultRowHeight="14.5" x14ac:dyDescent="0.35"/>
  <cols>
    <col min="1" max="1" width="8.7265625" style="334"/>
    <col min="2" max="2" width="50.26953125" style="334" bestFit="1" customWidth="1"/>
  </cols>
  <sheetData>
    <row r="1" spans="1:3" x14ac:dyDescent="0.35">
      <c r="A1" s="334" t="s">
        <v>195</v>
      </c>
      <c r="B1" s="334" t="s">
        <v>196</v>
      </c>
      <c r="C1" s="334" t="s">
        <v>232</v>
      </c>
    </row>
    <row r="2" spans="1:3" x14ac:dyDescent="0.35">
      <c r="A2" s="334" t="s">
        <v>57</v>
      </c>
      <c r="B2" s="334" t="s">
        <v>235</v>
      </c>
      <c r="C2" s="323">
        <f>SUM(tbBoletim!E3)-SUM(Tabela5[[#This Row],[TOTAL F0]:[TOTAL F9]])</f>
        <v>235.3599999999999</v>
      </c>
    </row>
    <row r="3" spans="1:3" x14ac:dyDescent="0.35">
      <c r="A3" s="334" t="s">
        <v>58</v>
      </c>
      <c r="B3" s="334" t="s">
        <v>236</v>
      </c>
      <c r="C3" s="323">
        <f>SUM(tbBoletim!E4)-SUM(Tabela5[[#This Row],[TOTAL F0]:[TOTAL F9]])</f>
        <v>2393.3199999999997</v>
      </c>
    </row>
    <row r="4" spans="1:3" x14ac:dyDescent="0.35">
      <c r="A4" s="334" t="s">
        <v>91</v>
      </c>
      <c r="B4" s="334" t="s">
        <v>237</v>
      </c>
      <c r="C4" s="323">
        <f>SUM(tbBoletim!E5)-SUM(Tabela5[[#This Row],[TOTAL F0]:[TOTAL F9]])</f>
        <v>337</v>
      </c>
    </row>
    <row r="5" spans="1:3" x14ac:dyDescent="0.35">
      <c r="A5" s="334" t="s">
        <v>92</v>
      </c>
      <c r="B5" s="334" t="s">
        <v>238</v>
      </c>
      <c r="C5" s="323">
        <f>SUM(tbBoletim!E6)-SUM(Tabela5[[#This Row],[TOTAL F0]:[TOTAL F9]])</f>
        <v>353</v>
      </c>
    </row>
    <row r="6" spans="1:3" x14ac:dyDescent="0.35">
      <c r="A6" s="334" t="s">
        <v>93</v>
      </c>
      <c r="B6" s="334" t="s">
        <v>239</v>
      </c>
      <c r="C6" s="323">
        <f>SUM(tbBoletim!E7)-SUM(Tabela5[[#This Row],[TOTAL F0]:[TOTAL F9]])</f>
        <v>5942.8</v>
      </c>
    </row>
    <row r="10" spans="1:3" x14ac:dyDescent="0.35">
      <c r="B10" s="356"/>
    </row>
    <row r="11" spans="1:3" x14ac:dyDescent="0.35">
      <c r="B11" s="356"/>
    </row>
    <row r="12" spans="1:3" x14ac:dyDescent="0.35">
      <c r="B12" s="356"/>
    </row>
    <row r="13" spans="1:3" x14ac:dyDescent="0.35">
      <c r="B13" s="356"/>
    </row>
    <row r="14" spans="1:3" x14ac:dyDescent="0.35">
      <c r="B14" s="35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A3C2-145D-4936-947F-BED73BB1FE0C}">
  <sheetPr codeName="Planilha4"/>
  <dimension ref="A1:B11"/>
  <sheetViews>
    <sheetView workbookViewId="0">
      <selection activeCell="B2" sqref="B2"/>
    </sheetView>
  </sheetViews>
  <sheetFormatPr defaultRowHeight="14.5" x14ac:dyDescent="0.35"/>
  <cols>
    <col min="1" max="1" width="10.54296875" bestFit="1" customWidth="1"/>
    <col min="2" max="2" width="13.7265625" bestFit="1" customWidth="1"/>
  </cols>
  <sheetData>
    <row r="1" spans="1:2" x14ac:dyDescent="0.35">
      <c r="A1" s="334" t="s">
        <v>218</v>
      </c>
      <c r="B1" s="334" t="s">
        <v>53</v>
      </c>
    </row>
    <row r="2" spans="1:2" x14ac:dyDescent="0.35">
      <c r="A2" s="334" t="s">
        <v>219</v>
      </c>
      <c r="B2" s="353">
        <f>'1. Controle de Contrato'!G21</f>
        <v>270307</v>
      </c>
    </row>
    <row r="3" spans="1:2" x14ac:dyDescent="0.35">
      <c r="A3" s="334" t="s">
        <v>220</v>
      </c>
      <c r="B3" s="338">
        <f>'1. Controle de Contrato'!K21</f>
        <v>0</v>
      </c>
    </row>
    <row r="4" spans="1:2" x14ac:dyDescent="0.35">
      <c r="A4" s="334" t="s">
        <v>221</v>
      </c>
      <c r="B4" s="338">
        <f>'1. Controle de Contrato'!I21</f>
        <v>18921.490000000002</v>
      </c>
    </row>
    <row r="5" spans="1:2" x14ac:dyDescent="0.35">
      <c r="A5" s="334"/>
      <c r="B5" s="338"/>
    </row>
    <row r="6" spans="1:2" x14ac:dyDescent="0.35">
      <c r="A6" s="334"/>
      <c r="B6" s="338"/>
    </row>
    <row r="7" spans="1:2" x14ac:dyDescent="0.35">
      <c r="A7" s="334"/>
      <c r="B7" s="338"/>
    </row>
    <row r="8" spans="1:2" x14ac:dyDescent="0.35">
      <c r="A8" s="334"/>
      <c r="B8" s="338"/>
    </row>
    <row r="9" spans="1:2" x14ac:dyDescent="0.35">
      <c r="A9" s="334"/>
      <c r="B9" s="338"/>
    </row>
    <row r="10" spans="1:2" x14ac:dyDescent="0.35">
      <c r="A10" s="334"/>
      <c r="B10" s="338"/>
    </row>
    <row r="11" spans="1:2" x14ac:dyDescent="0.35">
      <c r="A11" s="334"/>
      <c r="B11" s="338"/>
    </row>
  </sheetData>
  <pageMargins left="0.511811024" right="0.511811024" top="0.78740157499999996" bottom="0.78740157499999996" header="0.31496062000000002" footer="0.31496062000000002"/>
  <ignoredErrors>
    <ignoredError sqref="B2:B4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3CC1-9D60-4B41-9268-93637E45F733}">
  <sheetPr codeName="Planilha5"/>
  <dimension ref="A1:N12"/>
  <sheetViews>
    <sheetView workbookViewId="0">
      <selection activeCell="F6" sqref="F6"/>
    </sheetView>
  </sheetViews>
  <sheetFormatPr defaultRowHeight="14.5" x14ac:dyDescent="0.35"/>
  <cols>
    <col min="1" max="1" width="8.7265625" style="334"/>
    <col min="2" max="2" width="30.26953125" style="334" bestFit="1" customWidth="1"/>
    <col min="3" max="3" width="8.7265625" style="334"/>
    <col min="4" max="4" width="11" style="334" customWidth="1"/>
    <col min="5" max="14" width="10.54296875" style="323" customWidth="1"/>
  </cols>
  <sheetData>
    <row r="1" spans="1:14" x14ac:dyDescent="0.35">
      <c r="A1" s="334" t="s">
        <v>200</v>
      </c>
      <c r="B1" s="334" t="s">
        <v>122</v>
      </c>
      <c r="C1" s="334" t="s">
        <v>215</v>
      </c>
      <c r="D1"/>
      <c r="E1"/>
      <c r="F1"/>
      <c r="G1"/>
      <c r="H1"/>
      <c r="I1"/>
      <c r="J1"/>
      <c r="K1"/>
      <c r="L1"/>
      <c r="M1"/>
      <c r="N1"/>
    </row>
    <row r="2" spans="1:14" x14ac:dyDescent="0.35">
      <c r="A2" s="334">
        <v>1</v>
      </c>
      <c r="B2" s="350">
        <v>45951</v>
      </c>
      <c r="C2" s="323" t="str">
        <f>TEXT(Tabela57[[#This Row],[DATA]],"mmm/aa")</f>
        <v>out/25</v>
      </c>
      <c r="D2"/>
      <c r="E2"/>
      <c r="F2"/>
      <c r="G2"/>
      <c r="H2"/>
      <c r="I2"/>
      <c r="J2"/>
      <c r="K2"/>
      <c r="L2"/>
      <c r="M2"/>
      <c r="N2"/>
    </row>
    <row r="3" spans="1:14" x14ac:dyDescent="0.35">
      <c r="A3" s="334">
        <v>2</v>
      </c>
      <c r="B3" s="349">
        <v>45985</v>
      </c>
      <c r="C3" s="323" t="str">
        <f>TEXT(Tabela57[[#This Row],[DATA]],"mmm/aa")</f>
        <v>nov/25</v>
      </c>
      <c r="D3"/>
      <c r="E3"/>
      <c r="F3"/>
      <c r="G3"/>
      <c r="H3"/>
      <c r="I3"/>
      <c r="J3"/>
      <c r="K3"/>
      <c r="L3"/>
      <c r="M3"/>
      <c r="N3"/>
    </row>
    <row r="4" spans="1:14" x14ac:dyDescent="0.35">
      <c r="A4" s="334">
        <v>3</v>
      </c>
      <c r="B4" s="349">
        <v>46014</v>
      </c>
      <c r="C4" s="323" t="str">
        <f>TEXT(Tabela57[[#This Row],[DATA]],"mmm/aa")</f>
        <v>dez/25</v>
      </c>
      <c r="D4"/>
      <c r="E4"/>
      <c r="F4"/>
      <c r="G4"/>
      <c r="H4"/>
      <c r="I4"/>
      <c r="J4"/>
      <c r="K4"/>
      <c r="L4"/>
      <c r="M4"/>
      <c r="N4"/>
    </row>
    <row r="5" spans="1:14" x14ac:dyDescent="0.35">
      <c r="A5" s="334">
        <v>4</v>
      </c>
      <c r="B5" s="349">
        <v>46134</v>
      </c>
      <c r="C5" s="323" t="str">
        <f>TEXT(Tabela57[[#This Row],[DATA]],"mmm/aa")</f>
        <v>abr/26</v>
      </c>
      <c r="D5"/>
      <c r="E5"/>
      <c r="F5"/>
      <c r="G5"/>
      <c r="H5"/>
      <c r="I5"/>
      <c r="J5"/>
      <c r="K5"/>
      <c r="L5"/>
      <c r="M5"/>
      <c r="N5"/>
    </row>
    <row r="6" spans="1:14" x14ac:dyDescent="0.35">
      <c r="A6" s="334">
        <v>5</v>
      </c>
      <c r="B6" s="349">
        <v>46139</v>
      </c>
      <c r="C6" s="323" t="str">
        <f>TEXT(Tabela57[[#This Row],[DATA]],"mmm/aa")</f>
        <v>abr/26</v>
      </c>
      <c r="D6"/>
      <c r="E6"/>
      <c r="F6"/>
      <c r="G6"/>
      <c r="H6"/>
      <c r="I6"/>
      <c r="J6"/>
      <c r="K6"/>
      <c r="L6"/>
      <c r="M6"/>
      <c r="N6"/>
    </row>
    <row r="7" spans="1:14" x14ac:dyDescent="0.35">
      <c r="A7" s="334">
        <v>6</v>
      </c>
      <c r="B7" s="349"/>
      <c r="C7" s="323" t="str">
        <f>TEXT(Tabela57[[#This Row],[DATA]],"mmm/aa")</f>
        <v>jan/00</v>
      </c>
    </row>
    <row r="8" spans="1:14" x14ac:dyDescent="0.35">
      <c r="A8" s="334">
        <v>7</v>
      </c>
      <c r="C8" s="323" t="str">
        <f>TEXT(Tabela57[[#This Row],[DATA]],"mmm/aa")</f>
        <v>jan/00</v>
      </c>
    </row>
    <row r="9" spans="1:14" x14ac:dyDescent="0.35">
      <c r="A9" s="334">
        <v>8</v>
      </c>
      <c r="C9" s="323" t="str">
        <f>TEXT(Tabela57[[#This Row],[DATA]],"mmm/aa")</f>
        <v>jan/00</v>
      </c>
    </row>
    <row r="10" spans="1:14" x14ac:dyDescent="0.35">
      <c r="A10" s="334">
        <v>9</v>
      </c>
      <c r="C10" s="323" t="str">
        <f>TEXT(Tabela57[[#This Row],[DATA]],"mmm/aa")</f>
        <v>jan/00</v>
      </c>
    </row>
    <row r="11" spans="1:14" x14ac:dyDescent="0.35">
      <c r="A11" s="334">
        <v>10</v>
      </c>
      <c r="C11" s="323" t="str">
        <f>TEXT(Tabela57[[#This Row],[DATA]],"mmm/aa")</f>
        <v>jan/00</v>
      </c>
    </row>
    <row r="12" spans="1:14" x14ac:dyDescent="0.35">
      <c r="A12" s="334">
        <v>11</v>
      </c>
      <c r="C12" s="323" t="str">
        <f>TEXT(Tabela57[[#This Row],[DATA]],"mmm/aa")</f>
        <v>jan/00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B04A-DD5F-40E3-8634-EF5032E5BBCC}">
  <sheetPr codeName="Planilha6"/>
  <dimension ref="A1:N16"/>
  <sheetViews>
    <sheetView workbookViewId="0">
      <selection activeCell="K12" sqref="K12"/>
    </sheetView>
  </sheetViews>
  <sheetFormatPr defaultRowHeight="14.5" x14ac:dyDescent="0.35"/>
  <cols>
    <col min="1" max="1" width="8.7265625" style="334"/>
    <col min="2" max="2" width="30.26953125" style="334" bestFit="1" customWidth="1"/>
    <col min="3" max="3" width="8.7265625" style="334"/>
    <col min="4" max="4" width="11" style="334" customWidth="1"/>
    <col min="5" max="6" width="10.54296875" style="323" customWidth="1"/>
    <col min="7" max="7" width="10" style="323" bestFit="1" customWidth="1"/>
    <col min="8" max="14" width="10.54296875" style="323" customWidth="1"/>
  </cols>
  <sheetData>
    <row r="1" spans="1:14" x14ac:dyDescent="0.35">
      <c r="A1" s="334" t="s">
        <v>195</v>
      </c>
      <c r="B1" s="334" t="s">
        <v>196</v>
      </c>
      <c r="C1" s="334" t="s">
        <v>197</v>
      </c>
      <c r="D1" s="334" t="s">
        <v>200</v>
      </c>
      <c r="E1" s="334" t="s">
        <v>201</v>
      </c>
      <c r="F1" s="334" t="s">
        <v>202</v>
      </c>
      <c r="G1" s="334" t="s">
        <v>203</v>
      </c>
      <c r="H1" s="334" t="s">
        <v>204</v>
      </c>
      <c r="I1" s="334" t="s">
        <v>205</v>
      </c>
      <c r="J1" s="334" t="s">
        <v>206</v>
      </c>
      <c r="K1" s="334" t="s">
        <v>207</v>
      </c>
      <c r="L1" s="334" t="s">
        <v>208</v>
      </c>
      <c r="M1" s="334" t="s">
        <v>209</v>
      </c>
      <c r="N1" s="334" t="s">
        <v>210</v>
      </c>
    </row>
    <row r="2" spans="1:14" x14ac:dyDescent="0.35">
      <c r="A2" s="334" t="s">
        <v>57</v>
      </c>
      <c r="B2" s="334" t="s">
        <v>155</v>
      </c>
      <c r="C2" s="334" t="s">
        <v>198</v>
      </c>
      <c r="D2" s="334" t="s">
        <v>156</v>
      </c>
      <c r="E2" s="348">
        <f>SUM('4. Mapa Visual de Medição'!G10:G21)</f>
        <v>87.480000000000018</v>
      </c>
      <c r="F2" s="348">
        <f>SUM('4. Mapa Visual de Medição'!H10:H21)</f>
        <v>87.480000000000018</v>
      </c>
      <c r="G2" s="348">
        <f>SUM('4. Mapa Visual de Medição'!I10:I21)</f>
        <v>87.480000000000018</v>
      </c>
      <c r="H2" s="348">
        <f>SUM('4. Mapa Visual de Medição'!J10:J21)</f>
        <v>87.480000000000018</v>
      </c>
      <c r="I2" s="348">
        <f>SUM('4. Mapa Visual de Medição'!K10:K21)</f>
        <v>58.32</v>
      </c>
      <c r="J2" s="348">
        <f>SUM('4. Mapa Visual de Medição'!L10:L21)</f>
        <v>87.480000000000018</v>
      </c>
      <c r="K2" s="348">
        <f>SUM('4. Mapa Visual de Medição'!M10:M21)</f>
        <v>87.480000000000018</v>
      </c>
      <c r="L2" s="348">
        <f>SUM('4. Mapa Visual de Medição'!N10:N21)</f>
        <v>87.480000000000018</v>
      </c>
      <c r="M2" s="348">
        <f>SUM('4. Mapa Visual de Medição'!O10:O21)</f>
        <v>87.480000000000018</v>
      </c>
      <c r="N2" s="348">
        <f>SUM('4. Mapa Visual de Medição'!P10:P21)</f>
        <v>87.480000000000018</v>
      </c>
    </row>
    <row r="3" spans="1:14" x14ac:dyDescent="0.35">
      <c r="A3" s="334" t="s">
        <v>58</v>
      </c>
      <c r="B3" s="334" t="s">
        <v>157</v>
      </c>
      <c r="C3" s="334" t="s">
        <v>198</v>
      </c>
      <c r="D3" s="334" t="s">
        <v>156</v>
      </c>
      <c r="E3" s="323">
        <f>SUM('4. Mapa Visual de Medição'!BV10:BV21)</f>
        <v>84.59999999999998</v>
      </c>
      <c r="F3" s="323">
        <f>SUM('4. Mapa Visual de Medição'!BW10:BW21)</f>
        <v>60.84</v>
      </c>
      <c r="G3" s="323">
        <f>SUM('4. Mapa Visual de Medição'!BX10:BX21)</f>
        <v>40.56</v>
      </c>
      <c r="H3" s="323">
        <f>SUM('4. Mapa Visual de Medição'!BY10:BY21)</f>
        <v>40.56</v>
      </c>
      <c r="I3" s="323">
        <f>SUM('4. Mapa Visual de Medição'!BZ10:BZ21)</f>
        <v>56.399999999999991</v>
      </c>
      <c r="J3" s="323">
        <f>SUM('4. Mapa Visual de Medição'!CA10:CA21)</f>
        <v>84.59999999999998</v>
      </c>
      <c r="K3" s="323">
        <f>SUM('4. Mapa Visual de Medição'!CB10:CB21)</f>
        <v>60.84</v>
      </c>
      <c r="L3" s="323">
        <f>SUM('4. Mapa Visual de Medição'!CC10:CC21)</f>
        <v>60.84</v>
      </c>
      <c r="M3" s="323">
        <f>SUM('4. Mapa Visual de Medição'!CD10:CD21)</f>
        <v>60.84</v>
      </c>
      <c r="N3" s="323">
        <f>SUM('4. Mapa Visual de Medição'!CE10:CE21)</f>
        <v>84.59999999999998</v>
      </c>
    </row>
    <row r="4" spans="1:14" x14ac:dyDescent="0.35">
      <c r="A4" s="334" t="s">
        <v>91</v>
      </c>
      <c r="B4" s="334" t="s">
        <v>158</v>
      </c>
      <c r="C4" s="334" t="s">
        <v>198</v>
      </c>
      <c r="D4" s="334" t="s">
        <v>156</v>
      </c>
      <c r="E4" s="323">
        <f>SUM('4. Mapa Visual de Medição'!EJ10:EJ21)</f>
        <v>0</v>
      </c>
      <c r="F4" s="323">
        <f>SUM('4. Mapa Visual de Medição'!EK10:EK21)</f>
        <v>0</v>
      </c>
      <c r="G4" s="323">
        <f>SUM('4. Mapa Visual de Medição'!EL10:EL21)</f>
        <v>0</v>
      </c>
      <c r="H4" s="323">
        <f>SUM('4. Mapa Visual de Medição'!EM10:EM21)</f>
        <v>0</v>
      </c>
      <c r="I4" s="323">
        <f>SUM('4. Mapa Visual de Medição'!EN10:EN21)</f>
        <v>0</v>
      </c>
      <c r="J4" s="323">
        <f>SUM('4. Mapa Visual de Medição'!EO10:EO21)</f>
        <v>0</v>
      </c>
      <c r="K4" s="323">
        <f>SUM('4. Mapa Visual de Medição'!EP10:EP21)</f>
        <v>0</v>
      </c>
      <c r="L4" s="323">
        <f>SUM('4. Mapa Visual de Medição'!EQ10:EQ21)</f>
        <v>0</v>
      </c>
      <c r="M4" s="323">
        <f>SUM('4. Mapa Visual de Medição'!ER10:ER21)</f>
        <v>0</v>
      </c>
      <c r="N4" s="323">
        <f>SUM('4. Mapa Visual de Medição'!ES10:ES21)</f>
        <v>0</v>
      </c>
    </row>
    <row r="5" spans="1:14" x14ac:dyDescent="0.35">
      <c r="A5" s="334" t="s">
        <v>92</v>
      </c>
      <c r="B5" s="334" t="s">
        <v>160</v>
      </c>
      <c r="C5" s="334" t="s">
        <v>198</v>
      </c>
      <c r="D5" s="334" t="s">
        <v>156</v>
      </c>
      <c r="E5" s="323">
        <f>SUM('4. Mapa Visual de Medição'!GW10:GW21)</f>
        <v>0</v>
      </c>
      <c r="F5" s="323">
        <f>SUM('4. Mapa Visual de Medição'!GX10:GX21)</f>
        <v>0</v>
      </c>
      <c r="G5" s="323">
        <f>SUM('4. Mapa Visual de Medição'!GY10:GY21)</f>
        <v>0</v>
      </c>
      <c r="H5" s="323">
        <f>SUM('4. Mapa Visual de Medição'!GZ10:GZ21)</f>
        <v>0</v>
      </c>
      <c r="I5" s="323">
        <f>SUM('4. Mapa Visual de Medição'!HA10:HA21)</f>
        <v>0</v>
      </c>
      <c r="J5" s="323">
        <f>SUM('4. Mapa Visual de Medição'!HB10:HB21)</f>
        <v>0</v>
      </c>
      <c r="K5" s="323">
        <f>SUM('4. Mapa Visual de Medição'!HC10:HC21)</f>
        <v>0</v>
      </c>
      <c r="L5" s="323">
        <f>SUM('4. Mapa Visual de Medição'!HD10:HD21)</f>
        <v>0</v>
      </c>
      <c r="M5" s="323">
        <f>SUM('4. Mapa Visual de Medição'!HE10:HE21)</f>
        <v>0</v>
      </c>
      <c r="N5" s="323">
        <f>SUM('4. Mapa Visual de Medição'!HF10:HF21)</f>
        <v>0</v>
      </c>
    </row>
    <row r="6" spans="1:14" x14ac:dyDescent="0.35">
      <c r="A6" s="334" t="s">
        <v>93</v>
      </c>
      <c r="B6" s="334" t="s">
        <v>211</v>
      </c>
      <c r="C6" s="334" t="s">
        <v>198</v>
      </c>
      <c r="D6" s="334" t="s">
        <v>156</v>
      </c>
      <c r="E6" s="348">
        <f>SUM('4. Mapa Visual de Medição'!JI10:JI21)</f>
        <v>141.6</v>
      </c>
      <c r="F6" s="348">
        <f>SUM('4. Mapa Visual de Medição'!JJ10:JJ21)</f>
        <v>98.40000000000002</v>
      </c>
      <c r="G6" s="348">
        <f>SUM('4. Mapa Visual de Medição'!JK10:JK21)</f>
        <v>73.800000000000011</v>
      </c>
      <c r="H6" s="348">
        <f>SUM('4. Mapa Visual de Medição'!JL10:JL21)</f>
        <v>73.800000000000011</v>
      </c>
      <c r="I6" s="348">
        <f>SUM('4. Mapa Visual de Medição'!JM10:JM21)</f>
        <v>106.19999999999999</v>
      </c>
      <c r="J6" s="348">
        <f>SUM('4. Mapa Visual de Medição'!JN10:JN21)</f>
        <v>106.19999999999999</v>
      </c>
      <c r="K6" s="348">
        <f>SUM('4. Mapa Visual de Medição'!JO10:JO21)</f>
        <v>73.800000000000011</v>
      </c>
      <c r="L6" s="348">
        <f>SUM('4. Mapa Visual de Medição'!JP10:JP21)</f>
        <v>98.40000000000002</v>
      </c>
      <c r="M6" s="348">
        <f>SUM('4. Mapa Visual de Medição'!JQ10:JQ21)</f>
        <v>98.40000000000002</v>
      </c>
      <c r="N6" s="348">
        <f>SUM('4. Mapa Visual de Medição'!JR10:JR21)</f>
        <v>141.6</v>
      </c>
    </row>
    <row r="8" spans="1:14" x14ac:dyDescent="0.35">
      <c r="E8" s="348"/>
      <c r="F8" s="355"/>
    </row>
    <row r="10" spans="1:14" x14ac:dyDescent="0.35">
      <c r="B10" s="356"/>
    </row>
    <row r="11" spans="1:14" x14ac:dyDescent="0.35">
      <c r="B11" s="356"/>
      <c r="I11" s="357"/>
    </row>
    <row r="12" spans="1:14" x14ac:dyDescent="0.35">
      <c r="B12" s="356"/>
      <c r="F12" s="334"/>
      <c r="G12" s="334"/>
      <c r="H12" s="334"/>
      <c r="I12" s="357"/>
    </row>
    <row r="13" spans="1:14" x14ac:dyDescent="0.35">
      <c r="B13" s="356"/>
      <c r="F13" s="334"/>
      <c r="G13" s="334"/>
      <c r="H13" s="334"/>
      <c r="I13" s="357"/>
    </row>
    <row r="14" spans="1:14" x14ac:dyDescent="0.35">
      <c r="B14" s="356"/>
      <c r="F14" s="334"/>
      <c r="G14" s="334"/>
      <c r="H14" s="334"/>
      <c r="I14" s="357"/>
    </row>
    <row r="15" spans="1:14" x14ac:dyDescent="0.35">
      <c r="F15" s="334"/>
      <c r="G15" s="334"/>
      <c r="H15" s="334"/>
      <c r="I15" s="357"/>
    </row>
    <row r="16" spans="1:14" x14ac:dyDescent="0.35">
      <c r="F16" s="334"/>
      <c r="G16" s="334"/>
      <c r="H16" s="33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E1E3-B582-4AD0-AF5A-DBC29B201754}">
  <sheetPr codeName="Planilha7"/>
  <dimension ref="A1:D11"/>
  <sheetViews>
    <sheetView workbookViewId="0">
      <selection activeCell="H10" sqref="H10"/>
    </sheetView>
  </sheetViews>
  <sheetFormatPr defaultRowHeight="14.5" x14ac:dyDescent="0.35"/>
  <cols>
    <col min="1" max="1" width="13.1796875" customWidth="1"/>
    <col min="2" max="2" width="13.08984375" customWidth="1"/>
    <col min="3" max="3" width="11" customWidth="1"/>
  </cols>
  <sheetData>
    <row r="1" spans="1:4" x14ac:dyDescent="0.35">
      <c r="A1" s="334" t="s">
        <v>224</v>
      </c>
      <c r="B1" s="334" t="s">
        <v>214</v>
      </c>
      <c r="C1" s="334" t="s">
        <v>225</v>
      </c>
      <c r="D1" s="399" t="s">
        <v>226</v>
      </c>
    </row>
    <row r="2" spans="1:4" x14ac:dyDescent="0.35">
      <c r="A2" s="334" t="s">
        <v>247</v>
      </c>
      <c r="B2" s="354">
        <v>91</v>
      </c>
      <c r="C2" s="334" cm="1">
        <f t="array" ref="C2">SUM(Tabela108[PREVISTO TOTAL]/10)</f>
        <v>1175.4000000000001</v>
      </c>
      <c r="D2" s="400">
        <f>Tabela9[[#This Row],[EXECUTADO]]/Tabela9[[#This Row],[PREVISTO]]</f>
        <v>7.74204526118768E-2</v>
      </c>
    </row>
    <row r="3" spans="1:4" x14ac:dyDescent="0.35">
      <c r="A3" s="334" t="s">
        <v>248</v>
      </c>
      <c r="B3" s="354">
        <v>104</v>
      </c>
      <c r="C3" s="334" cm="1">
        <f t="array" ref="C3">SUM(Tabela108[PREVISTO TOTAL]/10)</f>
        <v>1175.4000000000001</v>
      </c>
      <c r="D3" s="400">
        <f>Tabela9[[#This Row],[EXECUTADO]]/Tabela9[[#This Row],[PREVISTO]]</f>
        <v>8.8480517270716347E-2</v>
      </c>
    </row>
    <row r="4" spans="1:4" x14ac:dyDescent="0.35">
      <c r="A4" s="334" t="s">
        <v>249</v>
      </c>
      <c r="B4" s="354">
        <v>17</v>
      </c>
      <c r="C4" s="334" cm="1">
        <f t="array" ref="C4">SUM(Tabela108[PREVISTO TOTAL]/10)</f>
        <v>1175.4000000000001</v>
      </c>
      <c r="D4" s="400">
        <f>Tabela9[[#This Row],[EXECUTADO]]/Tabela9[[#This Row],[PREVISTO]]</f>
        <v>1.4463161476944018E-2</v>
      </c>
    </row>
    <row r="5" spans="1:4" x14ac:dyDescent="0.35">
      <c r="A5" s="334" t="s">
        <v>250</v>
      </c>
      <c r="B5" s="354">
        <v>85</v>
      </c>
      <c r="C5" s="334" cm="1">
        <f t="array" ref="C5">SUM(Tabela108[PREVISTO TOTAL]/10)</f>
        <v>1175.4000000000001</v>
      </c>
      <c r="D5" s="400">
        <f>Tabela9[[#This Row],[EXECUTADO]]/Tabela9[[#This Row],[PREVISTO]]</f>
        <v>7.2315807384720085E-2</v>
      </c>
    </row>
    <row r="6" spans="1:4" x14ac:dyDescent="0.35">
      <c r="A6" s="334" t="s">
        <v>251</v>
      </c>
      <c r="B6" s="354">
        <v>164</v>
      </c>
      <c r="C6" s="334" cm="1">
        <f t="array" ref="C6">SUM(Tabela108[PREVISTO TOTAL]/10)</f>
        <v>1175.4000000000001</v>
      </c>
      <c r="D6" s="400">
        <f>Tabela9[[#This Row],[EXECUTADO]]/Tabela9[[#This Row],[PREVISTO]]</f>
        <v>0.13952696954228347</v>
      </c>
    </row>
    <row r="7" spans="1:4" x14ac:dyDescent="0.35">
      <c r="A7" s="334" t="s">
        <v>252</v>
      </c>
      <c r="B7" s="354">
        <v>46</v>
      </c>
      <c r="C7" s="334" cm="1">
        <f t="array" ref="C7">SUM(Tabela108[PREVISTO TOTAL]/10)</f>
        <v>1175.4000000000001</v>
      </c>
      <c r="D7" s="400">
        <f>Tabela9[[#This Row],[EXECUTADO]]/Tabela9[[#This Row],[PREVISTO]]</f>
        <v>3.9135613408201458E-2</v>
      </c>
    </row>
    <row r="8" spans="1:4" x14ac:dyDescent="0.35">
      <c r="A8" s="334" t="s">
        <v>253</v>
      </c>
      <c r="B8" s="354">
        <v>56</v>
      </c>
      <c r="C8" s="334" cm="1">
        <f t="array" ref="C8">SUM(Tabela108[PREVISTO TOTAL]/10)</f>
        <v>1175.4000000000001</v>
      </c>
      <c r="D8" s="400">
        <f>Tabela9[[#This Row],[EXECUTADO]]/Tabela9[[#This Row],[PREVISTO]]</f>
        <v>4.7643355453462648E-2</v>
      </c>
    </row>
    <row r="9" spans="1:4" x14ac:dyDescent="0.35">
      <c r="A9" s="334" t="s">
        <v>254</v>
      </c>
      <c r="B9" s="354">
        <v>179</v>
      </c>
      <c r="C9" s="334" cm="1">
        <f t="array" ref="C9">SUM(Tabela108[PREVISTO TOTAL]/10)</f>
        <v>1175.4000000000001</v>
      </c>
      <c r="D9" s="400">
        <f>Tabela9[[#This Row],[EXECUTADO]]/Tabela9[[#This Row],[PREVISTO]]</f>
        <v>0.15228858261017525</v>
      </c>
    </row>
    <row r="10" spans="1:4" x14ac:dyDescent="0.35">
      <c r="A10" s="334" t="s">
        <v>255</v>
      </c>
      <c r="B10" s="354">
        <v>169</v>
      </c>
      <c r="C10" s="334">
        <v>1175.4000000000001</v>
      </c>
      <c r="D10" s="400">
        <f>Tabela9[[#This Row],[EXECUTADO]]/Tabela9[[#This Row],[PREVISTO]]</f>
        <v>0.14378084056491405</v>
      </c>
    </row>
    <row r="11" spans="1:4" x14ac:dyDescent="0.35">
      <c r="A11" s="334" t="s">
        <v>256</v>
      </c>
      <c r="B11" s="354">
        <v>254.4</v>
      </c>
      <c r="C11" s="334" cm="1">
        <f t="array" ref="C11">SUM(Tabela108[PREVISTO TOTAL]/10)</f>
        <v>1175.4000000000001</v>
      </c>
      <c r="D11" s="400">
        <f>Tabela9[[#This Row],[EXECUTADO]]/Tabela9[[#This Row],[PREVISTO]]</f>
        <v>0.2164369576314446</v>
      </c>
    </row>
  </sheetData>
  <pageMargins left="0.511811024" right="0.511811024" top="0.78740157499999996" bottom="0.78740157499999996" header="0.31496062000000002" footer="0.31496062000000002"/>
  <ignoredErrors>
    <ignoredError sqref="C2:C11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B413-7145-4D06-BA90-A6C454BCB32E}">
  <sheetPr codeName="Planilha8">
    <pageSetUpPr fitToPage="1"/>
  </sheetPr>
  <dimension ref="A1:N49"/>
  <sheetViews>
    <sheetView showGridLines="0" zoomScaleNormal="100" zoomScaleSheetLayoutView="70" workbookViewId="0">
      <selection activeCell="G13" sqref="G13"/>
    </sheetView>
  </sheetViews>
  <sheetFormatPr defaultRowHeight="14.5" x14ac:dyDescent="0.35"/>
  <cols>
    <col min="1" max="1" width="21.36328125" customWidth="1"/>
    <col min="2" max="2" width="24.90625" customWidth="1"/>
    <col min="3" max="3" width="19.6328125" customWidth="1"/>
    <col min="4" max="4" width="13.90625" customWidth="1"/>
    <col min="5" max="5" width="20.6328125" customWidth="1"/>
    <col min="6" max="6" width="21.36328125" customWidth="1"/>
    <col min="7" max="7" width="26.6328125" customWidth="1"/>
    <col min="8" max="8" width="25.90625" customWidth="1"/>
    <col min="9" max="10" width="21.36328125" customWidth="1"/>
    <col min="11" max="11" width="23.54296875" customWidth="1"/>
    <col min="12" max="13" width="20.453125" customWidth="1"/>
    <col min="14" max="14" width="8.6328125" customWidth="1"/>
  </cols>
  <sheetData>
    <row r="1" spans="1:14" s="89" customFormat="1" ht="29.4" customHeight="1" x14ac:dyDescent="0.3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</row>
    <row r="2" spans="1:14" x14ac:dyDescent="0.35">
      <c r="A2" s="75">
        <f>'1. Controle de Contrato'!C24</f>
        <v>1</v>
      </c>
      <c r="B2" s="327">
        <f>'1. Controle de Contrato'!D24</f>
        <v>45931</v>
      </c>
      <c r="C2" s="327">
        <f>'1. Controle de Contrato'!E24</f>
        <v>45951</v>
      </c>
      <c r="D2">
        <f>'1. Controle de Contrato'!F24</f>
        <v>0</v>
      </c>
      <c r="E2" s="328">
        <f>'1. Controle de Contrato'!G24</f>
        <v>35279</v>
      </c>
      <c r="F2" s="328">
        <f>'1. Controle de Contrato'!H24</f>
        <v>0</v>
      </c>
      <c r="G2" s="329">
        <f>'1. Controle de Contrato'!I24</f>
        <v>2469.5300000000002</v>
      </c>
      <c r="H2" s="329">
        <f>'1. Controle de Contrato'!J24</f>
        <v>32809.47</v>
      </c>
      <c r="I2" s="329">
        <f>'1. Controle de Contrato'!K24</f>
        <v>235028</v>
      </c>
      <c r="J2" s="329">
        <f>'1. Controle de Contrato'!L24</f>
        <v>0</v>
      </c>
      <c r="K2" s="328">
        <f>'1. Controle de Contrato'!M24</f>
        <v>0</v>
      </c>
      <c r="L2" s="329">
        <f>'1. Controle de Contrato'!N24</f>
        <v>35279</v>
      </c>
      <c r="M2" s="329">
        <f>'1. Controle de Contrato'!O24</f>
        <v>235028</v>
      </c>
      <c r="N2" s="330">
        <f>'1. Controle de Contrato'!P24</f>
        <v>0.86948543692912128</v>
      </c>
    </row>
    <row r="3" spans="1:14" x14ac:dyDescent="0.35">
      <c r="A3" s="74">
        <f>'1. Controle de Contrato'!C25</f>
        <v>2</v>
      </c>
      <c r="B3" s="327">
        <f>'1. Controle de Contrato'!D25</f>
        <v>45962</v>
      </c>
      <c r="C3" s="327">
        <f>'1. Controle de Contrato'!E25</f>
        <v>45985</v>
      </c>
      <c r="D3">
        <f>'1. Controle de Contrato'!F25</f>
        <v>0</v>
      </c>
      <c r="E3" s="328">
        <f>'1. Controle de Contrato'!G25</f>
        <v>86562</v>
      </c>
      <c r="F3" s="328">
        <f>'1. Controle de Contrato'!H25</f>
        <v>0</v>
      </c>
      <c r="G3" s="329">
        <f>'1. Controle de Contrato'!I25</f>
        <v>6059.34</v>
      </c>
      <c r="H3" s="329">
        <f>'1. Controle de Contrato'!J25</f>
        <v>80502.66</v>
      </c>
      <c r="I3" s="329">
        <f>'1. Controle de Contrato'!K25</f>
        <v>148466</v>
      </c>
      <c r="J3" s="329">
        <f>'1. Controle de Contrato'!L25</f>
        <v>0</v>
      </c>
      <c r="K3" s="328">
        <f>'1. Controle de Contrato'!M25</f>
        <v>0</v>
      </c>
      <c r="L3" s="329">
        <f>'1. Controle de Contrato'!N25</f>
        <v>86562</v>
      </c>
      <c r="M3" s="329">
        <f>'1. Controle de Contrato'!O25</f>
        <v>148466</v>
      </c>
      <c r="N3" s="330">
        <f>'1. Controle de Contrato'!P25</f>
        <v>0.54924955698520572</v>
      </c>
    </row>
    <row r="4" spans="1:14" x14ac:dyDescent="0.35">
      <c r="A4" s="74">
        <f>'1. Controle de Contrato'!C26</f>
        <v>3</v>
      </c>
      <c r="B4" s="327">
        <f>'1. Controle de Contrato'!D26</f>
        <v>45992</v>
      </c>
      <c r="C4" s="327">
        <f>'1. Controle de Contrato'!E26</f>
        <v>46014</v>
      </c>
      <c r="D4">
        <f>'1. Controle de Contrato'!F26</f>
        <v>0</v>
      </c>
      <c r="E4" s="328">
        <f>'1. Controle de Contrato'!G26</f>
        <v>15906</v>
      </c>
      <c r="F4" s="328">
        <f>'1. Controle de Contrato'!H26</f>
        <v>0</v>
      </c>
      <c r="G4" s="329">
        <f>'1. Controle de Contrato'!I26</f>
        <v>1113.42</v>
      </c>
      <c r="H4" s="329">
        <f>'1. Controle de Contrato'!J26</f>
        <v>14792.58</v>
      </c>
      <c r="I4" s="329">
        <f>'1. Controle de Contrato'!K26</f>
        <v>132560</v>
      </c>
      <c r="J4" s="329">
        <f>'1. Controle de Contrato'!L26</f>
        <v>0</v>
      </c>
      <c r="K4" s="328">
        <f>'1. Controle de Contrato'!M26</f>
        <v>0</v>
      </c>
      <c r="L4" s="329">
        <f>'1. Controle de Contrato'!N26</f>
        <v>15906</v>
      </c>
      <c r="M4" s="329">
        <f>'1. Controle de Contrato'!O26</f>
        <v>132560</v>
      </c>
      <c r="N4" s="330">
        <f>'1. Controle de Contrato'!P26</f>
        <v>0.49040535391240331</v>
      </c>
    </row>
    <row r="5" spans="1:14" x14ac:dyDescent="0.35">
      <c r="A5" s="74">
        <f>'1. Controle de Contrato'!C27</f>
        <v>4</v>
      </c>
      <c r="B5" s="327">
        <f>'1. Controle de Contrato'!D27</f>
        <v>46113</v>
      </c>
      <c r="C5" s="327">
        <f>'1. Controle de Contrato'!E27</f>
        <v>46134</v>
      </c>
      <c r="D5">
        <f>'1. Controle de Contrato'!F27</f>
        <v>0</v>
      </c>
      <c r="E5" s="328">
        <f>'1. Controle de Contrato'!G27</f>
        <v>92751</v>
      </c>
      <c r="F5" s="328">
        <f>'1. Controle de Contrato'!H27</f>
        <v>0</v>
      </c>
      <c r="G5" s="329">
        <f>'1. Controle de Contrato'!I27</f>
        <v>6492.5700000000006</v>
      </c>
      <c r="H5" s="329">
        <f>'1. Controle de Contrato'!J27</f>
        <v>86258.43</v>
      </c>
      <c r="I5" s="329">
        <f>'1. Controle de Contrato'!K27</f>
        <v>39809</v>
      </c>
      <c r="J5" s="329">
        <f>'1. Controle de Contrato'!L27</f>
        <v>0</v>
      </c>
      <c r="K5" s="328">
        <f>'1. Controle de Contrato'!M27</f>
        <v>0</v>
      </c>
      <c r="L5" s="329">
        <f>'1. Controle de Contrato'!N27</f>
        <v>92751</v>
      </c>
      <c r="M5" s="329">
        <f>'1. Controle de Contrato'!O27</f>
        <v>39809</v>
      </c>
      <c r="N5" s="330">
        <f>'1. Controle de Contrato'!P27</f>
        <v>0.14727328556049232</v>
      </c>
    </row>
    <row r="6" spans="1:14" x14ac:dyDescent="0.35">
      <c r="A6" s="74">
        <f>'1. Controle de Contrato'!C28</f>
        <v>5</v>
      </c>
      <c r="B6" s="327">
        <f>'1. Controle de Contrato'!D28</f>
        <v>46113</v>
      </c>
      <c r="C6" s="327">
        <f>'1. Controle de Contrato'!E28</f>
        <v>46139</v>
      </c>
      <c r="D6">
        <f>'1. Controle de Contrato'!F28</f>
        <v>0</v>
      </c>
      <c r="E6" s="328">
        <f>'1. Controle de Contrato'!G28</f>
        <v>39809</v>
      </c>
      <c r="F6" s="328">
        <f>'1. Controle de Contrato'!H28</f>
        <v>0</v>
      </c>
      <c r="G6" s="329">
        <f>'1. Controle de Contrato'!I28</f>
        <v>2786.63</v>
      </c>
      <c r="H6" s="329">
        <f>'1. Controle de Contrato'!J28</f>
        <v>37022.370000000003</v>
      </c>
      <c r="I6" s="329">
        <f>'1. Controle de Contrato'!K28</f>
        <v>0</v>
      </c>
      <c r="J6" s="329">
        <f>'1. Controle de Contrato'!L28</f>
        <v>0</v>
      </c>
      <c r="K6" s="328">
        <f>'1. Controle de Contrato'!M28</f>
        <v>0</v>
      </c>
      <c r="L6" s="329">
        <f>'1. Controle de Contrato'!N28</f>
        <v>39809</v>
      </c>
      <c r="M6" s="329">
        <f>'1. Controle de Contrato'!O28</f>
        <v>0</v>
      </c>
      <c r="N6" s="330" t="str">
        <f>'1. Controle de Contrato'!P28</f>
        <v/>
      </c>
    </row>
    <row r="7" spans="1:14" x14ac:dyDescent="0.35">
      <c r="A7" s="74">
        <f>'1. Controle de Contrato'!C29</f>
        <v>6</v>
      </c>
      <c r="B7" s="327" t="str">
        <f>'1. Controle de Contrato'!D29</f>
        <v/>
      </c>
      <c r="C7" s="327" t="str">
        <f>'1. Controle de Contrato'!E29</f>
        <v/>
      </c>
      <c r="D7">
        <f>'1. Controle de Contrato'!F29</f>
        <v>0</v>
      </c>
      <c r="E7" s="328">
        <f>'1. Controle de Contrato'!G29</f>
        <v>0</v>
      </c>
      <c r="F7" s="328">
        <f>'1. Controle de Contrato'!H29</f>
        <v>0</v>
      </c>
      <c r="G7" s="329">
        <f>'1. Controle de Contrato'!I29</f>
        <v>0</v>
      </c>
      <c r="H7" s="329">
        <f>'1. Controle de Contrato'!J29</f>
        <v>0</v>
      </c>
      <c r="I7" s="329">
        <f>'1. Controle de Contrato'!K29</f>
        <v>0</v>
      </c>
      <c r="J7" s="329">
        <f>'1. Controle de Contrato'!L29</f>
        <v>0</v>
      </c>
      <c r="K7" s="328">
        <f>'1. Controle de Contrato'!M29</f>
        <v>0</v>
      </c>
      <c r="L7" s="329">
        <f>'1. Controle de Contrato'!N29</f>
        <v>0</v>
      </c>
      <c r="M7" s="329">
        <f>'1. Controle de Contrato'!O29</f>
        <v>0</v>
      </c>
      <c r="N7" s="330" t="str">
        <f>'1. Controle de Contrato'!P29</f>
        <v/>
      </c>
    </row>
    <row r="8" spans="1:14" x14ac:dyDescent="0.35">
      <c r="A8" s="74">
        <f>'1. Controle de Contrato'!C30</f>
        <v>7</v>
      </c>
      <c r="B8" s="327" t="str">
        <f>'1. Controle de Contrato'!D30</f>
        <v/>
      </c>
      <c r="C8" s="327" t="str">
        <f>'1. Controle de Contrato'!E30</f>
        <v/>
      </c>
      <c r="D8">
        <f>'1. Controle de Contrato'!F30</f>
        <v>0</v>
      </c>
      <c r="E8" s="328">
        <f>'1. Controle de Contrato'!G30</f>
        <v>0</v>
      </c>
      <c r="F8" s="328">
        <f>'1. Controle de Contrato'!H30</f>
        <v>0</v>
      </c>
      <c r="G8" s="329">
        <f>'1. Controle de Contrato'!I30</f>
        <v>0</v>
      </c>
      <c r="H8" s="329">
        <f>'1. Controle de Contrato'!J30</f>
        <v>0</v>
      </c>
      <c r="I8" s="329">
        <f>'1. Controle de Contrato'!K30</f>
        <v>0</v>
      </c>
      <c r="J8" s="329">
        <f>'1. Controle de Contrato'!L30</f>
        <v>0</v>
      </c>
      <c r="K8" s="328">
        <f>'1. Controle de Contrato'!M30</f>
        <v>0</v>
      </c>
      <c r="L8" s="329">
        <f>'1. Controle de Contrato'!N30</f>
        <v>0</v>
      </c>
      <c r="M8" s="329">
        <f>'1. Controle de Contrato'!O30</f>
        <v>0</v>
      </c>
      <c r="N8" s="330" t="str">
        <f>'1. Controle de Contrato'!P30</f>
        <v/>
      </c>
    </row>
    <row r="9" spans="1:14" x14ac:dyDescent="0.35">
      <c r="A9" s="74">
        <f>'1. Controle de Contrato'!C31</f>
        <v>8</v>
      </c>
      <c r="B9" s="327" t="str">
        <f>'1. Controle de Contrato'!D31</f>
        <v/>
      </c>
      <c r="C9" s="327" t="str">
        <f>'1. Controle de Contrato'!E31</f>
        <v/>
      </c>
      <c r="D9">
        <f>'1. Controle de Contrato'!F31</f>
        <v>0</v>
      </c>
      <c r="E9" s="328">
        <f>'1. Controle de Contrato'!G31</f>
        <v>0</v>
      </c>
      <c r="F9" s="328">
        <f>'1. Controle de Contrato'!H31</f>
        <v>0</v>
      </c>
      <c r="G9" s="329">
        <f>'1. Controle de Contrato'!I31</f>
        <v>0</v>
      </c>
      <c r="H9" s="329">
        <f>'1. Controle de Contrato'!J31</f>
        <v>0</v>
      </c>
      <c r="I9" s="329">
        <f>'1. Controle de Contrato'!K31</f>
        <v>0</v>
      </c>
      <c r="J9" s="329">
        <f>'1. Controle de Contrato'!L31</f>
        <v>0</v>
      </c>
      <c r="K9" s="328">
        <f>'1. Controle de Contrato'!M31</f>
        <v>0</v>
      </c>
      <c r="L9" s="329">
        <f>'1. Controle de Contrato'!N31</f>
        <v>0</v>
      </c>
      <c r="M9" s="329">
        <f>'1. Controle de Contrato'!O31</f>
        <v>0</v>
      </c>
      <c r="N9" s="330" t="str">
        <f>'1. Controle de Contrato'!P31</f>
        <v/>
      </c>
    </row>
    <row r="10" spans="1:14" x14ac:dyDescent="0.35">
      <c r="A10" s="74">
        <f>'1. Controle de Contrato'!C32</f>
        <v>9</v>
      </c>
      <c r="B10" s="327" t="str">
        <f>'1. Controle de Contrato'!D32</f>
        <v/>
      </c>
      <c r="C10" s="327" t="str">
        <f>'1. Controle de Contrato'!E32</f>
        <v/>
      </c>
      <c r="D10">
        <f>'1. Controle de Contrato'!F32</f>
        <v>0</v>
      </c>
      <c r="E10" s="328">
        <f>'1. Controle de Contrato'!G32</f>
        <v>0</v>
      </c>
      <c r="F10" s="328">
        <f>'1. Controle de Contrato'!H32</f>
        <v>0</v>
      </c>
      <c r="G10" s="329">
        <f>'1. Controle de Contrato'!I32</f>
        <v>0</v>
      </c>
      <c r="H10" s="329">
        <f>'1. Controle de Contrato'!J32</f>
        <v>0</v>
      </c>
      <c r="I10" s="329">
        <f>'1. Controle de Contrato'!K32</f>
        <v>0</v>
      </c>
      <c r="J10" s="329">
        <f>'1. Controle de Contrato'!L32</f>
        <v>0</v>
      </c>
      <c r="K10" s="328">
        <f>'1. Controle de Contrato'!M32</f>
        <v>0</v>
      </c>
      <c r="L10" s="329">
        <f>'1. Controle de Contrato'!N32</f>
        <v>0</v>
      </c>
      <c r="M10" s="329">
        <f>'1. Controle de Contrato'!O32</f>
        <v>0</v>
      </c>
      <c r="N10" s="330" t="str">
        <f>'1. Controle de Contrato'!P32</f>
        <v/>
      </c>
    </row>
    <row r="11" spans="1:14" x14ac:dyDescent="0.35">
      <c r="A11" s="74">
        <f>'1. Controle de Contrato'!C33</f>
        <v>10</v>
      </c>
      <c r="B11" s="327" t="str">
        <f>'1. Controle de Contrato'!D33</f>
        <v/>
      </c>
      <c r="C11" s="327" t="str">
        <f>'1. Controle de Contrato'!E33</f>
        <v/>
      </c>
      <c r="D11">
        <f>'1. Controle de Contrato'!F33</f>
        <v>0</v>
      </c>
      <c r="E11" s="328">
        <f>'1. Controle de Contrato'!G33</f>
        <v>0</v>
      </c>
      <c r="F11" s="328">
        <f>'1. Controle de Contrato'!H33</f>
        <v>0</v>
      </c>
      <c r="G11" s="329">
        <f>'1. Controle de Contrato'!I33</f>
        <v>0</v>
      </c>
      <c r="H11" s="329">
        <f>'1. Controle de Contrato'!J33</f>
        <v>0</v>
      </c>
      <c r="I11" s="329">
        <f>'1. Controle de Contrato'!K33</f>
        <v>0</v>
      </c>
      <c r="J11" s="329">
        <f>'1. Controle de Contrato'!L33</f>
        <v>0</v>
      </c>
      <c r="K11" s="328">
        <f>'1. Controle de Contrato'!M33</f>
        <v>0</v>
      </c>
      <c r="L11" s="329">
        <f>'1. Controle de Contrato'!N33</f>
        <v>0</v>
      </c>
      <c r="M11" s="329">
        <f>'1. Controle de Contrato'!O33</f>
        <v>0</v>
      </c>
      <c r="N11" s="330" t="str">
        <f>'1. Controle de Contrato'!P33</f>
        <v/>
      </c>
    </row>
    <row r="12" spans="1:14" x14ac:dyDescent="0.35">
      <c r="A12" s="74">
        <f>'1. Controle de Contrato'!C34</f>
        <v>11</v>
      </c>
      <c r="B12" s="327" t="str">
        <f>'1. Controle de Contrato'!D34</f>
        <v/>
      </c>
      <c r="C12" s="327" t="str">
        <f>'1. Controle de Contrato'!E34</f>
        <v/>
      </c>
      <c r="D12">
        <f>'1. Controle de Contrato'!F34</f>
        <v>0</v>
      </c>
      <c r="E12" s="328">
        <f>'1. Controle de Contrato'!G34</f>
        <v>0</v>
      </c>
      <c r="F12" s="328">
        <f>'1. Controle de Contrato'!H34</f>
        <v>0</v>
      </c>
      <c r="G12" s="329">
        <f>'1. Controle de Contrato'!I34</f>
        <v>0</v>
      </c>
      <c r="H12" s="329">
        <f>'1. Controle de Contrato'!J34</f>
        <v>0</v>
      </c>
      <c r="I12" s="329">
        <f>'1. Controle de Contrato'!K34</f>
        <v>0</v>
      </c>
      <c r="J12" s="329">
        <f>'1. Controle de Contrato'!L34</f>
        <v>0</v>
      </c>
      <c r="K12" s="328">
        <f>'1. Controle de Contrato'!M34</f>
        <v>0</v>
      </c>
      <c r="L12" s="329">
        <f>'1. Controle de Contrato'!N34</f>
        <v>0</v>
      </c>
      <c r="M12" s="329">
        <f>'1. Controle de Contrato'!O34</f>
        <v>0</v>
      </c>
      <c r="N12" s="330" t="str">
        <f>'1. Controle de Contrato'!P34</f>
        <v/>
      </c>
    </row>
    <row r="13" spans="1:14" x14ac:dyDescent="0.35">
      <c r="A13" s="74">
        <f>'1. Controle de Contrato'!C35</f>
        <v>12</v>
      </c>
      <c r="B13" s="327" t="str">
        <f>'1. Controle de Contrato'!D35</f>
        <v/>
      </c>
      <c r="C13" s="327" t="str">
        <f>'1. Controle de Contrato'!E35</f>
        <v/>
      </c>
      <c r="D13">
        <f>'1. Controle de Contrato'!F35</f>
        <v>0</v>
      </c>
      <c r="E13" s="328">
        <f>'1. Controle de Contrato'!G35</f>
        <v>0</v>
      </c>
      <c r="F13" s="328">
        <f>'1. Controle de Contrato'!H35</f>
        <v>0</v>
      </c>
      <c r="G13" s="329">
        <f>'1. Controle de Contrato'!I35</f>
        <v>0</v>
      </c>
      <c r="H13" s="329">
        <f>'1. Controle de Contrato'!J35</f>
        <v>0</v>
      </c>
      <c r="I13" s="329">
        <f>'1. Controle de Contrato'!K35</f>
        <v>0</v>
      </c>
      <c r="J13" s="329">
        <f>'1. Controle de Contrato'!L35</f>
        <v>0</v>
      </c>
      <c r="K13" s="328">
        <f>'1. Controle de Contrato'!M35</f>
        <v>0</v>
      </c>
      <c r="L13" s="329">
        <f>'1. Controle de Contrato'!N35</f>
        <v>0</v>
      </c>
      <c r="M13" s="329">
        <f>'1. Controle de Contrato'!O35</f>
        <v>0</v>
      </c>
      <c r="N13" s="330" t="str">
        <f>'1. Controle de Contrato'!P35</f>
        <v/>
      </c>
    </row>
    <row r="14" spans="1:14" x14ac:dyDescent="0.35">
      <c r="A14" s="74">
        <f>'1. Controle de Contrato'!C36</f>
        <v>13</v>
      </c>
      <c r="B14" s="327" t="str">
        <f>'1. Controle de Contrato'!D36</f>
        <v/>
      </c>
      <c r="C14" s="327" t="str">
        <f>'1. Controle de Contrato'!E36</f>
        <v/>
      </c>
      <c r="D14">
        <f>'1. Controle de Contrato'!F36</f>
        <v>0</v>
      </c>
      <c r="E14" s="328">
        <f>'1. Controle de Contrato'!G36</f>
        <v>0</v>
      </c>
      <c r="F14" s="328">
        <f>'1. Controle de Contrato'!H36</f>
        <v>0</v>
      </c>
      <c r="G14" s="329">
        <f>'1. Controle de Contrato'!I36</f>
        <v>0</v>
      </c>
      <c r="H14" s="329">
        <f>'1. Controle de Contrato'!J36</f>
        <v>0</v>
      </c>
      <c r="I14" s="329">
        <f>'1. Controle de Contrato'!K36</f>
        <v>0</v>
      </c>
      <c r="J14" s="329">
        <f>'1. Controle de Contrato'!L36</f>
        <v>0</v>
      </c>
      <c r="K14" s="328">
        <f>'1. Controle de Contrato'!M36</f>
        <v>0</v>
      </c>
      <c r="L14" s="329">
        <f>'1. Controle de Contrato'!N36</f>
        <v>0</v>
      </c>
      <c r="M14" s="329">
        <f>'1. Controle de Contrato'!O36</f>
        <v>0</v>
      </c>
      <c r="N14" s="330" t="str">
        <f>'1. Controle de Contrato'!P36</f>
        <v/>
      </c>
    </row>
    <row r="15" spans="1:14" x14ac:dyDescent="0.35">
      <c r="A15" s="74">
        <f>'1. Controle de Contrato'!C37</f>
        <v>14</v>
      </c>
      <c r="B15" s="327" t="str">
        <f>'1. Controle de Contrato'!D37</f>
        <v/>
      </c>
      <c r="C15" s="327" t="str">
        <f>'1. Controle de Contrato'!E37</f>
        <v/>
      </c>
      <c r="D15">
        <f>'1. Controle de Contrato'!F37</f>
        <v>0</v>
      </c>
      <c r="E15" s="328">
        <f>'1. Controle de Contrato'!G37</f>
        <v>0</v>
      </c>
      <c r="F15" s="328">
        <f>'1. Controle de Contrato'!H37</f>
        <v>0</v>
      </c>
      <c r="G15" s="329">
        <f>'1. Controle de Contrato'!I37</f>
        <v>0</v>
      </c>
      <c r="H15" s="329">
        <f>'1. Controle de Contrato'!J37</f>
        <v>0</v>
      </c>
      <c r="I15" s="329">
        <f>'1. Controle de Contrato'!K37</f>
        <v>0</v>
      </c>
      <c r="J15" s="329">
        <f>'1. Controle de Contrato'!L37</f>
        <v>0</v>
      </c>
      <c r="K15" s="328">
        <f>'1. Controle de Contrato'!M37</f>
        <v>0</v>
      </c>
      <c r="L15" s="329">
        <f>'1. Controle de Contrato'!N37</f>
        <v>0</v>
      </c>
      <c r="M15" s="329">
        <f>'1. Controle de Contrato'!O37</f>
        <v>0</v>
      </c>
      <c r="N15" s="330" t="str">
        <f>'1. Controle de Contrato'!P37</f>
        <v/>
      </c>
    </row>
    <row r="16" spans="1:14" x14ac:dyDescent="0.35">
      <c r="A16" s="74">
        <f>'1. Controle de Contrato'!C38</f>
        <v>15</v>
      </c>
      <c r="B16" s="327" t="str">
        <f>'1. Controle de Contrato'!D38</f>
        <v/>
      </c>
      <c r="C16" s="327" t="str">
        <f>'1. Controle de Contrato'!E38</f>
        <v/>
      </c>
      <c r="D16">
        <f>'1. Controle de Contrato'!F38</f>
        <v>0</v>
      </c>
      <c r="E16" s="328">
        <f>'1. Controle de Contrato'!G38</f>
        <v>0</v>
      </c>
      <c r="F16" s="328">
        <f>'1. Controle de Contrato'!H38</f>
        <v>0</v>
      </c>
      <c r="G16" s="329">
        <f>'1. Controle de Contrato'!I38</f>
        <v>0</v>
      </c>
      <c r="H16" s="329">
        <f>'1. Controle de Contrato'!J38</f>
        <v>0</v>
      </c>
      <c r="I16" s="329">
        <f>'1. Controle de Contrato'!K38</f>
        <v>0</v>
      </c>
      <c r="J16" s="329">
        <f>'1. Controle de Contrato'!L38</f>
        <v>0</v>
      </c>
      <c r="K16" s="328">
        <f>'1. Controle de Contrato'!M38</f>
        <v>0</v>
      </c>
      <c r="L16" s="329">
        <f>'1. Controle de Contrato'!N38</f>
        <v>0</v>
      </c>
      <c r="M16" s="329">
        <f>'1. Controle de Contrato'!O38</f>
        <v>0</v>
      </c>
      <c r="N16" s="330" t="str">
        <f>'1. Controle de Contrato'!P38</f>
        <v/>
      </c>
    </row>
    <row r="17" spans="1:14" x14ac:dyDescent="0.35">
      <c r="A17" s="74">
        <f>'1. Controle de Contrato'!C39</f>
        <v>16</v>
      </c>
      <c r="B17" s="327" t="str">
        <f>'1. Controle de Contrato'!D39</f>
        <v/>
      </c>
      <c r="C17" s="327" t="str">
        <f>'1. Controle de Contrato'!E39</f>
        <v/>
      </c>
      <c r="D17">
        <f>'1. Controle de Contrato'!F39</f>
        <v>0</v>
      </c>
      <c r="E17" s="328">
        <f>'1. Controle de Contrato'!G39</f>
        <v>0</v>
      </c>
      <c r="F17" s="328">
        <f>'1. Controle de Contrato'!H39</f>
        <v>0</v>
      </c>
      <c r="G17" s="329">
        <f>'1. Controle de Contrato'!I39</f>
        <v>0</v>
      </c>
      <c r="H17" s="329">
        <f>'1. Controle de Contrato'!J39</f>
        <v>0</v>
      </c>
      <c r="I17" s="329">
        <f>'1. Controle de Contrato'!K39</f>
        <v>0</v>
      </c>
      <c r="J17" s="329">
        <f>'1. Controle de Contrato'!L39</f>
        <v>0</v>
      </c>
      <c r="K17" s="328">
        <f>'1. Controle de Contrato'!M39</f>
        <v>0</v>
      </c>
      <c r="L17" s="329">
        <f>'1. Controle de Contrato'!N39</f>
        <v>0</v>
      </c>
      <c r="M17" s="329">
        <f>'1. Controle de Contrato'!O39</f>
        <v>0</v>
      </c>
      <c r="N17" s="330" t="str">
        <f>'1. Controle de Contrato'!P39</f>
        <v/>
      </c>
    </row>
    <row r="18" spans="1:14" x14ac:dyDescent="0.35">
      <c r="A18" s="74">
        <f>'1. Controle de Contrato'!C40</f>
        <v>17</v>
      </c>
      <c r="B18" s="327" t="str">
        <f>'1. Controle de Contrato'!D40</f>
        <v/>
      </c>
      <c r="C18" s="327" t="str">
        <f>'1. Controle de Contrato'!E40</f>
        <v/>
      </c>
      <c r="D18">
        <f>'1. Controle de Contrato'!F40</f>
        <v>0</v>
      </c>
      <c r="E18" s="328">
        <f>'1. Controle de Contrato'!G40</f>
        <v>0</v>
      </c>
      <c r="F18" s="328">
        <f>'1. Controle de Contrato'!H40</f>
        <v>0</v>
      </c>
      <c r="G18" s="329">
        <f>'1. Controle de Contrato'!I40</f>
        <v>0</v>
      </c>
      <c r="H18" s="329">
        <f>'1. Controle de Contrato'!J40</f>
        <v>0</v>
      </c>
      <c r="I18" s="329">
        <f>'1. Controle de Contrato'!K40</f>
        <v>0</v>
      </c>
      <c r="J18" s="329">
        <f>'1. Controle de Contrato'!L40</f>
        <v>0</v>
      </c>
      <c r="K18" s="328">
        <f>'1. Controle de Contrato'!M40</f>
        <v>0</v>
      </c>
      <c r="L18" s="329">
        <f>'1. Controle de Contrato'!N40</f>
        <v>0</v>
      </c>
      <c r="M18" s="329">
        <f>'1. Controle de Contrato'!O40</f>
        <v>0</v>
      </c>
      <c r="N18" s="330" t="str">
        <f>'1. Controle de Contrato'!P40</f>
        <v/>
      </c>
    </row>
    <row r="19" spans="1:14" x14ac:dyDescent="0.35">
      <c r="A19" s="74">
        <f>'1. Controle de Contrato'!C41</f>
        <v>18</v>
      </c>
      <c r="B19" s="327" t="str">
        <f>'1. Controle de Contrato'!D41</f>
        <v/>
      </c>
      <c r="C19" s="327" t="str">
        <f>'1. Controle de Contrato'!E41</f>
        <v/>
      </c>
      <c r="D19">
        <f>'1. Controle de Contrato'!F41</f>
        <v>0</v>
      </c>
      <c r="E19" s="328">
        <f>'1. Controle de Contrato'!G41</f>
        <v>0</v>
      </c>
      <c r="F19" s="328">
        <f>'1. Controle de Contrato'!H41</f>
        <v>0</v>
      </c>
      <c r="G19" s="329">
        <f>'1. Controle de Contrato'!I41</f>
        <v>0</v>
      </c>
      <c r="H19" s="329">
        <f>'1. Controle de Contrato'!J41</f>
        <v>0</v>
      </c>
      <c r="I19" s="329">
        <f>'1. Controle de Contrato'!K41</f>
        <v>0</v>
      </c>
      <c r="J19" s="329">
        <f>'1. Controle de Contrato'!L41</f>
        <v>0</v>
      </c>
      <c r="K19" s="328">
        <f>'1. Controle de Contrato'!M41</f>
        <v>0</v>
      </c>
      <c r="L19" s="329">
        <f>'1. Controle de Contrato'!N41</f>
        <v>0</v>
      </c>
      <c r="M19" s="329">
        <f>'1. Controle de Contrato'!O41</f>
        <v>0</v>
      </c>
      <c r="N19" s="330" t="str">
        <f>'1. Controle de Contrato'!P41</f>
        <v/>
      </c>
    </row>
    <row r="20" spans="1:14" x14ac:dyDescent="0.35">
      <c r="A20" s="74">
        <f>'1. Controle de Contrato'!C42</f>
        <v>19</v>
      </c>
      <c r="B20" s="327" t="str">
        <f>'1. Controle de Contrato'!D42</f>
        <v/>
      </c>
      <c r="C20" s="327" t="str">
        <f>'1. Controle de Contrato'!E42</f>
        <v/>
      </c>
      <c r="D20">
        <f>'1. Controle de Contrato'!F42</f>
        <v>0</v>
      </c>
      <c r="E20" s="328">
        <f>'1. Controle de Contrato'!G42</f>
        <v>0</v>
      </c>
      <c r="F20" s="328">
        <f>'1. Controle de Contrato'!H42</f>
        <v>0</v>
      </c>
      <c r="G20" s="329">
        <f>'1. Controle de Contrato'!I42</f>
        <v>0</v>
      </c>
      <c r="H20" s="329">
        <f>'1. Controle de Contrato'!J42</f>
        <v>0</v>
      </c>
      <c r="I20" s="329">
        <f>'1. Controle de Contrato'!K42</f>
        <v>0</v>
      </c>
      <c r="J20" s="329">
        <f>'1. Controle de Contrato'!L42</f>
        <v>0</v>
      </c>
      <c r="K20" s="328">
        <f>'1. Controle de Contrato'!M42</f>
        <v>0</v>
      </c>
      <c r="L20" s="329">
        <f>'1. Controle de Contrato'!N42</f>
        <v>0</v>
      </c>
      <c r="M20" s="329">
        <f>'1. Controle de Contrato'!O42</f>
        <v>0</v>
      </c>
      <c r="N20" s="330" t="str">
        <f>'1. Controle de Contrato'!P42</f>
        <v/>
      </c>
    </row>
    <row r="21" spans="1:14" x14ac:dyDescent="0.35">
      <c r="A21" s="74">
        <f>'1. Controle de Contrato'!C43</f>
        <v>20</v>
      </c>
      <c r="B21" s="327" t="str">
        <f>'1. Controle de Contrato'!D43</f>
        <v/>
      </c>
      <c r="C21" s="327" t="str">
        <f>'1. Controle de Contrato'!E43</f>
        <v/>
      </c>
      <c r="D21">
        <f>'1. Controle de Contrato'!F43</f>
        <v>0</v>
      </c>
      <c r="E21" s="328">
        <f>'1. Controle de Contrato'!G43</f>
        <v>0</v>
      </c>
      <c r="F21" s="328">
        <f>'1. Controle de Contrato'!H43</f>
        <v>0</v>
      </c>
      <c r="G21" s="329">
        <f>'1. Controle de Contrato'!I43</f>
        <v>0</v>
      </c>
      <c r="H21" s="329">
        <f>'1. Controle de Contrato'!J43</f>
        <v>0</v>
      </c>
      <c r="I21" s="329">
        <f>'1. Controle de Contrato'!K43</f>
        <v>0</v>
      </c>
      <c r="J21" s="329">
        <f>'1. Controle de Contrato'!L43</f>
        <v>0</v>
      </c>
      <c r="K21" s="328">
        <f>'1. Controle de Contrato'!M43</f>
        <v>0</v>
      </c>
      <c r="L21" s="329">
        <f>'1. Controle de Contrato'!N43</f>
        <v>0</v>
      </c>
      <c r="M21" s="329">
        <f>'1. Controle de Contrato'!O43</f>
        <v>0</v>
      </c>
      <c r="N21" s="330" t="str">
        <f>'1. Controle de Contrato'!P43</f>
        <v/>
      </c>
    </row>
    <row r="22" spans="1:14" hidden="1" x14ac:dyDescent="0.35">
      <c r="A22" s="74">
        <f t="shared" ref="A22:A37" si="0">A21+1</f>
        <v>21</v>
      </c>
      <c r="B22" s="80" t="str">
        <f>IF(IFERROR(_xlfn.XLOOKUP(A22,'2. Boletim de Medição'!$10:$10,'2. Boletim de Medição'!$6:$6),"")&gt;0,IFERROR(_xlfn.XLOOKUP(A22,'2. Boletim de Medição'!$10:$10,'2. Boletim de Medição'!$6:$6),""),"")</f>
        <v/>
      </c>
      <c r="C22" s="81" t="str">
        <f>IF(IFERROR(_xlfn.XLOOKUP(A22,'2. Boletim de Medição'!$10:$10,'2. Boletim de Medição'!$7:$7),"")&gt;0,IFERROR(_xlfn.XLOOKUP(A22,'2. Boletim de Medição'!$10:$10,'2. Boletim de Medição'!$7:$7),""),"")</f>
        <v/>
      </c>
      <c r="E22" s="83">
        <f>IFERROR(_xlfn.XLOOKUP(A22,'2. Boletim de Medição'!$10:$10,'2. Boletim de Medição'!$13:$13),0)</f>
        <v>0</v>
      </c>
      <c r="F22" s="83">
        <f>IFERROR(_xlfn.XLOOKUP(A22,'2. Boletim de Medição'!$10:$10,'2. Boletim de Medição'!$34:$34),0)</f>
        <v>0</v>
      </c>
      <c r="G22" s="111">
        <f>IFERROR(E22*#REF!,0)</f>
        <v>0</v>
      </c>
      <c r="H22" s="111">
        <f t="shared" ref="H22:H37" si="1">IFERROR(E22-F22-G22,0)</f>
        <v>0</v>
      </c>
      <c r="I22" s="111">
        <f t="shared" ref="I22:I37" si="2">IF(E22&gt;0,I21-E22,0)</f>
        <v>0</v>
      </c>
      <c r="J22" s="111">
        <f>IFERROR(_xlfn.XLOOKUP(A22,'3. Faturamento Direto'!$9:$9,'3. Faturamento Direto'!$13:$13),0)</f>
        <v>0</v>
      </c>
      <c r="K22" s="83">
        <f t="shared" ref="K22:K37" si="3">IF(J22&gt;0,K21-J22,0)</f>
        <v>0</v>
      </c>
      <c r="L22" s="84">
        <f t="shared" ref="L22:L37" si="4">E22+J22</f>
        <v>0</v>
      </c>
      <c r="M22" s="84">
        <f t="shared" ref="M22:M37" si="5">IF(L22&gt;0,M21-L22,0)</f>
        <v>0</v>
      </c>
      <c r="N22" s="204" t="str">
        <f>IF(M22&gt;0,M22/#REF!,"")</f>
        <v/>
      </c>
    </row>
    <row r="23" spans="1:14" hidden="1" x14ac:dyDescent="0.35">
      <c r="A23" s="74">
        <f t="shared" si="0"/>
        <v>22</v>
      </c>
      <c r="B23" s="80" t="str">
        <f>IF(IFERROR(_xlfn.XLOOKUP(A23,'2. Boletim de Medição'!$10:$10,'2. Boletim de Medição'!$6:$6),"")&gt;0,IFERROR(_xlfn.XLOOKUP(A23,'2. Boletim de Medição'!$10:$10,'2. Boletim de Medição'!$6:$6),""),"")</f>
        <v/>
      </c>
      <c r="C23" s="81" t="str">
        <f>IF(IFERROR(_xlfn.XLOOKUP(A23,'2. Boletim de Medição'!$10:$10,'2. Boletim de Medição'!$7:$7),"")&gt;0,IFERROR(_xlfn.XLOOKUP(A23,'2. Boletim de Medição'!$10:$10,'2. Boletim de Medição'!$7:$7),""),"")</f>
        <v/>
      </c>
      <c r="E23" s="83">
        <f>IFERROR(_xlfn.XLOOKUP(A23,'2. Boletim de Medição'!$10:$10,'2. Boletim de Medição'!$13:$13),0)</f>
        <v>0</v>
      </c>
      <c r="F23" s="83">
        <f>IFERROR(_xlfn.XLOOKUP(A23,'2. Boletim de Medição'!$10:$10,'2. Boletim de Medição'!$34:$34),0)</f>
        <v>0</v>
      </c>
      <c r="G23" s="111">
        <f>IFERROR(E23*#REF!,0)</f>
        <v>0</v>
      </c>
      <c r="H23" s="111">
        <f t="shared" si="1"/>
        <v>0</v>
      </c>
      <c r="I23" s="111">
        <f t="shared" si="2"/>
        <v>0</v>
      </c>
      <c r="J23" s="111">
        <f>IFERROR(_xlfn.XLOOKUP(A23,'3. Faturamento Direto'!$9:$9,'3. Faturamento Direto'!$13:$13),0)</f>
        <v>0</v>
      </c>
      <c r="K23" s="83">
        <f t="shared" si="3"/>
        <v>0</v>
      </c>
      <c r="L23" s="84">
        <f t="shared" si="4"/>
        <v>0</v>
      </c>
      <c r="M23" s="84">
        <f t="shared" si="5"/>
        <v>0</v>
      </c>
      <c r="N23" s="204" t="str">
        <f>IF(M23&gt;0,M23/#REF!,"")</f>
        <v/>
      </c>
    </row>
    <row r="24" spans="1:14" hidden="1" x14ac:dyDescent="0.35">
      <c r="A24" s="74">
        <f t="shared" si="0"/>
        <v>23</v>
      </c>
      <c r="B24" s="80" t="str">
        <f>IF(IFERROR(_xlfn.XLOOKUP(A24,'2. Boletim de Medição'!$10:$10,'2. Boletim de Medição'!$6:$6),"")&gt;0,IFERROR(_xlfn.XLOOKUP(A24,'2. Boletim de Medição'!$10:$10,'2. Boletim de Medição'!$6:$6),""),"")</f>
        <v/>
      </c>
      <c r="C24" s="81" t="str">
        <f>IF(IFERROR(_xlfn.XLOOKUP(A24,'2. Boletim de Medição'!$10:$10,'2. Boletim de Medição'!$7:$7),"")&gt;0,IFERROR(_xlfn.XLOOKUP(A24,'2. Boletim de Medição'!$10:$10,'2. Boletim de Medição'!$7:$7),""),"")</f>
        <v/>
      </c>
      <c r="E24" s="83">
        <f>IFERROR(_xlfn.XLOOKUP(A24,'2. Boletim de Medição'!$10:$10,'2. Boletim de Medição'!$13:$13),0)</f>
        <v>0</v>
      </c>
      <c r="F24" s="83">
        <f>IFERROR(_xlfn.XLOOKUP(A24,'2. Boletim de Medição'!$10:$10,'2. Boletim de Medição'!$34:$34),0)</f>
        <v>0</v>
      </c>
      <c r="G24" s="111">
        <f>IFERROR(E24*#REF!,0)</f>
        <v>0</v>
      </c>
      <c r="H24" s="111">
        <f t="shared" si="1"/>
        <v>0</v>
      </c>
      <c r="I24" s="111">
        <f t="shared" si="2"/>
        <v>0</v>
      </c>
      <c r="J24" s="111">
        <f>IFERROR(_xlfn.XLOOKUP(A24,'3. Faturamento Direto'!$9:$9,'3. Faturamento Direto'!$13:$13),0)</f>
        <v>0</v>
      </c>
      <c r="K24" s="83">
        <f t="shared" si="3"/>
        <v>0</v>
      </c>
      <c r="L24" s="84">
        <f t="shared" si="4"/>
        <v>0</v>
      </c>
      <c r="M24" s="84">
        <f t="shared" si="5"/>
        <v>0</v>
      </c>
      <c r="N24" s="204" t="str">
        <f>IF(M24&gt;0,M24/#REF!,"")</f>
        <v/>
      </c>
    </row>
    <row r="25" spans="1:14" hidden="1" x14ac:dyDescent="0.35">
      <c r="A25" s="74">
        <f t="shared" si="0"/>
        <v>24</v>
      </c>
      <c r="B25" s="80" t="str">
        <f>IF(IFERROR(_xlfn.XLOOKUP(A25,'2. Boletim de Medição'!$10:$10,'2. Boletim de Medição'!$6:$6),"")&gt;0,IFERROR(_xlfn.XLOOKUP(A25,'2. Boletim de Medição'!$10:$10,'2. Boletim de Medição'!$6:$6),""),"")</f>
        <v/>
      </c>
      <c r="C25" s="81" t="str">
        <f>IF(IFERROR(_xlfn.XLOOKUP(A25,'2. Boletim de Medição'!$10:$10,'2. Boletim de Medição'!$7:$7),"")&gt;0,IFERROR(_xlfn.XLOOKUP(A25,'2. Boletim de Medição'!$10:$10,'2. Boletim de Medição'!$7:$7),""),"")</f>
        <v/>
      </c>
      <c r="E25" s="83">
        <f>IFERROR(_xlfn.XLOOKUP(A25,'2. Boletim de Medição'!$10:$10,'2. Boletim de Medição'!$13:$13),0)</f>
        <v>0</v>
      </c>
      <c r="F25" s="83">
        <f>IFERROR(_xlfn.XLOOKUP(A25,'2. Boletim de Medição'!$10:$10,'2. Boletim de Medição'!$34:$34),0)</f>
        <v>0</v>
      </c>
      <c r="G25" s="111">
        <f>IFERROR(E25*#REF!,0)</f>
        <v>0</v>
      </c>
      <c r="H25" s="111">
        <f t="shared" si="1"/>
        <v>0</v>
      </c>
      <c r="I25" s="111">
        <f t="shared" si="2"/>
        <v>0</v>
      </c>
      <c r="J25" s="111">
        <f>IFERROR(_xlfn.XLOOKUP(A25,'3. Faturamento Direto'!$9:$9,'3. Faturamento Direto'!$13:$13),0)</f>
        <v>0</v>
      </c>
      <c r="K25" s="83">
        <f t="shared" si="3"/>
        <v>0</v>
      </c>
      <c r="L25" s="84">
        <f t="shared" si="4"/>
        <v>0</v>
      </c>
      <c r="M25" s="84">
        <f t="shared" si="5"/>
        <v>0</v>
      </c>
      <c r="N25" s="204" t="str">
        <f>IF(M25&gt;0,M25/#REF!,"")</f>
        <v/>
      </c>
    </row>
    <row r="26" spans="1:14" hidden="1" x14ac:dyDescent="0.35">
      <c r="A26" s="74">
        <f t="shared" si="0"/>
        <v>25</v>
      </c>
      <c r="B26" s="80" t="str">
        <f>IF(IFERROR(_xlfn.XLOOKUP(A26,'2. Boletim de Medição'!$10:$10,'2. Boletim de Medição'!$6:$6),"")&gt;0,IFERROR(_xlfn.XLOOKUP(A26,'2. Boletim de Medição'!$10:$10,'2. Boletim de Medição'!$6:$6),""),"")</f>
        <v/>
      </c>
      <c r="C26" s="81" t="str">
        <f>IF(IFERROR(_xlfn.XLOOKUP(A26,'2. Boletim de Medição'!$10:$10,'2. Boletim de Medição'!$7:$7),"")&gt;0,IFERROR(_xlfn.XLOOKUP(A26,'2. Boletim de Medição'!$10:$10,'2. Boletim de Medição'!$7:$7),""),"")</f>
        <v/>
      </c>
      <c r="E26" s="83">
        <f>IFERROR(_xlfn.XLOOKUP(A26,'2. Boletim de Medição'!$10:$10,'2. Boletim de Medição'!$13:$13),0)</f>
        <v>0</v>
      </c>
      <c r="F26" s="83">
        <f>IFERROR(_xlfn.XLOOKUP(A26,'2. Boletim de Medição'!$10:$10,'2. Boletim de Medição'!$34:$34),0)</f>
        <v>0</v>
      </c>
      <c r="G26" s="111">
        <f>IFERROR(E26*#REF!,0)</f>
        <v>0</v>
      </c>
      <c r="H26" s="111">
        <f t="shared" si="1"/>
        <v>0</v>
      </c>
      <c r="I26" s="111">
        <f t="shared" si="2"/>
        <v>0</v>
      </c>
      <c r="J26" s="111">
        <f>IFERROR(_xlfn.XLOOKUP(A26,'3. Faturamento Direto'!$9:$9,'3. Faturamento Direto'!$13:$13),0)</f>
        <v>0</v>
      </c>
      <c r="K26" s="83">
        <f t="shared" si="3"/>
        <v>0</v>
      </c>
      <c r="L26" s="84">
        <f t="shared" si="4"/>
        <v>0</v>
      </c>
      <c r="M26" s="84">
        <f t="shared" si="5"/>
        <v>0</v>
      </c>
      <c r="N26" s="204" t="str">
        <f>IF(M26&gt;0,M26/#REF!,"")</f>
        <v/>
      </c>
    </row>
    <row r="27" spans="1:14" hidden="1" x14ac:dyDescent="0.35">
      <c r="A27" s="74">
        <f t="shared" si="0"/>
        <v>26</v>
      </c>
      <c r="B27" s="80" t="str">
        <f>IF(IFERROR(_xlfn.XLOOKUP(A27,'2. Boletim de Medição'!$10:$10,'2. Boletim de Medição'!$6:$6),"")&gt;0,IFERROR(_xlfn.XLOOKUP(A27,'2. Boletim de Medição'!$10:$10,'2. Boletim de Medição'!$6:$6),""),"")</f>
        <v/>
      </c>
      <c r="C27" s="81" t="str">
        <f>IF(IFERROR(_xlfn.XLOOKUP(A27,'2. Boletim de Medição'!$10:$10,'2. Boletim de Medição'!$7:$7),"")&gt;0,IFERROR(_xlfn.XLOOKUP(A27,'2. Boletim de Medição'!$10:$10,'2. Boletim de Medição'!$7:$7),""),"")</f>
        <v/>
      </c>
      <c r="E27" s="83">
        <f>IFERROR(_xlfn.XLOOKUP(A27,'2. Boletim de Medição'!$10:$10,'2. Boletim de Medição'!$13:$13),0)</f>
        <v>0</v>
      </c>
      <c r="F27" s="83">
        <f>IFERROR(_xlfn.XLOOKUP(A27,'2. Boletim de Medição'!$10:$10,'2. Boletim de Medição'!$34:$34),0)</f>
        <v>0</v>
      </c>
      <c r="G27" s="111">
        <f>IFERROR(E27*#REF!,0)</f>
        <v>0</v>
      </c>
      <c r="H27" s="111">
        <f t="shared" si="1"/>
        <v>0</v>
      </c>
      <c r="I27" s="111">
        <f t="shared" si="2"/>
        <v>0</v>
      </c>
      <c r="J27" s="111">
        <f>IFERROR(_xlfn.XLOOKUP(A27,'3. Faturamento Direto'!$9:$9,'3. Faturamento Direto'!$13:$13),0)</f>
        <v>0</v>
      </c>
      <c r="K27" s="83">
        <f t="shared" si="3"/>
        <v>0</v>
      </c>
      <c r="L27" s="84">
        <f t="shared" si="4"/>
        <v>0</v>
      </c>
      <c r="M27" s="84">
        <f t="shared" si="5"/>
        <v>0</v>
      </c>
      <c r="N27" s="204" t="str">
        <f>IF(M27&gt;0,M27/#REF!,"")</f>
        <v/>
      </c>
    </row>
    <row r="28" spans="1:14" hidden="1" x14ac:dyDescent="0.35">
      <c r="A28" s="74">
        <f t="shared" si="0"/>
        <v>27</v>
      </c>
      <c r="B28" s="80" t="str">
        <f>IF(IFERROR(_xlfn.XLOOKUP(A28,'2. Boletim de Medição'!$10:$10,'2. Boletim de Medição'!$6:$6),"")&gt;0,IFERROR(_xlfn.XLOOKUP(A28,'2. Boletim de Medição'!$10:$10,'2. Boletim de Medição'!$6:$6),""),"")</f>
        <v/>
      </c>
      <c r="C28" s="81" t="str">
        <f>IF(IFERROR(_xlfn.XLOOKUP(A28,'2. Boletim de Medição'!$10:$10,'2. Boletim de Medição'!$7:$7),"")&gt;0,IFERROR(_xlfn.XLOOKUP(A28,'2. Boletim de Medição'!$10:$10,'2. Boletim de Medição'!$7:$7),""),"")</f>
        <v/>
      </c>
      <c r="E28" s="83">
        <f>IFERROR(_xlfn.XLOOKUP(A28,'2. Boletim de Medição'!$10:$10,'2. Boletim de Medição'!$13:$13),0)</f>
        <v>0</v>
      </c>
      <c r="F28" s="83">
        <f>IFERROR(_xlfn.XLOOKUP(A28,'2. Boletim de Medição'!$10:$10,'2. Boletim de Medição'!$34:$34),0)</f>
        <v>0</v>
      </c>
      <c r="G28" s="111">
        <f>IFERROR(E28*#REF!,0)</f>
        <v>0</v>
      </c>
      <c r="H28" s="111">
        <f t="shared" si="1"/>
        <v>0</v>
      </c>
      <c r="I28" s="111">
        <f t="shared" si="2"/>
        <v>0</v>
      </c>
      <c r="J28" s="111">
        <f>IFERROR(_xlfn.XLOOKUP(A28,'3. Faturamento Direto'!$9:$9,'3. Faturamento Direto'!$13:$13),0)</f>
        <v>0</v>
      </c>
      <c r="K28" s="83">
        <f t="shared" si="3"/>
        <v>0</v>
      </c>
      <c r="L28" s="84">
        <f>E28+J28</f>
        <v>0</v>
      </c>
      <c r="M28" s="84">
        <f t="shared" si="5"/>
        <v>0</v>
      </c>
      <c r="N28" s="204" t="str">
        <f>IF(M28&gt;0,M28/#REF!,"")</f>
        <v/>
      </c>
    </row>
    <row r="29" spans="1:14" hidden="1" x14ac:dyDescent="0.35">
      <c r="A29" s="74">
        <f t="shared" si="0"/>
        <v>28</v>
      </c>
      <c r="B29" s="80" t="str">
        <f>IF(IFERROR(_xlfn.XLOOKUP(A29,'2. Boletim de Medição'!$10:$10,'2. Boletim de Medição'!$6:$6),"")&gt;0,IFERROR(_xlfn.XLOOKUP(A29,'2. Boletim de Medição'!$10:$10,'2. Boletim de Medição'!$6:$6),""),"")</f>
        <v/>
      </c>
      <c r="C29" s="81" t="str">
        <f>IF(IFERROR(_xlfn.XLOOKUP(A29,'2. Boletim de Medição'!$10:$10,'2. Boletim de Medição'!$7:$7),"")&gt;0,IFERROR(_xlfn.XLOOKUP(A29,'2. Boletim de Medição'!$10:$10,'2. Boletim de Medição'!$7:$7),""),"")</f>
        <v/>
      </c>
      <c r="E29" s="83">
        <f>IFERROR(_xlfn.XLOOKUP(A29,'2. Boletim de Medição'!$10:$10,'2. Boletim de Medição'!$13:$13),0)</f>
        <v>0</v>
      </c>
      <c r="F29" s="83">
        <f>IFERROR(_xlfn.XLOOKUP(A29,'2. Boletim de Medição'!$10:$10,'2. Boletim de Medição'!$34:$34),0)</f>
        <v>0</v>
      </c>
      <c r="G29" s="111">
        <f>IFERROR(E29*#REF!,0)</f>
        <v>0</v>
      </c>
      <c r="H29" s="111">
        <f t="shared" si="1"/>
        <v>0</v>
      </c>
      <c r="I29" s="111">
        <f t="shared" si="2"/>
        <v>0</v>
      </c>
      <c r="J29" s="111">
        <f>IFERROR(_xlfn.XLOOKUP(A29,'3. Faturamento Direto'!$9:$9,'3. Faturamento Direto'!$13:$13),0)</f>
        <v>0</v>
      </c>
      <c r="K29" s="83">
        <f t="shared" si="3"/>
        <v>0</v>
      </c>
      <c r="L29" s="84">
        <f t="shared" si="4"/>
        <v>0</v>
      </c>
      <c r="M29" s="84">
        <f t="shared" si="5"/>
        <v>0</v>
      </c>
      <c r="N29" s="204" t="str">
        <f>IF(M29&gt;0,M29/#REF!,"")</f>
        <v/>
      </c>
    </row>
    <row r="30" spans="1:14" hidden="1" x14ac:dyDescent="0.35">
      <c r="A30" s="74">
        <f t="shared" si="0"/>
        <v>29</v>
      </c>
      <c r="B30" s="80" t="str">
        <f>IF(IFERROR(_xlfn.XLOOKUP(A30,'2. Boletim de Medição'!$10:$10,'2. Boletim de Medição'!$6:$6),"")&gt;0,IFERROR(_xlfn.XLOOKUP(A30,'2. Boletim de Medição'!$10:$10,'2. Boletim de Medição'!$6:$6),""),"")</f>
        <v/>
      </c>
      <c r="C30" s="81" t="str">
        <f>IF(IFERROR(_xlfn.XLOOKUP(A30,'2. Boletim de Medição'!$10:$10,'2. Boletim de Medição'!$7:$7),"")&gt;0,IFERROR(_xlfn.XLOOKUP(A30,'2. Boletim de Medição'!$10:$10,'2. Boletim de Medição'!$7:$7),""),"")</f>
        <v/>
      </c>
      <c r="E30" s="83">
        <f>IFERROR(_xlfn.XLOOKUP(A30,'2. Boletim de Medição'!$10:$10,'2. Boletim de Medição'!$13:$13),0)</f>
        <v>0</v>
      </c>
      <c r="F30" s="83">
        <f>IFERROR(_xlfn.XLOOKUP(A30,'2. Boletim de Medição'!$10:$10,'2. Boletim de Medição'!$34:$34),0)</f>
        <v>0</v>
      </c>
      <c r="G30" s="111">
        <f>IFERROR(E30*#REF!,0)</f>
        <v>0</v>
      </c>
      <c r="H30" s="111">
        <f t="shared" si="1"/>
        <v>0</v>
      </c>
      <c r="I30" s="111">
        <f t="shared" si="2"/>
        <v>0</v>
      </c>
      <c r="J30" s="111">
        <f>IFERROR(_xlfn.XLOOKUP(A30,'3. Faturamento Direto'!$9:$9,'3. Faturamento Direto'!$13:$13),0)</f>
        <v>0</v>
      </c>
      <c r="K30" s="83">
        <f t="shared" si="3"/>
        <v>0</v>
      </c>
      <c r="L30" s="84">
        <f t="shared" si="4"/>
        <v>0</v>
      </c>
      <c r="M30" s="84">
        <f t="shared" si="5"/>
        <v>0</v>
      </c>
      <c r="N30" s="204" t="str">
        <f>IF(M30&gt;0,M30/#REF!,"")</f>
        <v/>
      </c>
    </row>
    <row r="31" spans="1:14" hidden="1" x14ac:dyDescent="0.35">
      <c r="A31" s="74">
        <f t="shared" si="0"/>
        <v>30</v>
      </c>
      <c r="B31" s="80" t="str">
        <f>IF(IFERROR(_xlfn.XLOOKUP(A31,'2. Boletim de Medição'!$10:$10,'2. Boletim de Medição'!$6:$6),"")&gt;0,IFERROR(_xlfn.XLOOKUP(A31,'2. Boletim de Medição'!$10:$10,'2. Boletim de Medição'!$6:$6),""),"")</f>
        <v/>
      </c>
      <c r="C31" s="81" t="str">
        <f>IF(IFERROR(_xlfn.XLOOKUP(A31,'2. Boletim de Medição'!$10:$10,'2. Boletim de Medição'!$7:$7),"")&gt;0,IFERROR(_xlfn.XLOOKUP(A31,'2. Boletim de Medição'!$10:$10,'2. Boletim de Medição'!$7:$7),""),"")</f>
        <v/>
      </c>
      <c r="E31" s="83">
        <f>IFERROR(_xlfn.XLOOKUP(A31,'2. Boletim de Medição'!$10:$10,'2. Boletim de Medição'!$13:$13),0)</f>
        <v>0</v>
      </c>
      <c r="F31" s="83">
        <f>IFERROR(_xlfn.XLOOKUP(A31,'2. Boletim de Medição'!$10:$10,'2. Boletim de Medição'!$34:$34),0)</f>
        <v>0</v>
      </c>
      <c r="G31" s="111">
        <f>IFERROR(E31*#REF!,0)</f>
        <v>0</v>
      </c>
      <c r="H31" s="111">
        <f t="shared" si="1"/>
        <v>0</v>
      </c>
      <c r="I31" s="111">
        <f t="shared" si="2"/>
        <v>0</v>
      </c>
      <c r="J31" s="111">
        <f>IFERROR(_xlfn.XLOOKUP(A31,'3. Faturamento Direto'!$9:$9,'3. Faturamento Direto'!$13:$13),0)</f>
        <v>0</v>
      </c>
      <c r="K31" s="83">
        <f t="shared" si="3"/>
        <v>0</v>
      </c>
      <c r="L31" s="84">
        <f t="shared" si="4"/>
        <v>0</v>
      </c>
      <c r="M31" s="84">
        <f t="shared" si="5"/>
        <v>0</v>
      </c>
      <c r="N31" s="204" t="str">
        <f>IF(M31&gt;0,M31/#REF!,"")</f>
        <v/>
      </c>
    </row>
    <row r="32" spans="1:14" hidden="1" x14ac:dyDescent="0.35">
      <c r="A32" s="74">
        <f t="shared" si="0"/>
        <v>31</v>
      </c>
      <c r="B32" s="80" t="str">
        <f>IF(IFERROR(_xlfn.XLOOKUP(A32,'2. Boletim de Medição'!$10:$10,'2. Boletim de Medição'!$6:$6),"")&gt;0,IFERROR(_xlfn.XLOOKUP(A32,'2. Boletim de Medição'!$10:$10,'2. Boletim de Medição'!$6:$6),""),"")</f>
        <v/>
      </c>
      <c r="C32" s="81" t="str">
        <f>IF(IFERROR(_xlfn.XLOOKUP(A32,'2. Boletim de Medição'!$10:$10,'2. Boletim de Medição'!$7:$7),"")&gt;0,IFERROR(_xlfn.XLOOKUP(A32,'2. Boletim de Medição'!$10:$10,'2. Boletim de Medição'!$7:$7),""),"")</f>
        <v/>
      </c>
      <c r="E32" s="83">
        <f>IFERROR(_xlfn.XLOOKUP(A32,'2. Boletim de Medição'!$10:$10,'2. Boletim de Medição'!$13:$13),0)</f>
        <v>0</v>
      </c>
      <c r="F32" s="83">
        <f>IFERROR(_xlfn.XLOOKUP(A32,'2. Boletim de Medição'!$10:$10,'2. Boletim de Medição'!$34:$34),0)</f>
        <v>0</v>
      </c>
      <c r="G32" s="111">
        <f>IFERROR(E32*#REF!,0)</f>
        <v>0</v>
      </c>
      <c r="H32" s="111">
        <f t="shared" si="1"/>
        <v>0</v>
      </c>
      <c r="I32" s="111">
        <f t="shared" si="2"/>
        <v>0</v>
      </c>
      <c r="J32" s="111">
        <f>IFERROR(_xlfn.XLOOKUP(A32,'3. Faturamento Direto'!$9:$9,'3. Faturamento Direto'!$13:$13),0)</f>
        <v>0</v>
      </c>
      <c r="K32" s="83">
        <f t="shared" si="3"/>
        <v>0</v>
      </c>
      <c r="L32" s="84">
        <f t="shared" si="4"/>
        <v>0</v>
      </c>
      <c r="M32" s="84">
        <f t="shared" si="5"/>
        <v>0</v>
      </c>
      <c r="N32" s="204" t="str">
        <f>IF(M32&gt;0,M32/#REF!,"")</f>
        <v/>
      </c>
    </row>
    <row r="33" spans="1:14" hidden="1" x14ac:dyDescent="0.35">
      <c r="A33" s="74">
        <f t="shared" si="0"/>
        <v>32</v>
      </c>
      <c r="B33" s="80" t="str">
        <f>IF(IFERROR(_xlfn.XLOOKUP(A33,'2. Boletim de Medição'!$10:$10,'2. Boletim de Medição'!$6:$6),"")&gt;0,IFERROR(_xlfn.XLOOKUP(A33,'2. Boletim de Medição'!$10:$10,'2. Boletim de Medição'!$6:$6),""),"")</f>
        <v/>
      </c>
      <c r="C33" s="81" t="str">
        <f>IF(IFERROR(_xlfn.XLOOKUP(A33,'2. Boletim de Medição'!$10:$10,'2. Boletim de Medição'!$7:$7),"")&gt;0,IFERROR(_xlfn.XLOOKUP(A33,'2. Boletim de Medição'!$10:$10,'2. Boletim de Medição'!$7:$7),""),"")</f>
        <v/>
      </c>
      <c r="E33" s="83">
        <f>IFERROR(_xlfn.XLOOKUP(A33,'2. Boletim de Medição'!$10:$10,'2. Boletim de Medição'!$13:$13),0)</f>
        <v>0</v>
      </c>
      <c r="F33" s="83">
        <f>IFERROR(_xlfn.XLOOKUP(A33,'2. Boletim de Medição'!$10:$10,'2. Boletim de Medição'!$34:$34),0)</f>
        <v>0</v>
      </c>
      <c r="G33" s="111">
        <f>IFERROR(E33*#REF!,0)</f>
        <v>0</v>
      </c>
      <c r="H33" s="111">
        <f t="shared" si="1"/>
        <v>0</v>
      </c>
      <c r="I33" s="111">
        <f t="shared" si="2"/>
        <v>0</v>
      </c>
      <c r="J33" s="111">
        <f>IFERROR(_xlfn.XLOOKUP(A33,'3. Faturamento Direto'!$9:$9,'3. Faturamento Direto'!$13:$13),0)</f>
        <v>0</v>
      </c>
      <c r="K33" s="83">
        <f t="shared" si="3"/>
        <v>0</v>
      </c>
      <c r="L33" s="84">
        <f t="shared" si="4"/>
        <v>0</v>
      </c>
      <c r="M33" s="84">
        <f t="shared" si="5"/>
        <v>0</v>
      </c>
      <c r="N33" s="204" t="str">
        <f>IF(M33&gt;0,M33/#REF!,"")</f>
        <v/>
      </c>
    </row>
    <row r="34" spans="1:14" hidden="1" x14ac:dyDescent="0.35">
      <c r="A34" s="74">
        <f t="shared" si="0"/>
        <v>33</v>
      </c>
      <c r="B34" s="80" t="str">
        <f>IF(IFERROR(_xlfn.XLOOKUP(A34,'2. Boletim de Medição'!$10:$10,'2. Boletim de Medição'!$6:$6),"")&gt;0,IFERROR(_xlfn.XLOOKUP(A34,'2. Boletim de Medição'!$10:$10,'2. Boletim de Medição'!$6:$6),""),"")</f>
        <v/>
      </c>
      <c r="C34" s="81" t="str">
        <f>IF(IFERROR(_xlfn.XLOOKUP(A34,'2. Boletim de Medição'!$10:$10,'2. Boletim de Medição'!$7:$7),"")&gt;0,IFERROR(_xlfn.XLOOKUP(A34,'2. Boletim de Medição'!$10:$10,'2. Boletim de Medição'!$7:$7),""),"")</f>
        <v/>
      </c>
      <c r="E34" s="83">
        <f>IFERROR(_xlfn.XLOOKUP(A34,'2. Boletim de Medição'!$10:$10,'2. Boletim de Medição'!$13:$13),0)</f>
        <v>0</v>
      </c>
      <c r="F34" s="83">
        <f>IFERROR(_xlfn.XLOOKUP(A34,'2. Boletim de Medição'!$10:$10,'2. Boletim de Medição'!$34:$34),0)</f>
        <v>0</v>
      </c>
      <c r="G34" s="111">
        <f>IFERROR(E34*#REF!,0)</f>
        <v>0</v>
      </c>
      <c r="H34" s="111">
        <f t="shared" si="1"/>
        <v>0</v>
      </c>
      <c r="I34" s="111">
        <f t="shared" si="2"/>
        <v>0</v>
      </c>
      <c r="J34" s="111">
        <f>IFERROR(_xlfn.XLOOKUP(A34,'3. Faturamento Direto'!$9:$9,'3. Faturamento Direto'!$13:$13),0)</f>
        <v>0</v>
      </c>
      <c r="K34" s="83">
        <f t="shared" si="3"/>
        <v>0</v>
      </c>
      <c r="L34" s="84">
        <f t="shared" si="4"/>
        <v>0</v>
      </c>
      <c r="M34" s="84">
        <f t="shared" si="5"/>
        <v>0</v>
      </c>
      <c r="N34" s="204" t="str">
        <f>IF(M34&gt;0,M34/#REF!,"")</f>
        <v/>
      </c>
    </row>
    <row r="35" spans="1:14" hidden="1" x14ac:dyDescent="0.35">
      <c r="A35" s="74">
        <f t="shared" si="0"/>
        <v>34</v>
      </c>
      <c r="B35" s="80" t="str">
        <f>IF(IFERROR(_xlfn.XLOOKUP(A35,'2. Boletim de Medição'!$10:$10,'2. Boletim de Medição'!$6:$6),"")&gt;0,IFERROR(_xlfn.XLOOKUP(A35,'2. Boletim de Medição'!$10:$10,'2. Boletim de Medição'!$6:$6),""),"")</f>
        <v/>
      </c>
      <c r="C35" s="81" t="str">
        <f>IF(IFERROR(_xlfn.XLOOKUP(A35,'2. Boletim de Medição'!$10:$10,'2. Boletim de Medição'!$7:$7),"")&gt;0,IFERROR(_xlfn.XLOOKUP(A35,'2. Boletim de Medição'!$10:$10,'2. Boletim de Medição'!$7:$7),""),"")</f>
        <v/>
      </c>
      <c r="E35" s="83">
        <f>IFERROR(_xlfn.XLOOKUP(A35,'2. Boletim de Medição'!$10:$10,'2. Boletim de Medição'!$13:$13),0)</f>
        <v>0</v>
      </c>
      <c r="F35" s="83">
        <f>IFERROR(_xlfn.XLOOKUP(A35,'2. Boletim de Medição'!$10:$10,'2. Boletim de Medição'!$34:$34),0)</f>
        <v>0</v>
      </c>
      <c r="G35" s="111">
        <f>IFERROR(E35*#REF!,0)</f>
        <v>0</v>
      </c>
      <c r="H35" s="111">
        <f t="shared" si="1"/>
        <v>0</v>
      </c>
      <c r="I35" s="111">
        <f t="shared" si="2"/>
        <v>0</v>
      </c>
      <c r="J35" s="111">
        <f>IFERROR(_xlfn.XLOOKUP(A35,'3. Faturamento Direto'!$9:$9,'3. Faturamento Direto'!$13:$13),0)</f>
        <v>0</v>
      </c>
      <c r="K35" s="83">
        <f t="shared" si="3"/>
        <v>0</v>
      </c>
      <c r="L35" s="84">
        <f t="shared" si="4"/>
        <v>0</v>
      </c>
      <c r="M35" s="84">
        <f t="shared" si="5"/>
        <v>0</v>
      </c>
      <c r="N35" s="204" t="str">
        <f>IF(M35&gt;0,M35/#REF!,"")</f>
        <v/>
      </c>
    </row>
    <row r="36" spans="1:14" hidden="1" x14ac:dyDescent="0.35">
      <c r="A36" s="74">
        <f t="shared" si="0"/>
        <v>35</v>
      </c>
      <c r="B36" s="80" t="str">
        <f>IF(IFERROR(_xlfn.XLOOKUP(A36,'2. Boletim de Medição'!$10:$10,'2. Boletim de Medição'!$6:$6),"")&gt;0,IFERROR(_xlfn.XLOOKUP(A36,'2. Boletim de Medição'!$10:$10,'2. Boletim de Medição'!$6:$6),""),"")</f>
        <v/>
      </c>
      <c r="C36" s="81" t="str">
        <f>IF(IFERROR(_xlfn.XLOOKUP(A36,'2. Boletim de Medição'!$10:$10,'2. Boletim de Medição'!$7:$7),"")&gt;0,IFERROR(_xlfn.XLOOKUP(A36,'2. Boletim de Medição'!$10:$10,'2. Boletim de Medição'!$7:$7),""),"")</f>
        <v/>
      </c>
      <c r="E36" s="83">
        <f>IFERROR(_xlfn.XLOOKUP(A36,'2. Boletim de Medição'!$10:$10,'2. Boletim de Medição'!$13:$13),0)</f>
        <v>0</v>
      </c>
      <c r="F36" s="83">
        <f>IFERROR(_xlfn.XLOOKUP(A36,'2. Boletim de Medição'!$10:$10,'2. Boletim de Medição'!$34:$34),0)</f>
        <v>0</v>
      </c>
      <c r="G36" s="111">
        <f>IFERROR(E36*#REF!,0)</f>
        <v>0</v>
      </c>
      <c r="H36" s="111">
        <f t="shared" si="1"/>
        <v>0</v>
      </c>
      <c r="I36" s="111">
        <f t="shared" si="2"/>
        <v>0</v>
      </c>
      <c r="J36" s="111">
        <f>IFERROR(_xlfn.XLOOKUP(A36,'3. Faturamento Direto'!$9:$9,'3. Faturamento Direto'!$13:$13),0)</f>
        <v>0</v>
      </c>
      <c r="K36" s="83">
        <f t="shared" si="3"/>
        <v>0</v>
      </c>
      <c r="L36" s="84">
        <f t="shared" si="4"/>
        <v>0</v>
      </c>
      <c r="M36" s="84">
        <f t="shared" si="5"/>
        <v>0</v>
      </c>
      <c r="N36" s="204" t="str">
        <f>IF(M36&gt;0,M36/#REF!,"")</f>
        <v/>
      </c>
    </row>
    <row r="37" spans="1:14" hidden="1" x14ac:dyDescent="0.35">
      <c r="A37" s="74">
        <f t="shared" si="0"/>
        <v>36</v>
      </c>
      <c r="B37" s="80" t="str">
        <f>IF(IFERROR(_xlfn.XLOOKUP(A37,'2. Boletim de Medição'!$10:$10,'2. Boletim de Medição'!$6:$6),"")&gt;0,IFERROR(_xlfn.XLOOKUP(A37,'2. Boletim de Medição'!$10:$10,'2. Boletim de Medição'!$6:$6),""),"")</f>
        <v/>
      </c>
      <c r="C37" s="81" t="str">
        <f>IF(IFERROR(_xlfn.XLOOKUP(A37,'2. Boletim de Medição'!$10:$10,'2. Boletim de Medição'!$7:$7),"")&gt;0,IFERROR(_xlfn.XLOOKUP(A37,'2. Boletim de Medição'!$10:$10,'2. Boletim de Medição'!$7:$7),""),"")</f>
        <v/>
      </c>
      <c r="E37" s="83">
        <f>IFERROR(_xlfn.XLOOKUP(A37,'2. Boletim de Medição'!$10:$10,'2. Boletim de Medição'!$13:$13),0)</f>
        <v>0</v>
      </c>
      <c r="F37" s="83">
        <f>IFERROR(_xlfn.XLOOKUP(A37,'2. Boletim de Medição'!$10:$10,'2. Boletim de Medição'!$34:$34),0)</f>
        <v>0</v>
      </c>
      <c r="G37" s="111">
        <f>IFERROR(E37*#REF!,0)</f>
        <v>0</v>
      </c>
      <c r="H37" s="111">
        <f t="shared" si="1"/>
        <v>0</v>
      </c>
      <c r="I37" s="111">
        <f t="shared" si="2"/>
        <v>0</v>
      </c>
      <c r="J37" s="111">
        <f>IFERROR(_xlfn.XLOOKUP(A37,'3. Faturamento Direto'!$9:$9,'3. Faturamento Direto'!$13:$13),0)</f>
        <v>0</v>
      </c>
      <c r="K37" s="83">
        <f t="shared" si="3"/>
        <v>0</v>
      </c>
      <c r="L37" s="84">
        <f t="shared" si="4"/>
        <v>0</v>
      </c>
      <c r="M37" s="84">
        <f t="shared" si="5"/>
        <v>0</v>
      </c>
      <c r="N37" s="204" t="str">
        <f>IF(M37&gt;0,M37/#REF!,"")</f>
        <v/>
      </c>
    </row>
    <row r="38" spans="1:14" collapsed="1" x14ac:dyDescent="0.35"/>
    <row r="49" spans="1:14" x14ac:dyDescent="0.35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</row>
  </sheetData>
  <dataConsolidate/>
  <conditionalFormatting sqref="N2:N37">
    <cfRule type="iconSet" priority="2">
      <iconSet showValue="0">
        <cfvo type="percent" val="0"/>
        <cfvo type="num" val="0.2"/>
        <cfvo type="num" val="0.4"/>
      </iconSet>
    </cfRule>
  </conditionalFormatting>
  <pageMargins left="0.511811024" right="0.511811024" top="0.78740157499999996" bottom="0.78740157499999996" header="0.31496062000000002" footer="0.31496062000000002"/>
  <pageSetup paperSize="9" scale="47" fitToHeight="0" orientation="landscape" r:id="rId1"/>
  <ignoredErrors>
    <ignoredError xmlns:x16r3="http://schemas.microsoft.com/office/spreadsheetml/2018/08/main" sqref="B2:B21" x16r3:misleadingFormat="1"/>
    <ignoredError sqref="K2" calculatedColumn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C185-622C-4E31-8859-0B7D36F03F24}">
  <sheetPr codeName="Planilha9"/>
  <dimension ref="A1:B11"/>
  <sheetViews>
    <sheetView workbookViewId="0">
      <selection activeCell="B11" sqref="B11"/>
    </sheetView>
  </sheetViews>
  <sheetFormatPr defaultRowHeight="14.5" x14ac:dyDescent="0.35"/>
  <cols>
    <col min="2" max="2" width="11.08984375" bestFit="1" customWidth="1"/>
  </cols>
  <sheetData>
    <row r="1" spans="1:2" x14ac:dyDescent="0.35">
      <c r="A1" s="334" t="s">
        <v>200</v>
      </c>
      <c r="B1" s="334" t="s">
        <v>214</v>
      </c>
    </row>
    <row r="2" spans="1:2" x14ac:dyDescent="0.35">
      <c r="A2" s="334">
        <v>1</v>
      </c>
      <c r="B2" s="364">
        <f>IF(SUM(tbBoletim!M2:M15)=0,"",SUM(tbBoletim!M2:M15))</f>
        <v>2136</v>
      </c>
    </row>
    <row r="3" spans="1:2" x14ac:dyDescent="0.35">
      <c r="A3" s="334">
        <v>2</v>
      </c>
      <c r="B3" s="338">
        <f>SUM(tbBoletim!O2:O15)</f>
        <v>1405</v>
      </c>
    </row>
    <row r="4" spans="1:2" x14ac:dyDescent="0.35">
      <c r="A4" s="334">
        <v>3</v>
      </c>
      <c r="B4" s="338">
        <f>IF(SUM(tbBoletim!Q2:Q15)=0,"",SUM(tbBoletim!Q2:Q15))</f>
        <v>796</v>
      </c>
    </row>
    <row r="5" spans="1:2" x14ac:dyDescent="0.35">
      <c r="A5" s="334">
        <v>4</v>
      </c>
      <c r="B5" s="338">
        <f>IF(SUM(tbBoletim!S2:S15)=0,"",SUM(tbBoletim!S2:S15))</f>
        <v>829.79</v>
      </c>
    </row>
    <row r="6" spans="1:2" x14ac:dyDescent="0.35">
      <c r="A6" s="334">
        <v>5</v>
      </c>
      <c r="B6" s="338">
        <f>IF(SUM(tbBoletim!U2:U15)=0,"",SUM(tbBoletim!U2:U15))</f>
        <v>56</v>
      </c>
    </row>
    <row r="7" spans="1:2" x14ac:dyDescent="0.35">
      <c r="A7" s="334">
        <v>6</v>
      </c>
      <c r="B7" s="338" t="str">
        <f>IF(SUM(tbBoletim!W2:W15)=0,"",SUM(tbBoletim!W2:W15))</f>
        <v/>
      </c>
    </row>
    <row r="8" spans="1:2" x14ac:dyDescent="0.35">
      <c r="A8" s="334">
        <v>7</v>
      </c>
      <c r="B8" s="338" t="str">
        <f>IF(SUM(tbBoletim!Y2:Y15)=0,"",SUM(tbBoletim!Y2:Y15))</f>
        <v/>
      </c>
    </row>
    <row r="9" spans="1:2" x14ac:dyDescent="0.35">
      <c r="A9" s="334">
        <v>8</v>
      </c>
      <c r="B9" s="338" t="str">
        <f>IF(SUM(tbBoletim!AA2:AA15)=0,"",SUM(tbBoletim!AA2:AA15))</f>
        <v/>
      </c>
    </row>
    <row r="10" spans="1:2" x14ac:dyDescent="0.35">
      <c r="A10" s="334">
        <v>9</v>
      </c>
      <c r="B10" s="338" t="str">
        <f>IF(SUM(tbBoletim!AC2:AC15)=0,"",SUM(tbBoletim!AC2:AC15))</f>
        <v/>
      </c>
    </row>
    <row r="11" spans="1:2" x14ac:dyDescent="0.35">
      <c r="A11" s="334">
        <v>10</v>
      </c>
      <c r="B11" s="338" t="str">
        <f>IF(SUM(tbBoletim!AE2:AE15)=0,"",SUM(tbBoletim!AE2:AE15))</f>
        <v/>
      </c>
    </row>
  </sheetData>
  <pageMargins left="0.511811024" right="0.511811024" top="0.78740157499999996" bottom="0.78740157499999996" header="0.31496062000000002" footer="0.31496062000000002"/>
  <ignoredErrors>
    <ignoredError sqref="B2:B11" calculatedColumn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BCA8-6517-4D7C-B04C-4D7D97214C88}">
  <sheetPr codeName="Planilha10"/>
  <dimension ref="A1:AF21"/>
  <sheetViews>
    <sheetView workbookViewId="0">
      <selection activeCell="D26" sqref="D26"/>
    </sheetView>
  </sheetViews>
  <sheetFormatPr defaultRowHeight="14.5" x14ac:dyDescent="0.35"/>
  <cols>
    <col min="1" max="1" width="5.1796875" style="334" bestFit="1" customWidth="1"/>
    <col min="2" max="2" width="14.6328125" style="334" bestFit="1" customWidth="1"/>
    <col min="3" max="3" width="50.26953125" style="334" bestFit="1" customWidth="1"/>
    <col min="4" max="4" width="8.6328125" style="334" bestFit="1" customWidth="1"/>
    <col min="5" max="5" width="12.1796875" style="334" bestFit="1" customWidth="1"/>
    <col min="6" max="6" width="9.08984375" style="334" bestFit="1" customWidth="1"/>
    <col min="7" max="7" width="11.81640625" style="334" bestFit="1" customWidth="1"/>
    <col min="8" max="8" width="20.08984375" style="334" bestFit="1" customWidth="1"/>
    <col min="9" max="9" width="13.26953125" style="334" bestFit="1" customWidth="1"/>
    <col min="10" max="10" width="14.1796875" style="334" bestFit="1" customWidth="1"/>
    <col min="11" max="11" width="13.26953125" style="334" bestFit="1" customWidth="1"/>
    <col min="12" max="12" width="13.7265625" style="334" bestFit="1" customWidth="1"/>
    <col min="13" max="13" width="10.453125" style="334" bestFit="1" customWidth="1"/>
    <col min="14" max="14" width="16.6328125" style="334" bestFit="1" customWidth="1"/>
    <col min="15" max="15" width="10.453125" style="334" bestFit="1" customWidth="1"/>
    <col min="16" max="16" width="16.6328125" style="334" bestFit="1" customWidth="1"/>
    <col min="17" max="17" width="10.453125" style="334" bestFit="1" customWidth="1"/>
    <col min="18" max="18" width="16.6328125" style="334" bestFit="1" customWidth="1"/>
    <col min="19" max="19" width="10.453125" style="334" bestFit="1" customWidth="1"/>
    <col min="20" max="20" width="16.6328125" style="334" bestFit="1" customWidth="1"/>
    <col min="21" max="21" width="10.453125" style="334" bestFit="1" customWidth="1"/>
    <col min="22" max="22" width="16.6328125" style="334" bestFit="1" customWidth="1"/>
    <col min="23" max="23" width="10.453125" style="334" bestFit="1" customWidth="1"/>
    <col min="24" max="24" width="16.6328125" style="334" bestFit="1" customWidth="1"/>
    <col min="25" max="25" width="14.26953125" style="334" bestFit="1" customWidth="1"/>
    <col min="26" max="26" width="16.6328125" style="334" bestFit="1" customWidth="1"/>
    <col min="27" max="27" width="10.453125" style="334" bestFit="1" customWidth="1"/>
    <col min="28" max="28" width="16.6328125" style="334" bestFit="1" customWidth="1"/>
    <col min="29" max="29" width="10.453125" style="334" bestFit="1" customWidth="1"/>
    <col min="30" max="30" width="16.6328125" style="334" bestFit="1" customWidth="1"/>
    <col min="31" max="31" width="14.26953125" style="334" bestFit="1" customWidth="1"/>
    <col min="32" max="32" width="17.7265625" style="334" bestFit="1" customWidth="1"/>
  </cols>
  <sheetData>
    <row r="1" spans="1:32" x14ac:dyDescent="0.35">
      <c r="A1" s="334" t="s">
        <v>45</v>
      </c>
      <c r="B1" s="334" t="s">
        <v>46</v>
      </c>
      <c r="C1" s="334" t="s">
        <v>47</v>
      </c>
      <c r="D1" s="334" t="s">
        <v>48</v>
      </c>
      <c r="E1" s="334" t="s">
        <v>49</v>
      </c>
      <c r="F1" s="334" t="s">
        <v>50</v>
      </c>
      <c r="G1" s="334" t="s">
        <v>51</v>
      </c>
      <c r="H1" s="334" t="s">
        <v>52</v>
      </c>
      <c r="I1" s="334" t="s">
        <v>43</v>
      </c>
      <c r="J1" s="334" t="s">
        <v>183</v>
      </c>
      <c r="K1" s="334" t="s">
        <v>44</v>
      </c>
      <c r="L1" s="334" t="s">
        <v>184</v>
      </c>
      <c r="M1" s="334" t="s">
        <v>173</v>
      </c>
      <c r="N1" s="334" t="s">
        <v>185</v>
      </c>
      <c r="O1" s="334" t="s">
        <v>174</v>
      </c>
      <c r="P1" s="334" t="s">
        <v>186</v>
      </c>
      <c r="Q1" s="334" t="s">
        <v>175</v>
      </c>
      <c r="R1" s="334" t="s">
        <v>187</v>
      </c>
      <c r="S1" s="334" t="s">
        <v>176</v>
      </c>
      <c r="T1" s="334" t="s">
        <v>188</v>
      </c>
      <c r="U1" s="334" t="s">
        <v>177</v>
      </c>
      <c r="V1" s="334" t="s">
        <v>189</v>
      </c>
      <c r="W1" s="334" t="s">
        <v>178</v>
      </c>
      <c r="X1" s="334" t="s">
        <v>190</v>
      </c>
      <c r="Y1" s="334" t="s">
        <v>179</v>
      </c>
      <c r="Z1" s="334" t="s">
        <v>191</v>
      </c>
      <c r="AA1" s="334" t="s">
        <v>180</v>
      </c>
      <c r="AB1" s="334" t="s">
        <v>192</v>
      </c>
      <c r="AC1" s="334" t="s">
        <v>181</v>
      </c>
      <c r="AD1" s="334" t="s">
        <v>193</v>
      </c>
      <c r="AE1" s="334" t="s">
        <v>182</v>
      </c>
      <c r="AF1" s="334" t="s">
        <v>194</v>
      </c>
    </row>
    <row r="2" spans="1:32" x14ac:dyDescent="0.35">
      <c r="A2" s="334" t="s">
        <v>56</v>
      </c>
      <c r="B2" s="334">
        <f>'2. Boletim de Medição'!C17</f>
        <v>0</v>
      </c>
      <c r="C2" s="334" t="str">
        <f>'2. Boletim de Medição'!D17</f>
        <v>INSTALAÇÕES ELÉTRICAS</v>
      </c>
      <c r="D2" s="334">
        <f>'2. Boletim de Medição'!E17</f>
        <v>0</v>
      </c>
      <c r="E2" s="334">
        <f>'2. Boletim de Medição'!F17</f>
        <v>0</v>
      </c>
      <c r="F2" s="339">
        <f>'2. Boletim de Medição'!G17</f>
        <v>0</v>
      </c>
      <c r="G2" s="335">
        <f>'2. Boletim de Medição'!H17</f>
        <v>1</v>
      </c>
      <c r="H2" s="337">
        <f>'2. Boletim de Medição'!I17</f>
        <v>213840</v>
      </c>
      <c r="I2" s="338">
        <f>'2. Boletim de Medição'!L17</f>
        <v>0</v>
      </c>
      <c r="J2" s="337">
        <f>'2. Boletim de Medição'!M17</f>
        <v>101067.8</v>
      </c>
      <c r="K2" s="338">
        <f>'2. Boletim de Medição'!P17</f>
        <v>0</v>
      </c>
      <c r="L2" s="337">
        <f>'2. Boletim de Medição'!Q17</f>
        <v>112772.2</v>
      </c>
      <c r="M2" s="338">
        <f>'2. Boletim de Medição'!S17</f>
        <v>0</v>
      </c>
      <c r="N2" s="337">
        <f>'2. Boletim de Medição'!T17</f>
        <v>42170</v>
      </c>
      <c r="O2" s="338">
        <f>'2. Boletim de Medição'!V17</f>
        <v>0</v>
      </c>
      <c r="P2" s="337">
        <f>'2. Boletim de Medição'!W17</f>
        <v>27310</v>
      </c>
      <c r="Q2" s="338">
        <f>'2. Boletim de Medição'!Z17</f>
        <v>0</v>
      </c>
      <c r="R2" s="337">
        <f>'2. Boletim de Medição'!AA17</f>
        <v>14285</v>
      </c>
      <c r="S2" s="338">
        <f>'2. Boletim de Medição'!AC17</f>
        <v>0</v>
      </c>
      <c r="T2" s="337">
        <f>'2. Boletim de Medição'!AD17</f>
        <v>15902.8</v>
      </c>
      <c r="U2" s="338">
        <f>'2. Boletim de Medição'!AF17</f>
        <v>0</v>
      </c>
      <c r="V2" s="337">
        <f>'2. Boletim de Medição'!AG17</f>
        <v>1400</v>
      </c>
      <c r="W2" s="338">
        <f>'2. Boletim de Medição'!AI17</f>
        <v>0</v>
      </c>
      <c r="X2" s="337">
        <f>'2. Boletim de Medição'!AJ17</f>
        <v>0</v>
      </c>
      <c r="Y2" s="338">
        <f>'2. Boletim de Medição'!AL17</f>
        <v>0</v>
      </c>
      <c r="Z2" s="337">
        <f>'2. Boletim de Medição'!AM17</f>
        <v>0</v>
      </c>
      <c r="AA2" s="338">
        <f>'2. Boletim de Medição'!AO17</f>
        <v>0</v>
      </c>
      <c r="AB2" s="337">
        <f>'2. Boletim de Medição'!AP17</f>
        <v>0</v>
      </c>
      <c r="AC2" s="338">
        <f>'2. Boletim de Medição'!AR17</f>
        <v>0</v>
      </c>
      <c r="AD2" s="337">
        <f>'2. Boletim de Medição'!AS17</f>
        <v>0</v>
      </c>
      <c r="AE2" s="338">
        <f>'2. Boletim de Medição'!AU17</f>
        <v>0</v>
      </c>
      <c r="AF2" s="337">
        <f>'2. Boletim de Medição'!AV17</f>
        <v>0</v>
      </c>
    </row>
    <row r="3" spans="1:32" x14ac:dyDescent="0.35">
      <c r="A3" s="334" t="s">
        <v>57</v>
      </c>
      <c r="B3" s="334">
        <f>'2. Boletim de Medição'!C18</f>
        <v>0</v>
      </c>
      <c r="C3" s="334" t="str">
        <f>'2. Boletim de Medição'!D18</f>
        <v>Mao de Obra Colocacao de Azulejo</v>
      </c>
      <c r="D3" s="334" t="str">
        <f>'2. Boletim de Medição'!E18</f>
        <v>M²</v>
      </c>
      <c r="E3" s="334">
        <f>'2. Boletim de Medição'!F18</f>
        <v>1081</v>
      </c>
      <c r="F3" s="336">
        <f>'2. Boletim de Medição'!G18</f>
        <v>20</v>
      </c>
      <c r="G3" s="335">
        <f>'2. Boletim de Medição'!H18</f>
        <v>0.10110362888140666</v>
      </c>
      <c r="H3" s="337">
        <f>'2. Boletim de Medição'!I18</f>
        <v>21620</v>
      </c>
      <c r="I3" s="338">
        <f>'2. Boletim de Medição'!L18</f>
        <v>262.79000000000002</v>
      </c>
      <c r="J3" s="337">
        <f>'2. Boletim de Medição'!M18</f>
        <v>5255.8</v>
      </c>
      <c r="K3" s="338">
        <f>'2. Boletim de Medição'!P18</f>
        <v>818.21</v>
      </c>
      <c r="L3" s="337">
        <f>'2. Boletim de Medição'!Q18</f>
        <v>16364.2</v>
      </c>
      <c r="M3" s="338">
        <f>'2. Boletim de Medição'!S18</f>
        <v>0</v>
      </c>
      <c r="N3" s="337">
        <f>'2. Boletim de Medição'!T18</f>
        <v>0</v>
      </c>
      <c r="O3" s="338">
        <f>'2. Boletim de Medição'!V18</f>
        <v>0</v>
      </c>
      <c r="P3" s="337">
        <f>'2. Boletim de Medição'!W18</f>
        <v>0</v>
      </c>
      <c r="Q3" s="338">
        <f>'2. Boletim de Medição'!Z18</f>
        <v>0</v>
      </c>
      <c r="R3" s="337">
        <f>'2. Boletim de Medição'!AA18</f>
        <v>0</v>
      </c>
      <c r="S3" s="338">
        <f>'2. Boletim de Medição'!AC18</f>
        <v>262.79000000000002</v>
      </c>
      <c r="T3" s="337">
        <f>'2. Boletim de Medição'!AD18</f>
        <v>5255.8</v>
      </c>
      <c r="U3" s="338">
        <f>'2. Boletim de Medição'!AF18</f>
        <v>0</v>
      </c>
      <c r="V3" s="337">
        <f>'2. Boletim de Medição'!AG18</f>
        <v>0</v>
      </c>
      <c r="W3" s="338">
        <f>'2. Boletim de Medição'!AI18</f>
        <v>0</v>
      </c>
      <c r="X3" s="337">
        <f>'2. Boletim de Medição'!AJ18</f>
        <v>0</v>
      </c>
      <c r="Y3" s="338">
        <f>'2. Boletim de Medição'!AL18</f>
        <v>0</v>
      </c>
      <c r="Z3" s="337">
        <f>'2. Boletim de Medição'!AM18</f>
        <v>0</v>
      </c>
      <c r="AA3" s="338">
        <f>'2. Boletim de Medição'!AO18</f>
        <v>0</v>
      </c>
      <c r="AB3" s="337">
        <f>'2. Boletim de Medição'!AP18</f>
        <v>0</v>
      </c>
      <c r="AC3" s="338">
        <f>'2. Boletim de Medição'!AR18</f>
        <v>0</v>
      </c>
      <c r="AD3" s="337">
        <f>'2. Boletim de Medição'!AS18</f>
        <v>0</v>
      </c>
      <c r="AE3" s="338">
        <f>'2. Boletim de Medição'!AU18</f>
        <v>0</v>
      </c>
      <c r="AF3" s="337">
        <f>'2. Boletim de Medição'!AV18</f>
        <v>0</v>
      </c>
    </row>
    <row r="4" spans="1:32" x14ac:dyDescent="0.35">
      <c r="A4" s="334" t="s">
        <v>58</v>
      </c>
      <c r="B4" s="334">
        <f>'2. Boletim de Medição'!C19</f>
        <v>0</v>
      </c>
      <c r="C4" s="334" t="str">
        <f>'2. Boletim de Medição'!D19</f>
        <v>Mao de Obra Colocacao Piso Ceramico</v>
      </c>
      <c r="D4" s="334" t="str">
        <f>'2. Boletim de Medição'!E19</f>
        <v>M²</v>
      </c>
      <c r="E4" s="334">
        <f>'2. Boletim de Medição'!F19</f>
        <v>3028</v>
      </c>
      <c r="F4" s="336">
        <f>'2. Boletim de Medição'!G19</f>
        <v>25</v>
      </c>
      <c r="G4" s="335">
        <f>'2. Boletim de Medição'!H19</f>
        <v>0.35400299289188181</v>
      </c>
      <c r="H4" s="337">
        <f>'2. Boletim de Medição'!I19</f>
        <v>75700</v>
      </c>
      <c r="I4" s="338">
        <f>'2. Boletim de Medição'!L19</f>
        <v>2046.2</v>
      </c>
      <c r="J4" s="337">
        <f>'2. Boletim de Medição'!M19</f>
        <v>51155</v>
      </c>
      <c r="K4" s="338">
        <f>'2. Boletim de Medição'!P19</f>
        <v>981.8</v>
      </c>
      <c r="L4" s="337">
        <f>'2. Boletim de Medição'!Q19</f>
        <v>24545</v>
      </c>
      <c r="M4" s="338">
        <f>'2. Boletim de Medição'!S19</f>
        <v>1013</v>
      </c>
      <c r="N4" s="337">
        <f>'2. Boletim de Medição'!T19</f>
        <v>25325</v>
      </c>
      <c r="O4" s="338">
        <f>'2. Boletim de Medição'!V19</f>
        <v>581</v>
      </c>
      <c r="P4" s="337">
        <f>'2. Boletim de Medição'!W19</f>
        <v>14525</v>
      </c>
      <c r="Q4" s="338">
        <f>'2. Boletim de Medição'!Z19</f>
        <v>238</v>
      </c>
      <c r="R4" s="337">
        <f>'2. Boletim de Medição'!AA19</f>
        <v>5950</v>
      </c>
      <c r="S4" s="338">
        <f>'2. Boletim de Medição'!AC19</f>
        <v>214.2</v>
      </c>
      <c r="T4" s="337">
        <f>'2. Boletim de Medição'!AD19</f>
        <v>5355</v>
      </c>
      <c r="U4" s="338">
        <f>'2. Boletim de Medição'!AF19</f>
        <v>0</v>
      </c>
      <c r="V4" s="337">
        <f>'2. Boletim de Medição'!AG19</f>
        <v>0</v>
      </c>
      <c r="W4" s="338">
        <f>'2. Boletim de Medição'!AI19</f>
        <v>0</v>
      </c>
      <c r="X4" s="337">
        <f>'2. Boletim de Medição'!AJ19</f>
        <v>0</v>
      </c>
      <c r="Y4" s="338">
        <f>'2. Boletim de Medição'!AL19</f>
        <v>0</v>
      </c>
      <c r="Z4" s="337">
        <f>'2. Boletim de Medição'!AM19</f>
        <v>0</v>
      </c>
      <c r="AA4" s="338">
        <f>'2. Boletim de Medição'!AO19</f>
        <v>0</v>
      </c>
      <c r="AB4" s="337">
        <f>'2. Boletim de Medição'!AP19</f>
        <v>0</v>
      </c>
      <c r="AC4" s="338">
        <f>'2. Boletim de Medição'!AR19</f>
        <v>0</v>
      </c>
      <c r="AD4" s="337">
        <f>'2. Boletim de Medição'!AS19</f>
        <v>0</v>
      </c>
      <c r="AE4" s="338">
        <f>'2. Boletim de Medição'!AU19</f>
        <v>0</v>
      </c>
      <c r="AF4" s="337">
        <f>'2. Boletim de Medição'!AV19</f>
        <v>0</v>
      </c>
    </row>
    <row r="5" spans="1:32" x14ac:dyDescent="0.35">
      <c r="A5" s="334" t="s">
        <v>91</v>
      </c>
      <c r="B5" s="334">
        <f>'2. Boletim de Medição'!C20</f>
        <v>0</v>
      </c>
      <c r="C5" s="334" t="str">
        <f>'2. Boletim de Medição'!D20</f>
        <v>M.O para colocação de soleiras</v>
      </c>
      <c r="D5" s="334" t="str">
        <f>'2. Boletim de Medição'!E20</f>
        <v>M</v>
      </c>
      <c r="E5" s="334">
        <f>'2. Boletim de Medição'!F20</f>
        <v>337</v>
      </c>
      <c r="F5" s="336">
        <f>'2. Boletim de Medição'!G20</f>
        <v>10</v>
      </c>
      <c r="G5" s="335">
        <f>'2. Boletim de Medição'!H20</f>
        <v>1.5759446315001872E-2</v>
      </c>
      <c r="H5" s="337">
        <f>'2. Boletim de Medição'!I20</f>
        <v>3370</v>
      </c>
      <c r="I5" s="338">
        <f>'2. Boletim de Medição'!L20</f>
        <v>204</v>
      </c>
      <c r="J5" s="337">
        <f>'2. Boletim de Medição'!M20</f>
        <v>2040</v>
      </c>
      <c r="K5" s="338">
        <f>'2. Boletim de Medição'!P20</f>
        <v>133</v>
      </c>
      <c r="L5" s="337">
        <f>'2. Boletim de Medição'!Q20</f>
        <v>1330</v>
      </c>
      <c r="M5" s="338">
        <f>'2. Boletim de Medição'!S20</f>
        <v>0</v>
      </c>
      <c r="N5" s="337">
        <f>'2. Boletim de Medição'!T20</f>
        <v>0</v>
      </c>
      <c r="O5" s="338">
        <f>'2. Boletim de Medição'!V20</f>
        <v>155</v>
      </c>
      <c r="P5" s="337">
        <f>'2. Boletim de Medição'!W20</f>
        <v>1550</v>
      </c>
      <c r="Q5" s="338">
        <f>'2. Boletim de Medição'!Z20</f>
        <v>49</v>
      </c>
      <c r="R5" s="337">
        <f>'2. Boletim de Medição'!AA20</f>
        <v>490</v>
      </c>
      <c r="S5" s="338">
        <f>'2. Boletim de Medição'!AC20</f>
        <v>0</v>
      </c>
      <c r="T5" s="337">
        <f>'2. Boletim de Medição'!AD20</f>
        <v>0</v>
      </c>
      <c r="U5" s="338">
        <f>'2. Boletim de Medição'!AF20</f>
        <v>0</v>
      </c>
      <c r="V5" s="337">
        <f>'2. Boletim de Medição'!AG20</f>
        <v>0</v>
      </c>
      <c r="W5" s="338">
        <f>'2. Boletim de Medição'!AI20</f>
        <v>0</v>
      </c>
      <c r="X5" s="337">
        <f>'2. Boletim de Medição'!AJ20</f>
        <v>0</v>
      </c>
      <c r="Y5" s="338">
        <f>'2. Boletim de Medição'!AL20</f>
        <v>0</v>
      </c>
      <c r="Z5" s="337">
        <f>'2. Boletim de Medição'!AM20</f>
        <v>0</v>
      </c>
      <c r="AA5" s="338">
        <f>'2. Boletim de Medição'!AO20</f>
        <v>0</v>
      </c>
      <c r="AB5" s="337">
        <f>'2. Boletim de Medição'!AP20</f>
        <v>0</v>
      </c>
      <c r="AC5" s="338">
        <f>'2. Boletim de Medição'!AR20</f>
        <v>0</v>
      </c>
      <c r="AD5" s="337">
        <f>'2. Boletim de Medição'!AS20</f>
        <v>0</v>
      </c>
      <c r="AE5" s="338">
        <f>'2. Boletim de Medição'!AU20</f>
        <v>0</v>
      </c>
      <c r="AF5" s="337">
        <f>'2. Boletim de Medição'!AV20</f>
        <v>0</v>
      </c>
    </row>
    <row r="6" spans="1:32" x14ac:dyDescent="0.35">
      <c r="A6" s="334" t="s">
        <v>92</v>
      </c>
      <c r="B6" s="334">
        <f>'2. Boletim de Medição'!C21</f>
        <v>0</v>
      </c>
      <c r="C6" s="334" t="str">
        <f>'2. Boletim de Medição'!D21</f>
        <v>M.O. para colocação de baguetes</v>
      </c>
      <c r="D6" s="334" t="str">
        <f>'2. Boletim de Medição'!E21</f>
        <v>M</v>
      </c>
      <c r="E6" s="334">
        <f>'2. Boletim de Medição'!F21</f>
        <v>353</v>
      </c>
      <c r="F6" s="336">
        <f>'2. Boletim de Medição'!G21</f>
        <v>25</v>
      </c>
      <c r="G6" s="335">
        <f>'2. Boletim de Medição'!H21</f>
        <v>4.1269173213617658E-2</v>
      </c>
      <c r="H6" s="337">
        <f>'2. Boletim de Medição'!I21</f>
        <v>8825</v>
      </c>
      <c r="I6" s="338">
        <f>'2. Boletim de Medição'!L21</f>
        <v>197</v>
      </c>
      <c r="J6" s="337">
        <f>'2. Boletim de Medição'!M21</f>
        <v>4925</v>
      </c>
      <c r="K6" s="338">
        <f>'2. Boletim de Medição'!P21</f>
        <v>156</v>
      </c>
      <c r="L6" s="337">
        <f>'2. Boletim de Medição'!Q21</f>
        <v>3900</v>
      </c>
      <c r="M6" s="338">
        <f>'2. Boletim de Medição'!S21</f>
        <v>0</v>
      </c>
      <c r="N6" s="337">
        <f>'2. Boletim de Medição'!T21</f>
        <v>0</v>
      </c>
      <c r="O6" s="338">
        <f>'2. Boletim de Medição'!V21</f>
        <v>120</v>
      </c>
      <c r="P6" s="337">
        <f>'2. Boletim de Medição'!W21</f>
        <v>3000</v>
      </c>
      <c r="Q6" s="338">
        <f>'2. Boletim de Medição'!Z21</f>
        <v>21</v>
      </c>
      <c r="R6" s="337">
        <f>'2. Boletim de Medição'!AA21</f>
        <v>525</v>
      </c>
      <c r="S6" s="338">
        <f>'2. Boletim de Medição'!AC21</f>
        <v>0</v>
      </c>
      <c r="T6" s="337">
        <f>'2. Boletim de Medição'!AD21</f>
        <v>0</v>
      </c>
      <c r="U6" s="338">
        <f>'2. Boletim de Medição'!AF21</f>
        <v>56</v>
      </c>
      <c r="V6" s="337">
        <f>'2. Boletim de Medição'!AG21</f>
        <v>1400</v>
      </c>
      <c r="W6" s="338">
        <f>'2. Boletim de Medição'!AI21</f>
        <v>0</v>
      </c>
      <c r="X6" s="337">
        <f>'2. Boletim de Medição'!AJ21</f>
        <v>0</v>
      </c>
      <c r="Y6" s="338">
        <f>'2. Boletim de Medição'!AL21</f>
        <v>0</v>
      </c>
      <c r="Z6" s="337">
        <f>'2. Boletim de Medição'!AM21</f>
        <v>0</v>
      </c>
      <c r="AA6" s="338">
        <f>'2. Boletim de Medição'!AO21</f>
        <v>0</v>
      </c>
      <c r="AB6" s="337">
        <f>'2. Boletim de Medição'!AP21</f>
        <v>0</v>
      </c>
      <c r="AC6" s="338">
        <f>'2. Boletim de Medição'!AR21</f>
        <v>0</v>
      </c>
      <c r="AD6" s="337">
        <f>'2. Boletim de Medição'!AS21</f>
        <v>0</v>
      </c>
      <c r="AE6" s="338">
        <f>'2. Boletim de Medição'!AU21</f>
        <v>0</v>
      </c>
      <c r="AF6" s="337">
        <f>'2. Boletim de Medição'!AV21</f>
        <v>0</v>
      </c>
    </row>
    <row r="7" spans="1:32" x14ac:dyDescent="0.35">
      <c r="A7" s="334" t="s">
        <v>93</v>
      </c>
      <c r="B7" s="334">
        <f>'2. Boletim de Medição'!C22</f>
        <v>0</v>
      </c>
      <c r="C7" s="334" t="str">
        <f>'2. Boletim de Medição'!D22</f>
        <v xml:space="preserve">	Rodapé Cerâmico | Porcelanato - Serviço M.O Subcontrato</v>
      </c>
      <c r="D7" s="334" t="str">
        <f>'2. Boletim de Medição'!E22</f>
        <v>M</v>
      </c>
      <c r="E7" s="334">
        <f>'2. Boletim de Medição'!F22</f>
        <v>6955</v>
      </c>
      <c r="F7" s="336">
        <f>'2. Boletim de Medição'!G22</f>
        <v>15</v>
      </c>
      <c r="G7" s="335">
        <f>'2. Boletim de Medição'!H22</f>
        <v>0.48786475869809204</v>
      </c>
      <c r="H7" s="337">
        <f>'2. Boletim de Medição'!I22</f>
        <v>104325</v>
      </c>
      <c r="I7" s="338">
        <f>'2. Boletim de Medição'!L22</f>
        <v>2512.8000000000002</v>
      </c>
      <c r="J7" s="337">
        <f>'2. Boletim de Medição'!M22</f>
        <v>37692</v>
      </c>
      <c r="K7" s="338">
        <f>'2. Boletim de Medição'!P22</f>
        <v>4442.2</v>
      </c>
      <c r="L7" s="337">
        <f>'2. Boletim de Medição'!Q22</f>
        <v>66633</v>
      </c>
      <c r="M7" s="338">
        <f>'2. Boletim de Medição'!S22</f>
        <v>1123</v>
      </c>
      <c r="N7" s="337">
        <f>'2. Boletim de Medição'!T22</f>
        <v>16845</v>
      </c>
      <c r="O7" s="338">
        <f>'2. Boletim de Medição'!V22</f>
        <v>549</v>
      </c>
      <c r="P7" s="337">
        <f>'2. Boletim de Medição'!W22</f>
        <v>8235</v>
      </c>
      <c r="Q7" s="338">
        <f>'2. Boletim de Medição'!Z22</f>
        <v>488</v>
      </c>
      <c r="R7" s="337">
        <f>'2. Boletim de Medição'!AA22</f>
        <v>7320</v>
      </c>
      <c r="S7" s="338">
        <f>'2. Boletim de Medição'!AC22</f>
        <v>352.8</v>
      </c>
      <c r="T7" s="337">
        <f>'2. Boletim de Medição'!AD22</f>
        <v>5292</v>
      </c>
      <c r="U7" s="338">
        <f>'2. Boletim de Medição'!AF22</f>
        <v>0</v>
      </c>
      <c r="V7" s="337">
        <f>'2. Boletim de Medição'!AG22</f>
        <v>0</v>
      </c>
      <c r="W7" s="338">
        <f>'2. Boletim de Medição'!AI22</f>
        <v>0</v>
      </c>
      <c r="X7" s="337">
        <f>'2. Boletim de Medição'!AJ22</f>
        <v>0</v>
      </c>
      <c r="Y7" s="338">
        <f>'2. Boletim de Medição'!AL22</f>
        <v>0</v>
      </c>
      <c r="Z7" s="337">
        <f>'2. Boletim de Medição'!AM22</f>
        <v>0</v>
      </c>
      <c r="AA7" s="338">
        <f>'2. Boletim de Medição'!AO22</f>
        <v>0</v>
      </c>
      <c r="AB7" s="337">
        <f>'2. Boletim de Medição'!AP22</f>
        <v>0</v>
      </c>
      <c r="AC7" s="338">
        <f>'2. Boletim de Medição'!AR22</f>
        <v>0</v>
      </c>
      <c r="AD7" s="337">
        <f>'2. Boletim de Medição'!AS22</f>
        <v>0</v>
      </c>
      <c r="AE7" s="338">
        <f>'2. Boletim de Medição'!AU22</f>
        <v>0</v>
      </c>
      <c r="AF7" s="337">
        <f>'2. Boletim de Medição'!AV22</f>
        <v>0</v>
      </c>
    </row>
    <row r="8" spans="1:32" x14ac:dyDescent="0.35">
      <c r="A8" s="334" t="s">
        <v>93</v>
      </c>
      <c r="B8" s="334">
        <f>'2. Boletim de Medição'!C23</f>
        <v>0</v>
      </c>
      <c r="C8" s="334">
        <f>'2. Boletim de Medição'!D23</f>
        <v>0</v>
      </c>
      <c r="D8" s="334">
        <f>'2. Boletim de Medição'!E23</f>
        <v>0</v>
      </c>
      <c r="E8" s="334">
        <f>'2. Boletim de Medição'!F23</f>
        <v>0</v>
      </c>
      <c r="F8" s="336">
        <f>'2. Boletim de Medição'!G23</f>
        <v>0</v>
      </c>
      <c r="G8" s="335">
        <f>'2. Boletim de Medição'!H23</f>
        <v>0</v>
      </c>
      <c r="H8" s="337">
        <f>'2. Boletim de Medição'!I23</f>
        <v>0</v>
      </c>
      <c r="I8" s="338">
        <f>'2. Boletim de Medição'!L23</f>
        <v>0</v>
      </c>
      <c r="J8" s="337">
        <f>'2. Boletim de Medição'!M23</f>
        <v>0</v>
      </c>
      <c r="K8" s="338">
        <f>'2. Boletim de Medição'!P23</f>
        <v>0</v>
      </c>
      <c r="L8" s="337">
        <f>'2. Boletim de Medição'!Q23</f>
        <v>0</v>
      </c>
      <c r="M8" s="338">
        <f>'2. Boletim de Medição'!S23</f>
        <v>0</v>
      </c>
      <c r="N8" s="337">
        <f>'2. Boletim de Medição'!T23</f>
        <v>0</v>
      </c>
      <c r="O8" s="338">
        <f>'2. Boletim de Medição'!V23</f>
        <v>0</v>
      </c>
      <c r="P8" s="337">
        <f>'2. Boletim de Medição'!W23</f>
        <v>0</v>
      </c>
      <c r="Q8" s="338">
        <f>'2. Boletim de Medição'!Z23</f>
        <v>0</v>
      </c>
      <c r="R8" s="337">
        <f>'2. Boletim de Medição'!AA23</f>
        <v>0</v>
      </c>
      <c r="S8" s="338">
        <f>'2. Boletim de Medição'!AC23</f>
        <v>0</v>
      </c>
      <c r="T8" s="337">
        <f>'2. Boletim de Medição'!AD23</f>
        <v>0</v>
      </c>
      <c r="U8" s="338">
        <f>'2. Boletim de Medição'!AF23</f>
        <v>0</v>
      </c>
      <c r="V8" s="337">
        <f>'2. Boletim de Medição'!AG23</f>
        <v>0</v>
      </c>
      <c r="W8" s="338">
        <f>'2. Boletim de Medição'!AI23</f>
        <v>0</v>
      </c>
      <c r="X8" s="337">
        <f>'2. Boletim de Medição'!AJ23</f>
        <v>0</v>
      </c>
      <c r="Y8" s="338">
        <f>'2. Boletim de Medição'!AL23</f>
        <v>0</v>
      </c>
      <c r="Z8" s="337">
        <f>'2. Boletim de Medição'!AM23</f>
        <v>0</v>
      </c>
      <c r="AA8" s="338">
        <f>'2. Boletim de Medição'!AO23</f>
        <v>0</v>
      </c>
      <c r="AB8" s="337">
        <f>'2. Boletim de Medição'!AP23</f>
        <v>0</v>
      </c>
      <c r="AC8" s="338">
        <f>'2. Boletim de Medição'!AR23</f>
        <v>0</v>
      </c>
      <c r="AD8" s="337">
        <f>'2. Boletim de Medição'!AS23</f>
        <v>0</v>
      </c>
      <c r="AE8" s="338">
        <f>'2. Boletim de Medição'!AU23</f>
        <v>0</v>
      </c>
      <c r="AF8" s="337">
        <f>'2. Boletim de Medição'!AV23</f>
        <v>0</v>
      </c>
    </row>
    <row r="9" spans="1:32" x14ac:dyDescent="0.35">
      <c r="A9" s="334" t="s">
        <v>94</v>
      </c>
      <c r="B9" s="334">
        <f>'2. Boletim de Medição'!C24</f>
        <v>0</v>
      </c>
      <c r="C9" s="334">
        <f>'2. Boletim de Medição'!D24</f>
        <v>0</v>
      </c>
      <c r="D9" s="334">
        <f>'2. Boletim de Medição'!E24</f>
        <v>0</v>
      </c>
      <c r="E9" s="334">
        <f>'2. Boletim de Medição'!F24</f>
        <v>0</v>
      </c>
      <c r="F9" s="336">
        <f>'2. Boletim de Medição'!G24</f>
        <v>0</v>
      </c>
      <c r="G9" s="335">
        <f>'2. Boletim de Medição'!H24</f>
        <v>0</v>
      </c>
      <c r="H9" s="337">
        <f>'2. Boletim de Medição'!I24</f>
        <v>0</v>
      </c>
      <c r="I9" s="338">
        <f>'2. Boletim de Medição'!L24</f>
        <v>0</v>
      </c>
      <c r="J9" s="337">
        <f>'2. Boletim de Medição'!M24</f>
        <v>0</v>
      </c>
      <c r="K9" s="338">
        <f>'2. Boletim de Medição'!P24</f>
        <v>0</v>
      </c>
      <c r="L9" s="337">
        <f>'2. Boletim de Medição'!Q24</f>
        <v>0</v>
      </c>
      <c r="M9" s="338">
        <f>'2. Boletim de Medição'!S24</f>
        <v>0</v>
      </c>
      <c r="N9" s="337">
        <f>'2. Boletim de Medição'!T24</f>
        <v>0</v>
      </c>
      <c r="O9" s="338">
        <f>'2. Boletim de Medição'!V24</f>
        <v>0</v>
      </c>
      <c r="P9" s="337">
        <f>'2. Boletim de Medição'!W24</f>
        <v>0</v>
      </c>
      <c r="Q9" s="338">
        <f>'2. Boletim de Medição'!Z24</f>
        <v>0</v>
      </c>
      <c r="R9" s="337">
        <f>'2. Boletim de Medição'!AA24</f>
        <v>0</v>
      </c>
      <c r="S9" s="338">
        <f>'2. Boletim de Medição'!AC24</f>
        <v>0</v>
      </c>
      <c r="T9" s="337">
        <f>'2. Boletim de Medição'!AD24</f>
        <v>0</v>
      </c>
      <c r="U9" s="338">
        <f>'2. Boletim de Medição'!AF24</f>
        <v>0</v>
      </c>
      <c r="V9" s="337">
        <f>'2. Boletim de Medição'!AG24</f>
        <v>0</v>
      </c>
      <c r="W9" s="338">
        <f>'2. Boletim de Medição'!AI24</f>
        <v>0</v>
      </c>
      <c r="X9" s="337">
        <f>'2. Boletim de Medição'!AJ24</f>
        <v>0</v>
      </c>
      <c r="Y9" s="338">
        <f>'2. Boletim de Medição'!AL24</f>
        <v>0</v>
      </c>
      <c r="Z9" s="337">
        <f>'2. Boletim de Medição'!AM24</f>
        <v>0</v>
      </c>
      <c r="AA9" s="338">
        <f>'2. Boletim de Medição'!AO24</f>
        <v>0</v>
      </c>
      <c r="AB9" s="337">
        <f>'2. Boletim de Medição'!AP24</f>
        <v>0</v>
      </c>
      <c r="AC9" s="338">
        <f>'2. Boletim de Medição'!AR24</f>
        <v>0</v>
      </c>
      <c r="AD9" s="337">
        <f>'2. Boletim de Medição'!AS24</f>
        <v>0</v>
      </c>
      <c r="AE9" s="338">
        <f>'2. Boletim de Medição'!AU24</f>
        <v>0</v>
      </c>
      <c r="AF9" s="337">
        <f>'2. Boletim de Medição'!AV24</f>
        <v>0</v>
      </c>
    </row>
    <row r="10" spans="1:32" x14ac:dyDescent="0.35">
      <c r="A10" s="334" t="s">
        <v>95</v>
      </c>
      <c r="B10" s="334">
        <f>'2. Boletim de Medição'!C25</f>
        <v>0</v>
      </c>
      <c r="C10" s="334">
        <f>'2. Boletim de Medição'!D25</f>
        <v>0</v>
      </c>
      <c r="D10" s="334">
        <f>'2. Boletim de Medição'!E25</f>
        <v>0</v>
      </c>
      <c r="E10" s="334">
        <f>'2. Boletim de Medição'!F25</f>
        <v>0</v>
      </c>
      <c r="F10" s="336">
        <f>'2. Boletim de Medição'!G25</f>
        <v>0</v>
      </c>
      <c r="G10" s="335">
        <f>'2. Boletim de Medição'!H25</f>
        <v>0</v>
      </c>
      <c r="H10" s="337">
        <f>'2. Boletim de Medição'!I25</f>
        <v>0</v>
      </c>
      <c r="I10" s="338">
        <f>'2. Boletim de Medição'!L25</f>
        <v>0</v>
      </c>
      <c r="J10" s="337">
        <f>'2. Boletim de Medição'!M25</f>
        <v>0</v>
      </c>
      <c r="K10" s="338">
        <f>'2. Boletim de Medição'!P25</f>
        <v>0</v>
      </c>
      <c r="L10" s="337">
        <f>'2. Boletim de Medição'!Q25</f>
        <v>0</v>
      </c>
      <c r="M10" s="338">
        <f>'2. Boletim de Medição'!S25</f>
        <v>0</v>
      </c>
      <c r="N10" s="337">
        <f>'2. Boletim de Medição'!T25</f>
        <v>0</v>
      </c>
      <c r="O10" s="338">
        <f>'2. Boletim de Medição'!V25</f>
        <v>0</v>
      </c>
      <c r="P10" s="337">
        <f>'2. Boletim de Medição'!W25</f>
        <v>0</v>
      </c>
      <c r="Q10" s="338">
        <f>'2. Boletim de Medição'!Z25</f>
        <v>0</v>
      </c>
      <c r="R10" s="337">
        <f>'2. Boletim de Medição'!AA25</f>
        <v>0</v>
      </c>
      <c r="S10" s="338">
        <f>'2. Boletim de Medição'!AC25</f>
        <v>0</v>
      </c>
      <c r="T10" s="337">
        <f>'2. Boletim de Medição'!AD25</f>
        <v>0</v>
      </c>
      <c r="U10" s="338">
        <f>'2. Boletim de Medição'!AF25</f>
        <v>0</v>
      </c>
      <c r="V10" s="337">
        <f>'2. Boletim de Medição'!AG25</f>
        <v>0</v>
      </c>
      <c r="W10" s="338">
        <f>'2. Boletim de Medição'!AI25</f>
        <v>0</v>
      </c>
      <c r="X10" s="337">
        <f>'2. Boletim de Medição'!AJ25</f>
        <v>0</v>
      </c>
      <c r="Y10" s="338">
        <f>'2. Boletim de Medição'!AL25</f>
        <v>0</v>
      </c>
      <c r="Z10" s="337">
        <f>'2. Boletim de Medição'!AM25</f>
        <v>0</v>
      </c>
      <c r="AA10" s="338">
        <f>'2. Boletim de Medição'!AO25</f>
        <v>0</v>
      </c>
      <c r="AB10" s="337">
        <f>'2. Boletim de Medição'!AP25</f>
        <v>0</v>
      </c>
      <c r="AC10" s="338">
        <f>'2. Boletim de Medição'!AR25</f>
        <v>0</v>
      </c>
      <c r="AD10" s="337">
        <f>'2. Boletim de Medição'!AS25</f>
        <v>0</v>
      </c>
      <c r="AE10" s="338">
        <f>'2. Boletim de Medição'!AU25</f>
        <v>0</v>
      </c>
      <c r="AF10" s="337">
        <f>'2. Boletim de Medição'!AV25</f>
        <v>0</v>
      </c>
    </row>
    <row r="11" spans="1:32" x14ac:dyDescent="0.35">
      <c r="A11" s="334" t="s">
        <v>109</v>
      </c>
      <c r="B11" s="334">
        <f>'2. Boletim de Medição'!C26</f>
        <v>0</v>
      </c>
      <c r="C11" s="334">
        <f>'2. Boletim de Medição'!D26</f>
        <v>0</v>
      </c>
      <c r="D11" s="334">
        <f>'2. Boletim de Medição'!E26</f>
        <v>0</v>
      </c>
      <c r="E11" s="334">
        <f>'2. Boletim de Medição'!F26</f>
        <v>0</v>
      </c>
      <c r="F11" s="336">
        <f>'2. Boletim de Medição'!G26</f>
        <v>0</v>
      </c>
      <c r="G11" s="335">
        <f>'2. Boletim de Medição'!H26</f>
        <v>0</v>
      </c>
      <c r="H11" s="337">
        <f>'2. Boletim de Medição'!I26</f>
        <v>0</v>
      </c>
      <c r="I11" s="338">
        <f>'2. Boletim de Medição'!L26</f>
        <v>0</v>
      </c>
      <c r="J11" s="337">
        <f>'2. Boletim de Medição'!M26</f>
        <v>0</v>
      </c>
      <c r="K11" s="338">
        <f>'2. Boletim de Medição'!P26</f>
        <v>0</v>
      </c>
      <c r="L11" s="337">
        <f>'2. Boletim de Medição'!Q26</f>
        <v>0</v>
      </c>
      <c r="M11" s="338">
        <f>'2. Boletim de Medição'!S26</f>
        <v>0</v>
      </c>
      <c r="N11" s="337">
        <f>'2. Boletim de Medição'!T26</f>
        <v>0</v>
      </c>
      <c r="O11" s="338">
        <f>'2. Boletim de Medição'!V26</f>
        <v>0</v>
      </c>
      <c r="P11" s="337">
        <f>'2. Boletim de Medição'!W26</f>
        <v>0</v>
      </c>
      <c r="Q11" s="338">
        <f>'2. Boletim de Medição'!Z26</f>
        <v>0</v>
      </c>
      <c r="R11" s="337">
        <f>'2. Boletim de Medição'!AA26</f>
        <v>0</v>
      </c>
      <c r="S11" s="338">
        <f>'2. Boletim de Medição'!AC26</f>
        <v>0</v>
      </c>
      <c r="T11" s="337">
        <f>'2. Boletim de Medição'!AD26</f>
        <v>0</v>
      </c>
      <c r="U11" s="338">
        <f>'2. Boletim de Medição'!AF26</f>
        <v>0</v>
      </c>
      <c r="V11" s="337">
        <f>'2. Boletim de Medição'!AG26</f>
        <v>0</v>
      </c>
      <c r="W11" s="338">
        <f>'2. Boletim de Medição'!AI26</f>
        <v>0</v>
      </c>
      <c r="X11" s="337">
        <f>'2. Boletim de Medição'!AJ26</f>
        <v>0</v>
      </c>
      <c r="Y11" s="338">
        <f>'2. Boletim de Medição'!AL26</f>
        <v>0</v>
      </c>
      <c r="Z11" s="337">
        <f>'2. Boletim de Medição'!AM26</f>
        <v>0</v>
      </c>
      <c r="AA11" s="338">
        <f>'2. Boletim de Medição'!AO26</f>
        <v>0</v>
      </c>
      <c r="AB11" s="337">
        <f>'2. Boletim de Medição'!AP26</f>
        <v>0</v>
      </c>
      <c r="AC11" s="338">
        <f>'2. Boletim de Medição'!AR26</f>
        <v>0</v>
      </c>
      <c r="AD11" s="337" t="e">
        <f>'2. Boletim de Medição'!AS26</f>
        <v>#REF!</v>
      </c>
      <c r="AE11" s="338">
        <f>'2. Boletim de Medição'!AU26</f>
        <v>0</v>
      </c>
      <c r="AF11" s="337">
        <f>'2. Boletim de Medição'!AV26</f>
        <v>0</v>
      </c>
    </row>
    <row r="12" spans="1:32" x14ac:dyDescent="0.35">
      <c r="A12" s="334" t="s">
        <v>110</v>
      </c>
      <c r="B12" s="334">
        <f>'2. Boletim de Medição'!C27</f>
        <v>0</v>
      </c>
      <c r="C12" s="334">
        <f>'2. Boletim de Medição'!D27</f>
        <v>0</v>
      </c>
      <c r="D12" s="334">
        <f>'2. Boletim de Medição'!E27</f>
        <v>0</v>
      </c>
      <c r="E12" s="334">
        <f>'2. Boletim de Medição'!F27</f>
        <v>0</v>
      </c>
      <c r="F12" s="336">
        <f>'2. Boletim de Medição'!G27</f>
        <v>0</v>
      </c>
      <c r="G12" s="335">
        <f>'2. Boletim de Medição'!H27</f>
        <v>0</v>
      </c>
      <c r="H12" s="337">
        <f>'2. Boletim de Medição'!I27</f>
        <v>0</v>
      </c>
      <c r="I12" s="338">
        <f>'2. Boletim de Medição'!L27</f>
        <v>0</v>
      </c>
      <c r="J12" s="337">
        <f>'2. Boletim de Medição'!M27</f>
        <v>0</v>
      </c>
      <c r="K12" s="338">
        <f>'2. Boletim de Medição'!P27</f>
        <v>0</v>
      </c>
      <c r="L12" s="337">
        <f>'2. Boletim de Medição'!Q27</f>
        <v>0</v>
      </c>
      <c r="M12" s="338">
        <f>'2. Boletim de Medição'!S27</f>
        <v>0</v>
      </c>
      <c r="N12" s="337">
        <f>'2. Boletim de Medição'!T27</f>
        <v>0</v>
      </c>
      <c r="O12" s="338">
        <f>'2. Boletim de Medição'!V27</f>
        <v>0</v>
      </c>
      <c r="P12" s="337">
        <f>'2. Boletim de Medição'!W27</f>
        <v>0</v>
      </c>
      <c r="Q12" s="338">
        <f>'2. Boletim de Medição'!Z27</f>
        <v>0</v>
      </c>
      <c r="R12" s="337">
        <f>'2. Boletim de Medição'!AA27</f>
        <v>0</v>
      </c>
      <c r="S12" s="338">
        <f>'2. Boletim de Medição'!AC27</f>
        <v>0</v>
      </c>
      <c r="T12" s="337">
        <f>'2. Boletim de Medição'!AD27</f>
        <v>0</v>
      </c>
      <c r="U12" s="338">
        <f>'2. Boletim de Medição'!AF27</f>
        <v>0</v>
      </c>
      <c r="V12" s="337">
        <f>'2. Boletim de Medição'!AG27</f>
        <v>0</v>
      </c>
      <c r="W12" s="338">
        <f>'2. Boletim de Medição'!AI27</f>
        <v>0</v>
      </c>
      <c r="X12" s="337">
        <f>'2. Boletim de Medição'!AJ27</f>
        <v>0</v>
      </c>
      <c r="Y12" s="338">
        <f>'2. Boletim de Medição'!AL27</f>
        <v>0</v>
      </c>
      <c r="Z12" s="337">
        <f>'2. Boletim de Medição'!AM27</f>
        <v>0</v>
      </c>
      <c r="AA12" s="338">
        <f>'2. Boletim de Medição'!AO27</f>
        <v>0</v>
      </c>
      <c r="AB12" s="337">
        <f>'2. Boletim de Medição'!AP27</f>
        <v>0</v>
      </c>
      <c r="AC12" s="338">
        <f>'2. Boletim de Medição'!AR27</f>
        <v>0</v>
      </c>
      <c r="AD12" s="337">
        <f>'2. Boletim de Medição'!AS27</f>
        <v>0</v>
      </c>
      <c r="AE12" s="338">
        <f>'2. Boletim de Medição'!AU27</f>
        <v>0</v>
      </c>
      <c r="AF12" s="337">
        <f>'2. Boletim de Medição'!AV27</f>
        <v>0</v>
      </c>
    </row>
    <row r="13" spans="1:32" x14ac:dyDescent="0.35">
      <c r="A13" s="334" t="s">
        <v>97</v>
      </c>
      <c r="B13" s="334">
        <f>'2. Boletim de Medição'!C28</f>
        <v>0</v>
      </c>
      <c r="C13" s="334">
        <f>'2. Boletim de Medição'!D28</f>
        <v>0</v>
      </c>
      <c r="D13" s="334">
        <f>'2. Boletim de Medição'!E28</f>
        <v>0</v>
      </c>
      <c r="E13" s="334">
        <f>'2. Boletim de Medição'!F28</f>
        <v>0</v>
      </c>
      <c r="F13" s="336">
        <f>'2. Boletim de Medição'!G28</f>
        <v>0</v>
      </c>
      <c r="G13" s="335">
        <f>'2. Boletim de Medição'!H28</f>
        <v>0</v>
      </c>
      <c r="H13" s="337">
        <f>'2. Boletim de Medição'!I28</f>
        <v>0</v>
      </c>
      <c r="I13" s="338">
        <f>'2. Boletim de Medição'!L28</f>
        <v>0</v>
      </c>
      <c r="J13" s="337">
        <f>'2. Boletim de Medição'!M28</f>
        <v>0</v>
      </c>
      <c r="K13" s="338">
        <f>'2. Boletim de Medição'!P28</f>
        <v>0</v>
      </c>
      <c r="L13" s="337">
        <f>'2. Boletim de Medição'!Q28</f>
        <v>0</v>
      </c>
      <c r="M13" s="338">
        <f>'2. Boletim de Medição'!S28</f>
        <v>0</v>
      </c>
      <c r="N13" s="337">
        <f>'2. Boletim de Medição'!T28</f>
        <v>0</v>
      </c>
      <c r="O13" s="338">
        <f>'2. Boletim de Medição'!V28</f>
        <v>0</v>
      </c>
      <c r="P13" s="337">
        <f>'2. Boletim de Medição'!W28</f>
        <v>0</v>
      </c>
      <c r="Q13" s="338">
        <f>'2. Boletim de Medição'!Z28</f>
        <v>0</v>
      </c>
      <c r="R13" s="337">
        <f>'2. Boletim de Medição'!AA28</f>
        <v>0</v>
      </c>
      <c r="S13" s="338">
        <f>'2. Boletim de Medição'!AC28</f>
        <v>0</v>
      </c>
      <c r="T13" s="337">
        <f>'2. Boletim de Medição'!AD28</f>
        <v>0</v>
      </c>
      <c r="U13" s="338">
        <f>'2. Boletim de Medição'!AF28</f>
        <v>0</v>
      </c>
      <c r="V13" s="337">
        <f>'2. Boletim de Medição'!AG28</f>
        <v>0</v>
      </c>
      <c r="W13" s="338">
        <f>'2. Boletim de Medição'!AI28</f>
        <v>0</v>
      </c>
      <c r="X13" s="337">
        <f>'2. Boletim de Medição'!AJ28</f>
        <v>0</v>
      </c>
      <c r="Y13" s="338">
        <f>'2. Boletim de Medição'!AL28</f>
        <v>0</v>
      </c>
      <c r="Z13" s="337">
        <f>'2. Boletim de Medição'!AM28</f>
        <v>0</v>
      </c>
      <c r="AA13" s="338">
        <f>'2. Boletim de Medição'!AO28</f>
        <v>0</v>
      </c>
      <c r="AB13" s="337">
        <f>'2. Boletim de Medição'!AP28</f>
        <v>0</v>
      </c>
      <c r="AC13" s="338">
        <f>'2. Boletim de Medição'!AR28</f>
        <v>0</v>
      </c>
      <c r="AD13" s="337">
        <f>'2. Boletim de Medição'!AS28</f>
        <v>0</v>
      </c>
      <c r="AE13" s="338">
        <f>'2. Boletim de Medição'!AU28</f>
        <v>0</v>
      </c>
      <c r="AF13" s="337">
        <f>'2. Boletim de Medição'!AV28</f>
        <v>0</v>
      </c>
    </row>
    <row r="14" spans="1:32" x14ac:dyDescent="0.35">
      <c r="A14" s="334" t="s">
        <v>98</v>
      </c>
      <c r="B14" s="334">
        <f>'2. Boletim de Medição'!C29</f>
        <v>0</v>
      </c>
      <c r="C14" s="334">
        <f>'2. Boletim de Medição'!D29</f>
        <v>0</v>
      </c>
      <c r="D14" s="334">
        <f>'2. Boletim de Medição'!E29</f>
        <v>0</v>
      </c>
      <c r="E14" s="334">
        <f>'2. Boletim de Medição'!F29</f>
        <v>0</v>
      </c>
      <c r="F14" s="336">
        <f>'2. Boletim de Medição'!G29</f>
        <v>0</v>
      </c>
      <c r="G14" s="335">
        <f>'2. Boletim de Medição'!H29</f>
        <v>0</v>
      </c>
      <c r="H14" s="337">
        <f>'2. Boletim de Medição'!I29</f>
        <v>0</v>
      </c>
      <c r="I14" s="338">
        <f>'2. Boletim de Medição'!L29</f>
        <v>0</v>
      </c>
      <c r="J14" s="337">
        <f>'2. Boletim de Medição'!M29</f>
        <v>0</v>
      </c>
      <c r="K14" s="338">
        <f>'2. Boletim de Medição'!P29</f>
        <v>0</v>
      </c>
      <c r="L14" s="337">
        <f>'2. Boletim de Medição'!Q29</f>
        <v>0</v>
      </c>
      <c r="M14" s="338">
        <f>'2. Boletim de Medição'!S29</f>
        <v>0</v>
      </c>
      <c r="N14" s="337">
        <f>'2. Boletim de Medição'!T29</f>
        <v>0</v>
      </c>
      <c r="O14" s="338">
        <f>'2. Boletim de Medição'!V29</f>
        <v>0</v>
      </c>
      <c r="P14" s="337">
        <f>'2. Boletim de Medição'!W29</f>
        <v>0</v>
      </c>
      <c r="Q14" s="338">
        <f>'2. Boletim de Medição'!Z29</f>
        <v>0</v>
      </c>
      <c r="R14" s="337">
        <f>'2. Boletim de Medição'!AA29</f>
        <v>0</v>
      </c>
      <c r="S14" s="338">
        <f>'2. Boletim de Medição'!AC29</f>
        <v>0</v>
      </c>
      <c r="T14" s="337">
        <f>'2. Boletim de Medição'!AD29</f>
        <v>0</v>
      </c>
      <c r="U14" s="338">
        <f>'2. Boletim de Medição'!AF29</f>
        <v>0</v>
      </c>
      <c r="V14" s="337">
        <f>'2. Boletim de Medição'!AG29</f>
        <v>0</v>
      </c>
      <c r="W14" s="338">
        <f>'2. Boletim de Medição'!AI29</f>
        <v>0</v>
      </c>
      <c r="X14" s="337">
        <f>'2. Boletim de Medição'!AJ29</f>
        <v>0</v>
      </c>
      <c r="Y14" s="338">
        <f>'2. Boletim de Medição'!AL29</f>
        <v>0</v>
      </c>
      <c r="Z14" s="337">
        <f>'2. Boletim de Medição'!AM29</f>
        <v>0</v>
      </c>
      <c r="AA14" s="338">
        <f>'2. Boletim de Medição'!AO29</f>
        <v>0</v>
      </c>
      <c r="AB14" s="337">
        <f>'2. Boletim de Medição'!AP29</f>
        <v>0</v>
      </c>
      <c r="AC14" s="338">
        <f>'2. Boletim de Medição'!AR29</f>
        <v>0</v>
      </c>
      <c r="AD14" s="337">
        <f>'2. Boletim de Medição'!AS29</f>
        <v>0</v>
      </c>
      <c r="AE14" s="338">
        <f>'2. Boletim de Medição'!AU29</f>
        <v>0</v>
      </c>
      <c r="AF14" s="337">
        <f>'2. Boletim de Medição'!AV29</f>
        <v>0</v>
      </c>
    </row>
    <row r="15" spans="1:32" x14ac:dyDescent="0.35">
      <c r="A15" s="334" t="s">
        <v>99</v>
      </c>
      <c r="B15" s="334">
        <f>'2. Boletim de Medição'!C30</f>
        <v>0</v>
      </c>
      <c r="C15" s="334">
        <f>'2. Boletim de Medição'!D30</f>
        <v>0</v>
      </c>
      <c r="D15" s="334">
        <f>'2. Boletim de Medição'!E30</f>
        <v>0</v>
      </c>
      <c r="E15" s="334">
        <f>'2. Boletim de Medição'!F30</f>
        <v>0</v>
      </c>
      <c r="F15" s="336">
        <f>'2. Boletim de Medição'!G30</f>
        <v>0</v>
      </c>
      <c r="G15" s="335">
        <f>'2. Boletim de Medição'!H30</f>
        <v>0</v>
      </c>
      <c r="H15" s="337">
        <f>'2. Boletim de Medição'!I30</f>
        <v>0</v>
      </c>
      <c r="I15" s="338">
        <f>'2. Boletim de Medição'!L30</f>
        <v>0</v>
      </c>
      <c r="J15" s="337">
        <f>'2. Boletim de Medição'!M30</f>
        <v>0</v>
      </c>
      <c r="K15" s="338">
        <f>'2. Boletim de Medição'!P30</f>
        <v>0</v>
      </c>
      <c r="L15" s="337">
        <f>'2. Boletim de Medição'!Q30</f>
        <v>0</v>
      </c>
      <c r="M15" s="338">
        <f>'2. Boletim de Medição'!S30</f>
        <v>0</v>
      </c>
      <c r="N15" s="337">
        <f>'2. Boletim de Medição'!T30</f>
        <v>0</v>
      </c>
      <c r="O15" s="338">
        <f>'2. Boletim de Medição'!V30</f>
        <v>0</v>
      </c>
      <c r="P15" s="337">
        <f>'2. Boletim de Medição'!W30</f>
        <v>0</v>
      </c>
      <c r="Q15" s="338">
        <f>'2. Boletim de Medição'!Z30</f>
        <v>0</v>
      </c>
      <c r="R15" s="337">
        <f>'2. Boletim de Medição'!AA30</f>
        <v>0</v>
      </c>
      <c r="S15" s="338">
        <f>'2. Boletim de Medição'!AC30</f>
        <v>0</v>
      </c>
      <c r="T15" s="337">
        <f>'2. Boletim de Medição'!AD30</f>
        <v>0</v>
      </c>
      <c r="U15" s="338">
        <f>'2. Boletim de Medição'!AF30</f>
        <v>0</v>
      </c>
      <c r="V15" s="337">
        <f>'2. Boletim de Medição'!AG30</f>
        <v>0</v>
      </c>
      <c r="W15" s="338">
        <f>'2. Boletim de Medição'!AI30</f>
        <v>0</v>
      </c>
      <c r="X15" s="337">
        <f>'2. Boletim de Medição'!AJ30</f>
        <v>0</v>
      </c>
      <c r="Y15" s="338">
        <f>'2. Boletim de Medição'!AL30</f>
        <v>0</v>
      </c>
      <c r="Z15" s="337">
        <f>'2. Boletim de Medição'!AM30</f>
        <v>0</v>
      </c>
      <c r="AA15" s="338">
        <f>'2. Boletim de Medição'!AO30</f>
        <v>0</v>
      </c>
      <c r="AB15" s="337">
        <f>'2. Boletim de Medição'!AP30</f>
        <v>0</v>
      </c>
      <c r="AC15" s="338">
        <f>'2. Boletim de Medição'!AR30</f>
        <v>0</v>
      </c>
      <c r="AD15" s="337">
        <f>'2. Boletim de Medição'!AS30</f>
        <v>0</v>
      </c>
      <c r="AE15" s="338">
        <f>'2. Boletim de Medição'!AU30</f>
        <v>0</v>
      </c>
      <c r="AF15" s="337">
        <f>'2. Boletim de Medição'!AV30</f>
        <v>0</v>
      </c>
    </row>
    <row r="16" spans="1:32" x14ac:dyDescent="0.35">
      <c r="A16" s="334" t="s">
        <v>63</v>
      </c>
      <c r="B16" s="334">
        <f>'2. Boletim de Medição'!C34</f>
        <v>0</v>
      </c>
      <c r="C16" s="337" t="str">
        <f>'2. Boletim de Medição'!I34</f>
        <v>DEDUÇÃO</v>
      </c>
      <c r="D16" s="334">
        <f>'2. Boletim de Medição'!E34</f>
        <v>0</v>
      </c>
      <c r="E16" s="334">
        <f>'2. Boletim de Medição'!F34</f>
        <v>0</v>
      </c>
      <c r="F16" s="340">
        <f>'2. Boletim de Medição'!G34</f>
        <v>0</v>
      </c>
      <c r="G16" s="335">
        <f>'2. Boletim de Medição'!H34</f>
        <v>0</v>
      </c>
      <c r="H16" s="337">
        <f>'2. Boletim de Medição'!M34</f>
        <v>0</v>
      </c>
      <c r="I16" s="338">
        <f>'2. Boletim de Medição'!L34</f>
        <v>0</v>
      </c>
      <c r="J16" s="337">
        <f>'2. Boletim de Medição'!M34</f>
        <v>0</v>
      </c>
      <c r="K16" s="334">
        <f>'2. Boletim de Medição'!O34</f>
        <v>0</v>
      </c>
      <c r="L16" s="337">
        <f>'2. Boletim de Medição'!Q34</f>
        <v>0</v>
      </c>
      <c r="M16" s="338">
        <f>'2. Boletim de Medição'!S34</f>
        <v>0</v>
      </c>
      <c r="N16" s="337">
        <f>'2. Boletim de Medição'!T32</f>
        <v>2951.9</v>
      </c>
      <c r="O16" s="338">
        <f>'2. Boletim de Medição'!V34</f>
        <v>0</v>
      </c>
      <c r="P16" s="337">
        <f>'2. Boletim de Medição'!W32</f>
        <v>1911.7000000000003</v>
      </c>
      <c r="Q16" s="338">
        <f>'2. Boletim de Medição'!Z34</f>
        <v>0</v>
      </c>
      <c r="R16" s="337">
        <f>'2. Boletim de Medição'!AA32</f>
        <v>999.95</v>
      </c>
      <c r="S16" s="338">
        <f>'2. Boletim de Medição'!AC34</f>
        <v>0</v>
      </c>
      <c r="T16" s="337">
        <f>'2. Boletim de Medição'!AD32</f>
        <v>1113.1960000000001</v>
      </c>
      <c r="U16" s="338">
        <f>'2. Boletim de Medição'!AF34</f>
        <v>0</v>
      </c>
      <c r="V16" s="337">
        <f>'2. Boletim de Medição'!AG32</f>
        <v>98.000000000000014</v>
      </c>
      <c r="W16" s="338">
        <f>'2. Boletim de Medição'!AI34</f>
        <v>0</v>
      </c>
      <c r="X16" s="337">
        <f>'2. Boletim de Medição'!AJ32</f>
        <v>0</v>
      </c>
      <c r="Y16" s="338">
        <f>'2. Boletim de Medição'!AL34</f>
        <v>0</v>
      </c>
      <c r="Z16" s="337">
        <f>'2. Boletim de Medição'!AM32</f>
        <v>0</v>
      </c>
      <c r="AA16" s="338">
        <f>'2. Boletim de Medição'!AO34</f>
        <v>0</v>
      </c>
      <c r="AB16" s="337">
        <f>'2. Boletim de Medição'!AP32</f>
        <v>0</v>
      </c>
      <c r="AC16" s="338">
        <f>'2. Boletim de Medição'!AR34</f>
        <v>0</v>
      </c>
      <c r="AD16" s="337" t="e">
        <f>'2. Boletim de Medição'!AS32</f>
        <v>#REF!</v>
      </c>
      <c r="AE16" s="338">
        <f>'2. Boletim de Medição'!AV32</f>
        <v>0</v>
      </c>
      <c r="AF16" s="337">
        <f>'2. Boletim de Medição'!AV34</f>
        <v>0</v>
      </c>
    </row>
    <row r="17" spans="1:32" x14ac:dyDescent="0.35">
      <c r="A17" s="334" t="s">
        <v>65</v>
      </c>
      <c r="B17" s="334">
        <f>'2. Boletim de Medição'!C32</f>
        <v>0</v>
      </c>
      <c r="C17" s="337" t="str">
        <f>'2. Boletim de Medição'!I35</f>
        <v>ALIMENTAÇÃO</v>
      </c>
      <c r="D17" s="334">
        <f>'2. Boletim de Medição'!E35</f>
        <v>0</v>
      </c>
      <c r="E17" s="334">
        <f>'2. Boletim de Medição'!F35</f>
        <v>0</v>
      </c>
      <c r="F17" s="340">
        <f>'2. Boletim de Medição'!G35</f>
        <v>0</v>
      </c>
      <c r="G17" s="335">
        <f>'2. Boletim de Medição'!H35</f>
        <v>0</v>
      </c>
      <c r="H17" s="337">
        <f>'2. Boletim de Medição'!M35</f>
        <v>0</v>
      </c>
      <c r="I17" s="338">
        <f>'2. Boletim de Medição'!L35</f>
        <v>0</v>
      </c>
      <c r="J17" s="337">
        <f>'2. Boletim de Medição'!M35</f>
        <v>0</v>
      </c>
      <c r="K17" s="334">
        <f>'2. Boletim de Medição'!O35</f>
        <v>0</v>
      </c>
      <c r="L17" s="337">
        <f>'2. Boletim de Medição'!Q35</f>
        <v>0</v>
      </c>
      <c r="M17" s="338">
        <f>'2. Boletim de Medição'!S35</f>
        <v>0</v>
      </c>
      <c r="N17" s="337">
        <f>'2. Boletim de Medição'!T35</f>
        <v>0</v>
      </c>
      <c r="O17" s="338">
        <f>'2. Boletim de Medição'!V35</f>
        <v>0</v>
      </c>
      <c r="P17" s="337">
        <f>'2. Boletim de Medição'!W35</f>
        <v>0</v>
      </c>
      <c r="Q17" s="338">
        <f>'2. Boletim de Medição'!Z35</f>
        <v>0</v>
      </c>
      <c r="R17" s="337">
        <f>'2. Boletim de Medição'!AA35</f>
        <v>0</v>
      </c>
      <c r="S17" s="338">
        <f>'2. Boletim de Medição'!AC35</f>
        <v>0</v>
      </c>
      <c r="T17" s="337">
        <f>'2. Boletim de Medição'!AD35</f>
        <v>0</v>
      </c>
      <c r="U17" s="338">
        <f>'2. Boletim de Medição'!AF35</f>
        <v>0</v>
      </c>
      <c r="V17" s="337">
        <f>'2. Boletim de Medição'!AG35</f>
        <v>0</v>
      </c>
      <c r="W17" s="338">
        <f>'2. Boletim de Medição'!AI35</f>
        <v>0</v>
      </c>
      <c r="X17" s="337">
        <f>'2. Boletim de Medição'!AJ35</f>
        <v>0</v>
      </c>
      <c r="Y17" s="338">
        <f>'2. Boletim de Medição'!AL35</f>
        <v>0</v>
      </c>
      <c r="Z17" s="337">
        <f>'2. Boletim de Medição'!AM35</f>
        <v>0</v>
      </c>
      <c r="AA17" s="338">
        <f>'2. Boletim de Medição'!AO35</f>
        <v>0</v>
      </c>
      <c r="AB17" s="337">
        <f>'2. Boletim de Medição'!AP35</f>
        <v>0</v>
      </c>
      <c r="AC17" s="338">
        <f>'2. Boletim de Medição'!AR35</f>
        <v>0</v>
      </c>
      <c r="AD17" s="337">
        <f>'2. Boletim de Medição'!AS35</f>
        <v>0</v>
      </c>
      <c r="AE17" s="338">
        <f>'2. Boletim de Medição'!AU35</f>
        <v>0</v>
      </c>
      <c r="AF17" s="337">
        <f>'2. Boletim de Medição'!AV35</f>
        <v>0</v>
      </c>
    </row>
    <row r="18" spans="1:32" x14ac:dyDescent="0.35">
      <c r="A18" s="334" t="s">
        <v>67</v>
      </c>
      <c r="B18" s="334">
        <f>'2. Boletim de Medição'!C33</f>
        <v>0</v>
      </c>
      <c r="C18" s="337" t="str">
        <f>'2. Boletim de Medição'!I36</f>
        <v>ALOJAMENTO</v>
      </c>
      <c r="D18" s="334">
        <f>'2. Boletim de Medição'!E36</f>
        <v>0</v>
      </c>
      <c r="E18" s="334">
        <f>'2. Boletim de Medição'!F36</f>
        <v>0</v>
      </c>
      <c r="F18" s="340">
        <f>'2. Boletim de Medição'!G36</f>
        <v>0</v>
      </c>
      <c r="G18" s="335">
        <f>'2. Boletim de Medição'!H36</f>
        <v>0</v>
      </c>
      <c r="H18" s="337">
        <f>'2. Boletim de Medição'!M36</f>
        <v>0</v>
      </c>
      <c r="I18" s="338">
        <f>'2. Boletim de Medição'!L36</f>
        <v>0</v>
      </c>
      <c r="J18" s="337">
        <f>'2. Boletim de Medição'!M36</f>
        <v>0</v>
      </c>
      <c r="K18" s="334">
        <f>'2. Boletim de Medição'!O36</f>
        <v>0</v>
      </c>
      <c r="L18" s="337">
        <f>'2. Boletim de Medição'!Q36</f>
        <v>0</v>
      </c>
      <c r="M18" s="338">
        <f>'2. Boletim de Medição'!S36</f>
        <v>0</v>
      </c>
      <c r="N18" s="337">
        <f>'2. Boletim de Medição'!T36</f>
        <v>0</v>
      </c>
      <c r="O18" s="338">
        <f>'2. Boletim de Medição'!V36</f>
        <v>0</v>
      </c>
      <c r="P18" s="337">
        <f>'2. Boletim de Medição'!W36</f>
        <v>0</v>
      </c>
      <c r="Q18" s="338">
        <f>'2. Boletim de Medição'!Z36</f>
        <v>0</v>
      </c>
      <c r="R18" s="337">
        <f>'2. Boletim de Medição'!AA36</f>
        <v>0</v>
      </c>
      <c r="S18" s="338">
        <f>'2. Boletim de Medição'!AC36</f>
        <v>0</v>
      </c>
      <c r="T18" s="337">
        <f>'2. Boletim de Medição'!AD36</f>
        <v>0</v>
      </c>
      <c r="U18" s="338">
        <f>'2. Boletim de Medição'!AF36</f>
        <v>0</v>
      </c>
      <c r="V18" s="337">
        <f>'2. Boletim de Medição'!AG36</f>
        <v>0</v>
      </c>
      <c r="W18" s="338">
        <f>'2. Boletim de Medição'!AI36</f>
        <v>0</v>
      </c>
      <c r="X18" s="337">
        <f>'2. Boletim de Medição'!AJ36</f>
        <v>0</v>
      </c>
      <c r="Y18" s="338">
        <f>'2. Boletim de Medição'!AL36</f>
        <v>0</v>
      </c>
      <c r="Z18" s="337">
        <f>'2. Boletim de Medição'!AM36</f>
        <v>0</v>
      </c>
      <c r="AA18" s="338">
        <f>'2. Boletim de Medição'!AO36</f>
        <v>0</v>
      </c>
      <c r="AB18" s="337">
        <f>'2. Boletim de Medição'!AP36</f>
        <v>0</v>
      </c>
      <c r="AC18" s="338">
        <f>'2. Boletim de Medição'!AR36</f>
        <v>0</v>
      </c>
      <c r="AD18" s="337">
        <f>'2. Boletim de Medição'!AS36</f>
        <v>0</v>
      </c>
      <c r="AE18" s="338">
        <f>'2. Boletim de Medição'!AU36</f>
        <v>0</v>
      </c>
      <c r="AF18" s="337">
        <f>'2. Boletim de Medição'!AV36</f>
        <v>0</v>
      </c>
    </row>
    <row r="19" spans="1:32" x14ac:dyDescent="0.35">
      <c r="A19" s="334" t="s">
        <v>69</v>
      </c>
      <c r="B19" s="334">
        <f>'2. Boletim de Medição'!C34</f>
        <v>0</v>
      </c>
      <c r="C19" s="337" t="str">
        <f>'2. Boletim de Medição'!I37</f>
        <v>EPI</v>
      </c>
      <c r="D19" s="334">
        <f>'2. Boletim de Medição'!E37</f>
        <v>0</v>
      </c>
      <c r="E19" s="334">
        <f>'2. Boletim de Medição'!F37</f>
        <v>0</v>
      </c>
      <c r="F19" s="340">
        <f>'2. Boletim de Medição'!G37</f>
        <v>0</v>
      </c>
      <c r="G19" s="335">
        <f>'2. Boletim de Medição'!H37</f>
        <v>0</v>
      </c>
      <c r="H19" s="337">
        <f>'2. Boletim de Medição'!M37</f>
        <v>0</v>
      </c>
      <c r="I19" s="338">
        <f>'2. Boletim de Medição'!L37</f>
        <v>0</v>
      </c>
      <c r="J19" s="337">
        <f>'2. Boletim de Medição'!M37</f>
        <v>0</v>
      </c>
      <c r="K19" s="334">
        <f>'2. Boletim de Medição'!O37</f>
        <v>0</v>
      </c>
      <c r="L19" s="337">
        <f>'2. Boletim de Medição'!Q37</f>
        <v>0</v>
      </c>
      <c r="M19" s="338">
        <f>'2. Boletim de Medição'!S37</f>
        <v>0</v>
      </c>
      <c r="N19" s="337">
        <f>'2. Boletim de Medição'!T37</f>
        <v>0</v>
      </c>
      <c r="O19" s="338">
        <f>'2. Boletim de Medição'!V37</f>
        <v>0</v>
      </c>
      <c r="P19" s="337">
        <f>'2. Boletim de Medição'!W37</f>
        <v>0</v>
      </c>
      <c r="Q19" s="338">
        <f>'2. Boletim de Medição'!Z37</f>
        <v>0</v>
      </c>
      <c r="R19" s="337">
        <f>'2. Boletim de Medição'!AA37</f>
        <v>0</v>
      </c>
      <c r="S19" s="338">
        <f>'2. Boletim de Medição'!AC37</f>
        <v>0</v>
      </c>
      <c r="T19" s="337">
        <f>'2. Boletim de Medição'!AD37</f>
        <v>0</v>
      </c>
      <c r="U19" s="338">
        <f>'2. Boletim de Medição'!AF37</f>
        <v>0</v>
      </c>
      <c r="V19" s="337">
        <f>'2. Boletim de Medição'!AG37</f>
        <v>0</v>
      </c>
      <c r="W19" s="338">
        <f>'2. Boletim de Medição'!AI37</f>
        <v>0</v>
      </c>
      <c r="X19" s="337">
        <f>'2. Boletim de Medição'!AJ37</f>
        <v>0</v>
      </c>
      <c r="Y19" s="338">
        <f>'2. Boletim de Medição'!AL37</f>
        <v>0</v>
      </c>
      <c r="Z19" s="337">
        <f>'2. Boletim de Medição'!AM37</f>
        <v>0</v>
      </c>
      <c r="AA19" s="338">
        <f>'2. Boletim de Medição'!AO37</f>
        <v>0</v>
      </c>
      <c r="AB19" s="337">
        <f>'2. Boletim de Medição'!AP37</f>
        <v>0</v>
      </c>
      <c r="AC19" s="338">
        <f>'2. Boletim de Medição'!AR37</f>
        <v>0</v>
      </c>
      <c r="AD19" s="337">
        <f>'2. Boletim de Medição'!AS37</f>
        <v>0</v>
      </c>
      <c r="AE19" s="338">
        <f>'2. Boletim de Medição'!AU37</f>
        <v>0</v>
      </c>
      <c r="AF19" s="337">
        <f>'2. Boletim de Medição'!AV37</f>
        <v>0</v>
      </c>
    </row>
    <row r="20" spans="1:32" x14ac:dyDescent="0.35">
      <c r="A20" s="334" t="s">
        <v>71</v>
      </c>
      <c r="B20" s="334">
        <f>'2. Boletim de Medição'!C35</f>
        <v>0</v>
      </c>
      <c r="C20" s="337" t="str">
        <f>'2. Boletim de Medição'!I38</f>
        <v>OUTROS (ESPECIFICAR)</v>
      </c>
      <c r="D20" s="334">
        <f>'2. Boletim de Medição'!E38</f>
        <v>0</v>
      </c>
      <c r="E20" s="334">
        <f>'2. Boletim de Medição'!F38</f>
        <v>0</v>
      </c>
      <c r="F20" s="340">
        <f>'2. Boletim de Medição'!G38</f>
        <v>0</v>
      </c>
      <c r="G20" s="335">
        <f>'2. Boletim de Medição'!H38</f>
        <v>0</v>
      </c>
      <c r="H20" s="337">
        <f>'2. Boletim de Medição'!M38</f>
        <v>0</v>
      </c>
      <c r="I20" s="338">
        <f>'2. Boletim de Medição'!L38</f>
        <v>0</v>
      </c>
      <c r="J20" s="337">
        <f>'2. Boletim de Medição'!M38</f>
        <v>0</v>
      </c>
      <c r="K20" s="334">
        <f>'2. Boletim de Medição'!O38</f>
        <v>0</v>
      </c>
      <c r="L20" s="337">
        <f>'2. Boletim de Medição'!Q38</f>
        <v>0</v>
      </c>
      <c r="M20" s="338">
        <f>'2. Boletim de Medição'!S38</f>
        <v>0</v>
      </c>
      <c r="N20" s="337">
        <f>'2. Boletim de Medição'!T38</f>
        <v>0</v>
      </c>
      <c r="O20" s="338">
        <f>'2. Boletim de Medição'!V38</f>
        <v>0</v>
      </c>
      <c r="P20" s="337">
        <f>'2. Boletim de Medição'!W38</f>
        <v>0</v>
      </c>
      <c r="Q20" s="338">
        <f>'2. Boletim de Medição'!Z38</f>
        <v>0</v>
      </c>
      <c r="R20" s="337">
        <f>'2. Boletim de Medição'!AA38</f>
        <v>0</v>
      </c>
      <c r="S20" s="338">
        <f>'2. Boletim de Medição'!AC38</f>
        <v>0</v>
      </c>
      <c r="T20" s="337">
        <f>'2. Boletim de Medição'!AD38</f>
        <v>0</v>
      </c>
      <c r="U20" s="338">
        <f>'2. Boletim de Medição'!AF38</f>
        <v>0</v>
      </c>
      <c r="V20" s="337">
        <f>'2. Boletim de Medição'!AG38</f>
        <v>0</v>
      </c>
      <c r="W20" s="338">
        <f>'2. Boletim de Medição'!AI38</f>
        <v>0</v>
      </c>
      <c r="X20" s="337">
        <f>'2. Boletim de Medição'!AJ38</f>
        <v>0</v>
      </c>
      <c r="Y20" s="338">
        <f>'2. Boletim de Medição'!AL38</f>
        <v>0</v>
      </c>
      <c r="Z20" s="337">
        <f>'2. Boletim de Medição'!AM38</f>
        <v>0</v>
      </c>
      <c r="AA20" s="338">
        <f>'2. Boletim de Medição'!AO38</f>
        <v>0</v>
      </c>
      <c r="AB20" s="337">
        <f>'2. Boletim de Medição'!AP38</f>
        <v>0</v>
      </c>
      <c r="AC20" s="338">
        <f>'2. Boletim de Medição'!AR38</f>
        <v>0</v>
      </c>
      <c r="AD20" s="337">
        <f>'2. Boletim de Medição'!AS38</f>
        <v>0</v>
      </c>
      <c r="AE20" s="338">
        <f>'2. Boletim de Medição'!AU38</f>
        <v>0</v>
      </c>
      <c r="AF20" s="337">
        <f>'2. Boletim de Medição'!AV38</f>
        <v>0</v>
      </c>
    </row>
    <row r="21" spans="1:32" x14ac:dyDescent="0.35">
      <c r="A21" s="334" t="s">
        <v>75</v>
      </c>
      <c r="B21" s="334">
        <f>'2. Boletim de Medição'!C37</f>
        <v>0</v>
      </c>
      <c r="C21" s="337" t="str">
        <f>'2. Boletim de Medição'!I40</f>
        <v>RETENÇÃO</v>
      </c>
      <c r="D21" s="334">
        <f>'2. Boletim de Medição'!E39</f>
        <v>0</v>
      </c>
      <c r="E21" s="334">
        <f>'2. Boletim de Medição'!F39</f>
        <v>0</v>
      </c>
      <c r="F21" s="340">
        <f>'2. Boletim de Medição'!G39</f>
        <v>0</v>
      </c>
      <c r="G21" s="335">
        <f>'2. Boletim de Medição'!H39</f>
        <v>0</v>
      </c>
      <c r="H21" s="337">
        <f>'2. Boletim de Medição'!M40</f>
        <v>0</v>
      </c>
      <c r="I21" s="338">
        <f>'2. Boletim de Medição'!L39</f>
        <v>0</v>
      </c>
      <c r="J21" s="337">
        <f>'2. Boletim de Medição'!M39</f>
        <v>0</v>
      </c>
      <c r="K21" s="334">
        <f>'2. Boletim de Medição'!O39</f>
        <v>0</v>
      </c>
      <c r="L21" s="337">
        <f>'2. Boletim de Medição'!Q39</f>
        <v>0</v>
      </c>
      <c r="M21" s="338">
        <f>'2. Boletim de Medição'!S39</f>
        <v>0</v>
      </c>
      <c r="N21" s="337">
        <f>'2. Boletim de Medição'!T39</f>
        <v>0</v>
      </c>
      <c r="O21" s="338">
        <f>'2. Boletim de Medição'!V39</f>
        <v>0</v>
      </c>
      <c r="P21" s="337">
        <f>'2. Boletim de Medição'!W39</f>
        <v>0</v>
      </c>
      <c r="Q21" s="338">
        <f>'2. Boletim de Medição'!Z39</f>
        <v>0</v>
      </c>
      <c r="R21" s="337">
        <f>'2. Boletim de Medição'!AA39</f>
        <v>0</v>
      </c>
      <c r="S21" s="338">
        <f>'2. Boletim de Medição'!AC39</f>
        <v>0</v>
      </c>
      <c r="T21" s="337">
        <f>'2. Boletim de Medição'!AD39</f>
        <v>0</v>
      </c>
      <c r="U21" s="338">
        <f>'2. Boletim de Medição'!AF39</f>
        <v>0</v>
      </c>
      <c r="V21" s="337">
        <f>'2. Boletim de Medição'!AG39</f>
        <v>0</v>
      </c>
      <c r="W21" s="338">
        <f>'2. Boletim de Medição'!AI39</f>
        <v>0</v>
      </c>
      <c r="X21" s="337">
        <f>'2. Boletim de Medição'!AJ39</f>
        <v>0</v>
      </c>
      <c r="Y21" s="338">
        <f>'2. Boletim de Medição'!AL39</f>
        <v>0</v>
      </c>
      <c r="Z21" s="337">
        <f>'2. Boletim de Medição'!AM39</f>
        <v>0</v>
      </c>
      <c r="AA21" s="338">
        <f>'2. Boletim de Medição'!AO39</f>
        <v>0</v>
      </c>
      <c r="AB21" s="337">
        <f>'2. Boletim de Medição'!AP39</f>
        <v>0</v>
      </c>
      <c r="AC21" s="338">
        <f>'2. Boletim de Medição'!AR39</f>
        <v>0</v>
      </c>
      <c r="AD21" s="337">
        <f>'2. Boletim de Medição'!AS39</f>
        <v>0</v>
      </c>
      <c r="AE21" s="338">
        <f>'2. Boletim de Medição'!AU39</f>
        <v>0</v>
      </c>
      <c r="AF21" s="337">
        <f>'2. Boletim de Medição'!AV39</f>
        <v>0</v>
      </c>
    </row>
  </sheetData>
  <phoneticPr fontId="6" type="noConversion"/>
  <pageMargins left="0.75" right="0.75" top="1" bottom="1" header="0.5" footer="0.5"/>
  <ignoredErrors>
    <ignoredError sqref="B16 M16:M21 N16:N21 Q16:Q22 T16:T21 U17:V21 X16:X21 Y16:Y21 AA17:AB21 AD17:AD21 AE17:AE21 U16:V16 AA16:AB16 AD16:AE16" calculatedColumn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C81B-3499-4785-92A9-DE57B4BAFE31}">
  <sheetPr codeName="Planilha11">
    <outlinePr summaryBelow="0"/>
  </sheetPr>
  <dimension ref="A1:AB31"/>
  <sheetViews>
    <sheetView showGridLines="0" zoomScale="70" zoomScaleNormal="70" zoomScaleSheetLayoutView="85" zoomScalePageLayoutView="85" workbookViewId="0">
      <selection activeCell="D4" sqref="D4"/>
    </sheetView>
  </sheetViews>
  <sheetFormatPr defaultColWidth="10.6328125" defaultRowHeight="15" customHeight="1" x14ac:dyDescent="0.35"/>
  <cols>
    <col min="1" max="1" width="6.90625" style="1" customWidth="1"/>
    <col min="2" max="2" width="18.36328125" style="1" customWidth="1"/>
    <col min="3" max="3" width="52" style="1" customWidth="1"/>
    <col min="4" max="4" width="11" style="2" customWidth="1"/>
    <col min="5" max="5" width="18.6328125" style="1" customWidth="1"/>
    <col min="6" max="6" width="19" style="1" customWidth="1"/>
    <col min="7" max="7" width="13.7265625" style="1" customWidth="1"/>
    <col min="8" max="8" width="19" style="1" customWidth="1"/>
    <col min="9" max="9" width="18.36328125" style="1" customWidth="1"/>
    <col min="10" max="10" width="0.90625" style="1" customWidth="1"/>
    <col min="11" max="11" width="18.36328125" style="1" hidden="1" customWidth="1"/>
    <col min="12" max="12" width="0.90625" style="1" hidden="1" customWidth="1"/>
    <col min="13" max="13" width="18.36328125" style="1" hidden="1" customWidth="1"/>
    <col min="14" max="14" width="0.90625" style="1" hidden="1" customWidth="1"/>
    <col min="15" max="15" width="18.36328125" style="1" hidden="1" customWidth="1"/>
    <col min="16" max="16" width="0.90625" style="1" hidden="1" customWidth="1"/>
    <col min="17" max="17" width="18.36328125" style="1" hidden="1" customWidth="1"/>
    <col min="18" max="18" width="0.90625" style="1" hidden="1" customWidth="1"/>
    <col min="19" max="19" width="18.36328125" style="1" hidden="1" customWidth="1"/>
    <col min="20" max="20" width="0.90625" style="1" hidden="1" customWidth="1"/>
    <col min="21" max="21" width="18.36328125" style="1" hidden="1" customWidth="1"/>
    <col min="22" max="22" width="0.90625" style="1" hidden="1" customWidth="1"/>
    <col min="23" max="23" width="18.36328125" style="1" hidden="1" customWidth="1"/>
    <col min="24" max="24" width="0.90625" style="1" hidden="1" customWidth="1"/>
    <col min="25" max="25" width="18.36328125" style="1" hidden="1" customWidth="1"/>
    <col min="26" max="26" width="0.90625" style="1" hidden="1" customWidth="1"/>
    <col min="27" max="27" width="18.36328125" style="1" hidden="1" customWidth="1"/>
    <col min="28" max="28" width="10.6328125" style="1" collapsed="1"/>
    <col min="29" max="16384" width="10.6328125" style="1"/>
  </cols>
  <sheetData>
    <row r="1" spans="1:27" s="20" customFormat="1" ht="20" customHeight="1" x14ac:dyDescent="0.35">
      <c r="A1" s="70" t="s">
        <v>45</v>
      </c>
      <c r="B1" s="70" t="s">
        <v>46</v>
      </c>
      <c r="C1" s="70" t="s">
        <v>47</v>
      </c>
      <c r="D1" s="70" t="s">
        <v>51</v>
      </c>
      <c r="E1" s="70" t="s">
        <v>52</v>
      </c>
      <c r="F1" s="341" t="s">
        <v>43</v>
      </c>
      <c r="G1" s="341" t="s">
        <v>49</v>
      </c>
      <c r="H1" s="341" t="s">
        <v>44</v>
      </c>
      <c r="I1" s="36" t="s">
        <v>173</v>
      </c>
      <c r="J1" s="6"/>
      <c r="K1" s="108" t="s">
        <v>53</v>
      </c>
      <c r="L1" s="6"/>
      <c r="M1" s="108" t="s">
        <v>53</v>
      </c>
      <c r="N1" s="6"/>
      <c r="O1" s="108" t="s">
        <v>53</v>
      </c>
      <c r="P1" s="6"/>
      <c r="Q1" s="108" t="s">
        <v>53</v>
      </c>
      <c r="R1" s="6"/>
      <c r="S1" s="108" t="s">
        <v>53</v>
      </c>
      <c r="T1" s="6"/>
      <c r="U1" s="108" t="s">
        <v>53</v>
      </c>
      <c r="V1" s="6"/>
      <c r="W1" s="108" t="s">
        <v>53</v>
      </c>
      <c r="X1" s="6"/>
      <c r="Y1" s="108" t="s">
        <v>53</v>
      </c>
      <c r="Z1" s="6"/>
      <c r="AA1" s="108" t="s">
        <v>53</v>
      </c>
    </row>
    <row r="2" spans="1:27" s="20" customFormat="1" ht="20" customHeight="1" x14ac:dyDescent="0.35">
      <c r="A2" s="6">
        <f>'3. Faturamento Direto'!B15</f>
        <v>1</v>
      </c>
      <c r="B2" s="343">
        <f>'3. Faturamento Direto'!C15</f>
        <v>0</v>
      </c>
      <c r="C2" s="6" t="str">
        <f>'3. Faturamento Direto'!D15</f>
        <v>TOTAL CONTRATADO</v>
      </c>
      <c r="D2" s="344" t="e">
        <f>'3. Faturamento Direto'!H15</f>
        <v>#DIV/0!</v>
      </c>
      <c r="E2" s="332">
        <f>'3. Faturamento Direto'!I15</f>
        <v>0</v>
      </c>
      <c r="F2" s="347">
        <f>'3. Faturamento Direto'!L15</f>
        <v>0</v>
      </c>
      <c r="G2" s="345">
        <f>'3. Faturamento Direto'!N15</f>
        <v>0</v>
      </c>
      <c r="H2" s="347">
        <f>'3. Faturamento Direto'!O15</f>
        <v>0</v>
      </c>
      <c r="I2" s="346">
        <f>'3. Faturamento Direto'!Q15</f>
        <v>0</v>
      </c>
      <c r="J2" s="6"/>
      <c r="K2" s="108"/>
      <c r="L2" s="6"/>
      <c r="M2" s="108"/>
      <c r="N2" s="6"/>
      <c r="O2" s="108"/>
      <c r="P2" s="6"/>
      <c r="Q2" s="108"/>
      <c r="R2" s="6"/>
      <c r="S2" s="108"/>
      <c r="T2" s="6"/>
      <c r="U2" s="108"/>
      <c r="V2" s="6"/>
      <c r="W2" s="108"/>
      <c r="X2" s="6"/>
      <c r="Y2" s="108"/>
      <c r="Z2" s="6"/>
      <c r="AA2" s="108"/>
    </row>
    <row r="3" spans="1:27" s="6" customFormat="1" ht="20" customHeight="1" x14ac:dyDescent="0.35">
      <c r="A3" s="6" t="str">
        <f>'3. Faturamento Direto'!B17</f>
        <v>1.1</v>
      </c>
      <c r="B3" s="36">
        <f>'3. Faturamento Direto'!C17</f>
        <v>0</v>
      </c>
      <c r="C3" s="89">
        <f>'3. Faturamento Direto'!D17</f>
        <v>0</v>
      </c>
      <c r="D3" s="333" t="e">
        <f>'3. Faturamento Direto'!H17</f>
        <v>#DIV/0!</v>
      </c>
      <c r="E3" s="342">
        <f>'3. Faturamento Direto'!I17</f>
        <v>0</v>
      </c>
      <c r="F3" s="342">
        <f>'3. Faturamento Direto'!L17</f>
        <v>0</v>
      </c>
      <c r="G3" s="331">
        <f>'3. Faturamento Direto'!N17</f>
        <v>0</v>
      </c>
      <c r="H3" s="342">
        <f>'3. Faturamento Direto'!O17</f>
        <v>0</v>
      </c>
      <c r="I3" s="342">
        <f>'3. Faturamento Direto'!Q17</f>
        <v>0</v>
      </c>
      <c r="K3" s="96">
        <f>SUMIF($A:$A,$A3&amp;"."&amp;"*",K:K)</f>
        <v>0</v>
      </c>
      <c r="M3" s="96">
        <f>SUMIF($A:$A,$A3&amp;"."&amp;"*",M:M)</f>
        <v>0</v>
      </c>
      <c r="O3" s="96">
        <f>SUMIF($A:$A,$A3&amp;"."&amp;"*",O:O)</f>
        <v>0</v>
      </c>
      <c r="Q3" s="96">
        <f>SUMIF($A:$A,$A3&amp;"."&amp;"*",Q:Q)</f>
        <v>0</v>
      </c>
      <c r="S3" s="96">
        <f>SUMIF($A:$A,$A3&amp;"."&amp;"*",S:S)</f>
        <v>0</v>
      </c>
      <c r="U3" s="96">
        <f>SUMIF($A:$A,$A3&amp;"."&amp;"*",U:U)</f>
        <v>0</v>
      </c>
      <c r="W3" s="96">
        <f>SUMIF($A:$A,$A3&amp;"."&amp;"*",W:W)</f>
        <v>0</v>
      </c>
      <c r="Y3" s="96">
        <f>SUMIF($A:$A,$A3&amp;"."&amp;"*",Y:Y)</f>
        <v>0</v>
      </c>
      <c r="AA3" s="96">
        <f>SUMIF($A:$A,$A3&amp;"."&amp;"*",AA:AA)</f>
        <v>0</v>
      </c>
    </row>
    <row r="4" spans="1:27" s="44" customFormat="1" ht="20" customHeight="1" x14ac:dyDescent="0.35">
      <c r="A4" s="6" t="str">
        <f>'3. Faturamento Direto'!B18</f>
        <v>1.1.1</v>
      </c>
      <c r="B4" s="36">
        <f>'3. Faturamento Direto'!C18</f>
        <v>0</v>
      </c>
      <c r="C4" s="89">
        <f>'3. Faturamento Direto'!D18</f>
        <v>0</v>
      </c>
      <c r="D4" s="333" t="e">
        <f>'3. Faturamento Direto'!H18</f>
        <v>#DIV/0!</v>
      </c>
      <c r="E4" s="342">
        <f>'3. Faturamento Direto'!I18</f>
        <v>0</v>
      </c>
      <c r="F4" s="342">
        <f>'3. Faturamento Direto'!L18</f>
        <v>0</v>
      </c>
      <c r="G4" s="331" t="e">
        <f>'3. Faturamento Direto'!N18</f>
        <v>#DIV/0!</v>
      </c>
      <c r="H4" s="342">
        <f>'3. Faturamento Direto'!O18</f>
        <v>0</v>
      </c>
      <c r="I4" s="342">
        <f>'3. Faturamento Direto'!Q18</f>
        <v>0</v>
      </c>
      <c r="K4" s="203"/>
      <c r="M4" s="203"/>
      <c r="O4" s="203"/>
      <c r="Q4" s="203"/>
      <c r="S4" s="203"/>
      <c r="U4" s="203"/>
      <c r="W4" s="203"/>
      <c r="Y4" s="203"/>
      <c r="AA4" s="203"/>
    </row>
    <row r="5" spans="1:27" s="44" customFormat="1" ht="20" customHeight="1" x14ac:dyDescent="0.35">
      <c r="A5" s="6" t="str">
        <f>'3. Faturamento Direto'!B19</f>
        <v>1.1.2</v>
      </c>
      <c r="B5" s="36">
        <f>'3. Faturamento Direto'!C19</f>
        <v>0</v>
      </c>
      <c r="C5" s="89">
        <f>'3. Faturamento Direto'!D19</f>
        <v>0</v>
      </c>
      <c r="D5" s="333" t="e">
        <f>'3. Faturamento Direto'!H19</f>
        <v>#DIV/0!</v>
      </c>
      <c r="E5" s="342">
        <f>'3. Faturamento Direto'!I19</f>
        <v>0</v>
      </c>
      <c r="F5" s="342">
        <f>'3. Faturamento Direto'!L19</f>
        <v>0</v>
      </c>
      <c r="G5" s="331" t="e">
        <f>'3. Faturamento Direto'!N19</f>
        <v>#DIV/0!</v>
      </c>
      <c r="H5" s="342">
        <f>'3. Faturamento Direto'!O19</f>
        <v>0</v>
      </c>
      <c r="I5" s="342">
        <f>'3. Faturamento Direto'!Q19</f>
        <v>0</v>
      </c>
      <c r="K5" s="203"/>
      <c r="M5" s="203"/>
      <c r="O5" s="203"/>
      <c r="Q5" s="203"/>
      <c r="S5" s="203"/>
      <c r="U5" s="203"/>
      <c r="W5" s="203"/>
      <c r="Y5" s="203"/>
      <c r="AA5" s="203"/>
    </row>
    <row r="6" spans="1:27" s="6" customFormat="1" ht="20" customHeight="1" x14ac:dyDescent="0.35">
      <c r="A6" s="6" t="str">
        <f>'3. Faturamento Direto'!B20</f>
        <v>1.2</v>
      </c>
      <c r="B6" s="36">
        <f>'3. Faturamento Direto'!C20</f>
        <v>0</v>
      </c>
      <c r="C6" s="89">
        <f>'3. Faturamento Direto'!D20</f>
        <v>0</v>
      </c>
      <c r="D6" s="333" t="e">
        <f>'3. Faturamento Direto'!H20</f>
        <v>#DIV/0!</v>
      </c>
      <c r="E6" s="342">
        <f>'3. Faturamento Direto'!I20</f>
        <v>0</v>
      </c>
      <c r="F6" s="342">
        <f>'3. Faturamento Direto'!L20</f>
        <v>0</v>
      </c>
      <c r="G6" s="331">
        <f>'3. Faturamento Direto'!N20</f>
        <v>0</v>
      </c>
      <c r="H6" s="342">
        <f>'3. Faturamento Direto'!O20</f>
        <v>0</v>
      </c>
      <c r="I6" s="342">
        <f>'3. Faturamento Direto'!Q20</f>
        <v>0</v>
      </c>
      <c r="K6" s="96">
        <f>SUMIF($A:$A,$A6&amp;"."&amp;"*",K:K)</f>
        <v>0</v>
      </c>
      <c r="M6" s="96">
        <f>SUMIF($A:$A,$A6&amp;"."&amp;"*",M:M)</f>
        <v>0</v>
      </c>
      <c r="O6" s="96">
        <f>SUMIF($A:$A,$A6&amp;"."&amp;"*",O:O)</f>
        <v>0</v>
      </c>
      <c r="Q6" s="96">
        <f>SUMIF($A:$A,$A6&amp;"."&amp;"*",Q:Q)</f>
        <v>0</v>
      </c>
      <c r="S6" s="96">
        <f>SUMIF($A:$A,$A6&amp;"."&amp;"*",S:S)</f>
        <v>0</v>
      </c>
      <c r="U6" s="96">
        <f>SUMIF($A:$A,$A6&amp;"."&amp;"*",U:U)</f>
        <v>0</v>
      </c>
      <c r="W6" s="96">
        <f>SUMIF($A:$A,$A6&amp;"."&amp;"*",W:W)</f>
        <v>0</v>
      </c>
      <c r="Y6" s="96">
        <f>SUMIF($A:$A,$A6&amp;"."&amp;"*",Y:Y)</f>
        <v>0</v>
      </c>
      <c r="AA6" s="96">
        <f>SUMIF($A:$A,$A6&amp;"."&amp;"*",AA:AA)</f>
        <v>0</v>
      </c>
    </row>
    <row r="7" spans="1:27" s="44" customFormat="1" ht="20" customHeight="1" x14ac:dyDescent="0.35">
      <c r="A7" s="6" t="str">
        <f>'3. Faturamento Direto'!B21</f>
        <v>1.2.1</v>
      </c>
      <c r="B7" s="36">
        <f>'3. Faturamento Direto'!C21</f>
        <v>0</v>
      </c>
      <c r="C7" s="89">
        <f>'3. Faturamento Direto'!D21</f>
        <v>0</v>
      </c>
      <c r="D7" s="333" t="e">
        <f>'3. Faturamento Direto'!H21</f>
        <v>#DIV/0!</v>
      </c>
      <c r="E7" s="342">
        <f>'3. Faturamento Direto'!I21</f>
        <v>0</v>
      </c>
      <c r="F7" s="342">
        <f>'3. Faturamento Direto'!L21</f>
        <v>0</v>
      </c>
      <c r="G7" s="331" t="e">
        <f>'3. Faturamento Direto'!N21</f>
        <v>#DIV/0!</v>
      </c>
      <c r="H7" s="342">
        <f>'3. Faturamento Direto'!O21</f>
        <v>0</v>
      </c>
      <c r="I7" s="342">
        <f>'3. Faturamento Direto'!Q21</f>
        <v>0</v>
      </c>
      <c r="K7" s="203"/>
      <c r="M7" s="203"/>
      <c r="O7" s="203"/>
      <c r="Q7" s="203"/>
      <c r="S7" s="203"/>
      <c r="U7" s="203"/>
      <c r="W7" s="203"/>
      <c r="Y7" s="203"/>
      <c r="AA7" s="203"/>
    </row>
    <row r="8" spans="1:27" customFormat="1" ht="5" customHeight="1" x14ac:dyDescent="0.35"/>
    <row r="9" spans="1:27" ht="15" customHeight="1" x14ac:dyDescent="0.35">
      <c r="G9"/>
    </row>
    <row r="10" spans="1:27" ht="15" customHeight="1" x14ac:dyDescent="0.35">
      <c r="G10"/>
    </row>
    <row r="11" spans="1:27" ht="15" customHeight="1" x14ac:dyDescent="0.35">
      <c r="G11"/>
    </row>
    <row r="12" spans="1:27" ht="15" customHeight="1" x14ac:dyDescent="0.35">
      <c r="G12"/>
    </row>
    <row r="13" spans="1:27" ht="15" customHeight="1" x14ac:dyDescent="0.35">
      <c r="G13"/>
    </row>
    <row r="14" spans="1:27" ht="15" customHeight="1" x14ac:dyDescent="0.35">
      <c r="G14"/>
    </row>
    <row r="15" spans="1:27" ht="15" customHeight="1" x14ac:dyDescent="0.35">
      <c r="G15"/>
    </row>
    <row r="16" spans="1:27" ht="15" customHeight="1" x14ac:dyDescent="0.35">
      <c r="G16"/>
    </row>
    <row r="17" spans="7:7" ht="15" customHeight="1" x14ac:dyDescent="0.35">
      <c r="G17"/>
    </row>
    <row r="18" spans="7:7" ht="15" customHeight="1" x14ac:dyDescent="0.35">
      <c r="G18"/>
    </row>
    <row r="19" spans="7:7" ht="15" customHeight="1" x14ac:dyDescent="0.35">
      <c r="G19"/>
    </row>
    <row r="20" spans="7:7" ht="15" customHeight="1" x14ac:dyDescent="0.35">
      <c r="G20"/>
    </row>
    <row r="21" spans="7:7" ht="15" customHeight="1" x14ac:dyDescent="0.35">
      <c r="G21"/>
    </row>
    <row r="22" spans="7:7" ht="15" customHeight="1" x14ac:dyDescent="0.35">
      <c r="G22"/>
    </row>
    <row r="23" spans="7:7" ht="15" customHeight="1" x14ac:dyDescent="0.35">
      <c r="G23"/>
    </row>
    <row r="24" spans="7:7" ht="15" customHeight="1" x14ac:dyDescent="0.35">
      <c r="G24"/>
    </row>
    <row r="25" spans="7:7" ht="15" customHeight="1" x14ac:dyDescent="0.35">
      <c r="G25"/>
    </row>
    <row r="26" spans="7:7" ht="15" customHeight="1" x14ac:dyDescent="0.35">
      <c r="G26"/>
    </row>
    <row r="27" spans="7:7" ht="15" customHeight="1" x14ac:dyDescent="0.35">
      <c r="G27"/>
    </row>
    <row r="28" spans="7:7" ht="15" customHeight="1" x14ac:dyDescent="0.35">
      <c r="G28"/>
    </row>
    <row r="29" spans="7:7" ht="15" customHeight="1" x14ac:dyDescent="0.35">
      <c r="G29"/>
    </row>
    <row r="30" spans="7:7" ht="15" customHeight="1" x14ac:dyDescent="0.35">
      <c r="G30"/>
    </row>
    <row r="31" spans="7:7" ht="15" customHeight="1" x14ac:dyDescent="0.35">
      <c r="G31"/>
    </row>
  </sheetData>
  <sheetProtection formatCells="0" formatColumns="0" formatRows="0"/>
  <dataValidations count="1">
    <dataValidation type="custom" allowBlank="1" showInputMessage="1" showErrorMessage="1" errorTitle="SALDO INSUFICIENTE" error="Quantidade medida superior ao saldo disponível" sqref="AA7 AA4:AA5 K4:K5 K7 M4:M5 M7 O4:O5 O7 Q4:Q5 Q7 S4:S5 S7 U4:U5 U7 W4:W5 W7 Y4:Y5 Y7" xr:uid="{54B8D3B1-B372-4A62-ADDA-4B666804B3CF}">
      <formula1>SUMIFS($I4:K4,$I$1:K$1,"VALOR")&lt;=$E4</formula1>
    </dataValidation>
  </dataValidations>
  <pageMargins left="0.511811024" right="0.511811024" top="0.78740157499999996" bottom="0.78740157499999996" header="0.31496062000000002" footer="0.31496062000000002"/>
  <pageSetup paperSize="9" scale="30" orientation="portrait" r:id="rId1"/>
  <ignoredErrors>
    <ignoredError sqref="D2:D7" unlockedFormula="1"/>
  </ignoredErrors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AA53-9C13-40D5-BB19-38B961D09691}">
  <sheetPr codeName="Planilha12"/>
  <dimension ref="A1:XFC60"/>
  <sheetViews>
    <sheetView showGridLines="0" showRowColHeaders="0" tabSelected="1" zoomScale="40" zoomScaleNormal="40" workbookViewId="0">
      <selection activeCell="AJ60" sqref="AJ60"/>
    </sheetView>
  </sheetViews>
  <sheetFormatPr defaultColWidth="0" defaultRowHeight="14.5" zeroHeight="1" x14ac:dyDescent="0.35"/>
  <cols>
    <col min="1" max="4" width="8.7265625" style="372" customWidth="1"/>
    <col min="5" max="6" width="8.7265625" customWidth="1"/>
    <col min="7" max="7" width="15.36328125" bestFit="1" customWidth="1"/>
    <col min="8" max="9" width="8.7265625" customWidth="1"/>
    <col min="10" max="10" width="14.26953125" bestFit="1" customWidth="1"/>
    <col min="11" max="13" width="8.7265625" customWidth="1"/>
    <col min="14" max="14" width="14.26953125" bestFit="1" customWidth="1"/>
    <col min="15" max="35" width="8.7265625" customWidth="1"/>
    <col min="36" max="36" width="4.6328125" customWidth="1"/>
    <col min="37" max="16383" width="8.7265625" hidden="1"/>
    <col min="16384" max="16384" width="3.6328125" hidden="1" customWidth="1"/>
  </cols>
  <sheetData>
    <row r="1" spans="1:36" x14ac:dyDescent="0.35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</row>
    <row r="2" spans="1:36" x14ac:dyDescent="0.35">
      <c r="A2" s="369"/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</row>
    <row r="3" spans="1:36" x14ac:dyDescent="0.35">
      <c r="A3" s="369"/>
      <c r="B3" s="369"/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</row>
    <row r="4" spans="1:36" ht="17.5" x14ac:dyDescent="0.35">
      <c r="A4" s="369"/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70" t="s">
        <v>170</v>
      </c>
      <c r="AH4" s="370"/>
      <c r="AI4" s="370"/>
      <c r="AJ4" s="369"/>
    </row>
    <row r="5" spans="1:36" ht="17.5" x14ac:dyDescent="0.35">
      <c r="A5" s="369"/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  <c r="AE5" s="369"/>
      <c r="AF5" s="369"/>
      <c r="AG5" s="373">
        <f ca="1">TODAY()</f>
        <v>46168</v>
      </c>
      <c r="AH5" s="374"/>
      <c r="AI5" s="374"/>
      <c r="AJ5" s="369"/>
    </row>
    <row r="6" spans="1:36" x14ac:dyDescent="0.35">
      <c r="A6" s="369"/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69"/>
      <c r="AA6" s="369"/>
      <c r="AB6" s="369"/>
      <c r="AC6" s="369"/>
      <c r="AD6" s="369"/>
      <c r="AE6" s="369"/>
      <c r="AF6" s="369"/>
      <c r="AG6" s="369"/>
      <c r="AH6" s="369"/>
      <c r="AI6" s="369"/>
      <c r="AJ6" s="369"/>
    </row>
    <row r="7" spans="1:36" x14ac:dyDescent="0.35">
      <c r="A7" s="369"/>
      <c r="B7" s="369"/>
      <c r="C7" s="369"/>
      <c r="D7" s="369"/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  <c r="AA7" s="369"/>
      <c r="AB7" s="369"/>
      <c r="AC7" s="369"/>
      <c r="AD7" s="369"/>
      <c r="AE7" s="369"/>
      <c r="AF7" s="369"/>
      <c r="AG7" s="369"/>
      <c r="AH7" s="369"/>
      <c r="AI7" s="369"/>
      <c r="AJ7" s="369"/>
    </row>
    <row r="8" spans="1:36" x14ac:dyDescent="0.35">
      <c r="A8" s="369"/>
      <c r="B8" s="369"/>
      <c r="C8" s="369"/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69"/>
      <c r="P8" s="369"/>
      <c r="Q8" s="369"/>
      <c r="R8" s="369"/>
      <c r="S8" s="369"/>
      <c r="T8" s="369"/>
      <c r="U8" s="369"/>
      <c r="V8" s="369"/>
      <c r="W8" s="369"/>
      <c r="X8" s="369"/>
      <c r="Y8" s="369"/>
      <c r="Z8" s="369"/>
      <c r="AA8" s="369"/>
      <c r="AB8" s="369"/>
      <c r="AC8" s="369"/>
      <c r="AD8" s="369"/>
      <c r="AE8" s="369"/>
      <c r="AF8" s="369"/>
      <c r="AG8" s="369"/>
      <c r="AH8" s="369"/>
      <c r="AI8" s="369"/>
      <c r="AJ8" s="369"/>
    </row>
    <row r="9" spans="1:36" ht="14.5" customHeight="1" x14ac:dyDescent="0.35">
      <c r="A9" s="371"/>
      <c r="B9" s="371"/>
      <c r="C9" s="371"/>
      <c r="D9" s="371"/>
      <c r="E9" s="375" t="s">
        <v>171</v>
      </c>
      <c r="F9" s="375"/>
      <c r="G9" s="375"/>
      <c r="H9" s="375"/>
      <c r="I9" s="375"/>
      <c r="J9" s="72"/>
      <c r="K9" s="324"/>
      <c r="L9" s="324"/>
      <c r="M9" s="324"/>
      <c r="N9" s="324"/>
      <c r="O9" s="324"/>
      <c r="P9" s="324"/>
      <c r="Q9" s="324"/>
      <c r="R9" s="325"/>
      <c r="S9" s="325"/>
      <c r="T9" s="325"/>
      <c r="U9" s="325"/>
      <c r="V9" s="325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324"/>
      <c r="AH9" s="324"/>
      <c r="AI9" s="324"/>
      <c r="AJ9" s="324"/>
    </row>
    <row r="10" spans="1:36" ht="14.5" customHeight="1" x14ac:dyDescent="0.35">
      <c r="A10" s="371"/>
      <c r="B10" s="371"/>
      <c r="C10" s="371"/>
      <c r="D10" s="371"/>
      <c r="E10" s="375"/>
      <c r="F10" s="375"/>
      <c r="G10" s="375"/>
      <c r="H10" s="375"/>
      <c r="I10" s="375"/>
      <c r="J10" s="324"/>
      <c r="K10" s="324"/>
      <c r="L10" s="324"/>
      <c r="M10" s="324"/>
      <c r="N10" s="324"/>
      <c r="O10" s="324"/>
      <c r="P10" s="324"/>
      <c r="Q10" s="324"/>
      <c r="R10" s="365"/>
      <c r="S10" s="365"/>
      <c r="T10" s="365"/>
      <c r="U10" s="365"/>
      <c r="V10" s="325"/>
      <c r="W10" s="72"/>
      <c r="X10" s="72"/>
      <c r="Y10" s="72"/>
      <c r="Z10" s="324"/>
      <c r="AA10" s="324"/>
      <c r="AB10" s="324"/>
      <c r="AC10" s="324"/>
      <c r="AD10" s="324"/>
      <c r="AE10" s="324"/>
      <c r="AF10" s="324"/>
      <c r="AG10" s="324"/>
      <c r="AH10" s="324"/>
      <c r="AI10" s="324"/>
      <c r="AJ10" s="324"/>
    </row>
    <row r="11" spans="1:36" x14ac:dyDescent="0.35">
      <c r="A11" s="371"/>
      <c r="B11" s="371"/>
      <c r="C11" s="371"/>
      <c r="D11" s="371"/>
      <c r="E11" s="375"/>
      <c r="F11" s="375"/>
      <c r="G11" s="375"/>
      <c r="H11" s="375"/>
      <c r="I11" s="375"/>
      <c r="J11" s="324"/>
      <c r="K11" s="324"/>
      <c r="L11" s="324"/>
      <c r="M11" s="324"/>
      <c r="N11" s="325"/>
      <c r="O11" s="324"/>
      <c r="P11" s="324"/>
      <c r="Q11" s="324"/>
      <c r="R11" s="366"/>
      <c r="S11" s="366"/>
      <c r="T11" s="366"/>
      <c r="U11" s="366"/>
      <c r="V11" s="325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324"/>
      <c r="AH11" s="324"/>
      <c r="AI11" s="324"/>
      <c r="AJ11" s="324"/>
    </row>
    <row r="12" spans="1:36" x14ac:dyDescent="0.35">
      <c r="A12" s="371"/>
      <c r="B12" s="371"/>
      <c r="C12" s="371"/>
      <c r="D12" s="371"/>
      <c r="E12" s="324"/>
      <c r="F12" s="324"/>
      <c r="G12" s="324"/>
      <c r="H12" s="324"/>
      <c r="I12" s="324"/>
      <c r="J12" s="324"/>
      <c r="K12" s="324"/>
      <c r="L12" s="324"/>
      <c r="M12" s="324"/>
      <c r="N12" s="367"/>
      <c r="O12" s="367"/>
      <c r="P12" s="367"/>
      <c r="Q12" s="324"/>
      <c r="R12" s="366"/>
      <c r="S12" s="366"/>
      <c r="T12" s="366"/>
      <c r="U12" s="366"/>
      <c r="V12" s="325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324"/>
      <c r="AH12" s="324"/>
      <c r="AI12" s="324"/>
      <c r="AJ12" s="324"/>
    </row>
    <row r="13" spans="1:36" x14ac:dyDescent="0.35">
      <c r="A13" s="371"/>
      <c r="B13" s="371"/>
      <c r="C13" s="371"/>
      <c r="D13" s="371"/>
      <c r="E13" s="324"/>
      <c r="F13" s="367"/>
      <c r="G13" s="367"/>
      <c r="H13" s="367"/>
      <c r="I13" s="324"/>
      <c r="J13" s="326">
        <v>238807.06999999998</v>
      </c>
      <c r="K13" s="324"/>
      <c r="L13" s="324"/>
      <c r="M13" s="324"/>
      <c r="N13" s="368">
        <f>'2. Boletim de Medição'!I8</f>
        <v>169239.2</v>
      </c>
      <c r="O13" s="367"/>
      <c r="P13" s="367"/>
      <c r="Q13" s="324"/>
      <c r="R13" s="366" t="str" cm="1">
        <f t="array" ref="R13">TEXT(LOOKUP(2,1/(Tabela573[EXECUTADO]&lt;&gt;""),Tabela573[EXECUTADO]),"#.##0,00")&amp;" m²"</f>
        <v>56,00 m²</v>
      </c>
      <c r="S13" s="366"/>
      <c r="T13" s="366"/>
      <c r="U13" s="366"/>
      <c r="V13" s="325"/>
      <c r="W13" s="376">
        <f>'1. Controle de Contrato'!J21</f>
        <v>251385.51</v>
      </c>
      <c r="X13" s="377"/>
      <c r="Y13" s="377"/>
      <c r="Z13" s="324"/>
      <c r="AA13" s="324"/>
      <c r="AB13" s="361">
        <f>SUM('1. Controle de Contrato'!G21/'1. Controle de Contrato'!J5)</f>
        <v>1</v>
      </c>
      <c r="AC13" s="324"/>
      <c r="AD13" s="324"/>
      <c r="AE13" s="324"/>
      <c r="AF13" s="324"/>
      <c r="AG13" s="363">
        <f>SUM(tbPrevisto!F11-tbPrevisto!C2)</f>
        <v>-6531.21</v>
      </c>
      <c r="AH13" s="362"/>
      <c r="AI13" s="325" t="s">
        <v>246</v>
      </c>
      <c r="AJ13" s="324"/>
    </row>
    <row r="14" spans="1:36" x14ac:dyDescent="0.35">
      <c r="A14" s="371"/>
      <c r="B14" s="371"/>
      <c r="C14" s="371"/>
      <c r="D14" s="371"/>
      <c r="E14" s="324"/>
      <c r="F14" s="367"/>
      <c r="G14" s="367"/>
      <c r="H14" s="367"/>
      <c r="I14" s="324"/>
      <c r="J14" s="324"/>
      <c r="K14" s="324"/>
      <c r="L14" s="324"/>
      <c r="M14" s="324"/>
      <c r="N14" s="367"/>
      <c r="O14" s="367"/>
      <c r="P14" s="367"/>
      <c r="Q14" s="324"/>
      <c r="R14" s="366"/>
      <c r="S14" s="362"/>
      <c r="T14" s="366"/>
      <c r="U14" s="366"/>
      <c r="V14" s="325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363"/>
      <c r="AH14" s="325"/>
      <c r="AI14" s="325"/>
      <c r="AJ14" s="324"/>
    </row>
    <row r="15" spans="1:36" x14ac:dyDescent="0.35">
      <c r="A15" s="371"/>
      <c r="B15" s="371"/>
      <c r="C15" s="371"/>
      <c r="D15" s="371"/>
      <c r="E15" s="324"/>
      <c r="F15" s="367"/>
      <c r="G15" s="368">
        <f>'1. Controle de Contrato'!J5</f>
        <v>270307</v>
      </c>
      <c r="H15" s="367"/>
      <c r="I15" s="324"/>
      <c r="J15" s="324"/>
      <c r="K15" s="324"/>
      <c r="L15" s="324"/>
      <c r="M15" s="324"/>
      <c r="N15" s="367"/>
      <c r="O15" s="367"/>
      <c r="P15" s="367"/>
      <c r="Q15" s="324"/>
      <c r="R15" s="366"/>
      <c r="S15" s="366"/>
      <c r="T15" s="366"/>
      <c r="U15" s="366"/>
      <c r="V15" s="325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325" t="str">
        <f>TEXT(AG13,"#.##0,00")&amp;" m²"</f>
        <v>-6.531,21 m²</v>
      </c>
      <c r="AH15" s="325"/>
      <c r="AI15" s="325"/>
      <c r="AJ15" s="324"/>
    </row>
    <row r="16" spans="1:36" x14ac:dyDescent="0.35">
      <c r="A16" s="371"/>
      <c r="B16" s="371"/>
      <c r="C16" s="371"/>
      <c r="D16" s="371"/>
      <c r="E16" s="324"/>
      <c r="F16" s="367"/>
      <c r="G16" s="367"/>
      <c r="H16" s="367"/>
      <c r="I16" s="324"/>
      <c r="J16" s="324"/>
      <c r="K16" s="324"/>
      <c r="L16" s="324"/>
      <c r="M16" s="324"/>
      <c r="N16" s="367"/>
      <c r="O16" s="367"/>
      <c r="P16" s="367"/>
      <c r="Q16" s="324"/>
      <c r="R16" s="366"/>
      <c r="S16" s="366"/>
      <c r="T16" s="366"/>
      <c r="U16" s="366"/>
      <c r="V16" s="325"/>
      <c r="W16" s="324"/>
      <c r="X16" s="324"/>
      <c r="Y16" s="324"/>
      <c r="Z16" s="324"/>
      <c r="AA16" s="324"/>
      <c r="AB16" s="324"/>
      <c r="AC16" s="324"/>
      <c r="AD16" s="324"/>
      <c r="AE16" s="324"/>
      <c r="AF16" s="324"/>
      <c r="AG16" s="325"/>
      <c r="AH16" s="325"/>
      <c r="AI16" s="325"/>
      <c r="AJ16" s="324"/>
    </row>
    <row r="17" spans="1:36" x14ac:dyDescent="0.35">
      <c r="A17" s="371"/>
      <c r="B17" s="371"/>
      <c r="C17" s="371"/>
      <c r="D17" s="371"/>
      <c r="E17" s="324"/>
      <c r="F17" s="324"/>
      <c r="G17" s="324"/>
      <c r="H17" s="324"/>
      <c r="I17" s="324"/>
      <c r="J17" s="324"/>
      <c r="K17" s="324"/>
      <c r="L17" s="324"/>
      <c r="M17" s="324"/>
      <c r="N17" s="324"/>
      <c r="O17" s="324"/>
      <c r="P17" s="324"/>
      <c r="Q17" s="324"/>
      <c r="R17" s="325"/>
      <c r="S17" s="325"/>
      <c r="T17" s="325"/>
      <c r="U17" s="325"/>
      <c r="V17" s="325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5"/>
      <c r="AH17" s="325"/>
      <c r="AI17" s="325"/>
      <c r="AJ17" s="324"/>
    </row>
    <row r="18" spans="1:36" x14ac:dyDescent="0.35">
      <c r="A18" s="371"/>
      <c r="B18" s="371"/>
      <c r="C18" s="371"/>
      <c r="D18" s="371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5"/>
      <c r="S18" s="325"/>
      <c r="T18" s="325"/>
      <c r="U18" s="325"/>
      <c r="V18" s="325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  <c r="AG18" s="324"/>
      <c r="AH18" s="324"/>
      <c r="AI18" s="324"/>
      <c r="AJ18" s="324"/>
    </row>
    <row r="19" spans="1:36" x14ac:dyDescent="0.35">
      <c r="A19" s="371"/>
      <c r="B19" s="371"/>
      <c r="C19" s="371"/>
      <c r="D19" s="371"/>
      <c r="E19" s="324" t="s">
        <v>172</v>
      </c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5"/>
      <c r="S19" s="325"/>
      <c r="T19" s="325"/>
      <c r="U19" s="325"/>
      <c r="V19" s="325"/>
      <c r="W19" s="324"/>
      <c r="X19" s="324"/>
      <c r="Y19" s="324"/>
      <c r="Z19" s="324"/>
      <c r="AA19" s="324"/>
      <c r="AB19" s="324"/>
      <c r="AC19" s="324"/>
      <c r="AD19" s="324"/>
      <c r="AE19" s="324"/>
      <c r="AF19" s="324"/>
      <c r="AG19" s="324"/>
      <c r="AH19" s="324"/>
      <c r="AI19" s="324"/>
      <c r="AJ19" s="324"/>
    </row>
    <row r="20" spans="1:36" x14ac:dyDescent="0.35">
      <c r="A20" s="371"/>
      <c r="B20" s="371"/>
      <c r="C20" s="371"/>
      <c r="D20" s="371"/>
      <c r="E20" s="324"/>
      <c r="F20" s="324"/>
      <c r="G20" s="324"/>
      <c r="H20" s="324"/>
      <c r="I20" s="324"/>
      <c r="J20" s="324"/>
      <c r="K20" s="324"/>
      <c r="L20" s="324"/>
      <c r="M20" s="324"/>
      <c r="N20" s="324"/>
      <c r="O20" s="324"/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324"/>
      <c r="AH20" s="324"/>
      <c r="AI20" s="324"/>
      <c r="AJ20" s="324"/>
    </row>
    <row r="21" spans="1:36" x14ac:dyDescent="0.35">
      <c r="A21" s="371"/>
      <c r="B21" s="371"/>
      <c r="C21" s="371"/>
      <c r="D21" s="371"/>
      <c r="E21" s="324"/>
      <c r="F21" s="324"/>
      <c r="G21" s="324"/>
      <c r="H21" s="324"/>
      <c r="I21" s="324"/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4"/>
      <c r="U21" s="324"/>
      <c r="V21" s="324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324"/>
      <c r="AH21" s="324"/>
      <c r="AI21" s="324"/>
      <c r="AJ21" s="324"/>
    </row>
    <row r="22" spans="1:36" x14ac:dyDescent="0.35">
      <c r="A22" s="371"/>
      <c r="B22" s="371"/>
      <c r="C22" s="371"/>
      <c r="D22" s="371"/>
      <c r="E22" s="324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4"/>
      <c r="U22" s="324"/>
      <c r="V22" s="324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324"/>
      <c r="AH22" s="324"/>
      <c r="AI22" s="324"/>
      <c r="AJ22" s="324"/>
    </row>
    <row r="23" spans="1:36" x14ac:dyDescent="0.35">
      <c r="A23" s="371"/>
      <c r="B23" s="371"/>
      <c r="C23" s="371"/>
      <c r="D23" s="371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4"/>
      <c r="U23" s="324"/>
      <c r="V23" s="324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324"/>
      <c r="AH23" s="324"/>
      <c r="AI23" s="324"/>
      <c r="AJ23" s="324"/>
    </row>
    <row r="24" spans="1:36" x14ac:dyDescent="0.35">
      <c r="A24" s="371"/>
      <c r="B24" s="371"/>
      <c r="C24" s="371"/>
      <c r="D24" s="371"/>
      <c r="E24" s="324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324"/>
      <c r="AH24" s="324"/>
      <c r="AI24" s="324"/>
      <c r="AJ24" s="324"/>
    </row>
    <row r="25" spans="1:36" x14ac:dyDescent="0.35">
      <c r="A25" s="371"/>
      <c r="B25" s="371"/>
      <c r="C25" s="371"/>
      <c r="D25" s="371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>
        <v>123</v>
      </c>
      <c r="Q25" s="324"/>
      <c r="R25" s="324"/>
      <c r="S25" s="324"/>
      <c r="T25" s="324"/>
      <c r="U25" s="324"/>
      <c r="V25" s="324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324"/>
      <c r="AH25" s="324"/>
      <c r="AI25" s="324"/>
      <c r="AJ25" s="324"/>
    </row>
    <row r="26" spans="1:36" x14ac:dyDescent="0.35">
      <c r="A26" s="371"/>
      <c r="B26" s="371"/>
      <c r="C26" s="371"/>
      <c r="D26" s="371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324"/>
      <c r="AH26" s="324"/>
      <c r="AI26" s="324"/>
      <c r="AJ26" s="324"/>
    </row>
    <row r="27" spans="1:36" x14ac:dyDescent="0.35">
      <c r="A27" s="371"/>
      <c r="B27" s="371"/>
      <c r="C27" s="371"/>
      <c r="D27" s="371"/>
      <c r="E27" s="324"/>
      <c r="F27" s="324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4"/>
      <c r="U27" s="324"/>
      <c r="V27" s="324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324"/>
      <c r="AH27" s="324"/>
      <c r="AI27" s="324"/>
      <c r="AJ27" s="324"/>
    </row>
    <row r="28" spans="1:36" x14ac:dyDescent="0.35">
      <c r="A28" s="371"/>
      <c r="B28" s="371"/>
      <c r="C28" s="371"/>
      <c r="D28" s="371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4"/>
      <c r="U28" s="324"/>
      <c r="V28" s="324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324"/>
      <c r="AH28" s="324"/>
      <c r="AI28" s="324"/>
      <c r="AJ28" s="324"/>
    </row>
    <row r="29" spans="1:36" x14ac:dyDescent="0.35">
      <c r="A29" s="371"/>
      <c r="B29" s="371"/>
      <c r="C29" s="371"/>
      <c r="D29" s="371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4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324"/>
      <c r="AH29" s="324"/>
      <c r="AI29" s="324"/>
      <c r="AJ29" s="324"/>
    </row>
    <row r="30" spans="1:36" x14ac:dyDescent="0.35">
      <c r="A30" s="371"/>
      <c r="B30" s="371"/>
      <c r="C30" s="371"/>
      <c r="D30" s="371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324"/>
      <c r="AH30" s="324"/>
      <c r="AI30" s="324"/>
      <c r="AJ30" s="324"/>
    </row>
    <row r="31" spans="1:36" x14ac:dyDescent="0.35">
      <c r="A31" s="371"/>
      <c r="B31" s="371"/>
      <c r="C31" s="371"/>
      <c r="D31" s="371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324"/>
      <c r="U31" s="324"/>
      <c r="V31" s="324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324"/>
      <c r="AH31" s="324"/>
      <c r="AI31" s="324"/>
      <c r="AJ31" s="324"/>
    </row>
    <row r="32" spans="1:36" x14ac:dyDescent="0.35">
      <c r="A32" s="371"/>
      <c r="B32" s="371"/>
      <c r="C32" s="371"/>
      <c r="D32" s="371"/>
      <c r="E32" s="324"/>
      <c r="F32" s="324"/>
      <c r="G32" s="324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324"/>
      <c r="AH32" s="324"/>
      <c r="AI32" s="324"/>
      <c r="AJ32" s="324"/>
    </row>
    <row r="33" spans="1:36" x14ac:dyDescent="0.35">
      <c r="A33" s="371"/>
      <c r="B33" s="371"/>
      <c r="C33" s="371"/>
      <c r="D33" s="371"/>
      <c r="E33" s="324"/>
      <c r="F33" s="324"/>
      <c r="G33" s="324"/>
      <c r="H33" s="324"/>
      <c r="I33" s="324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324"/>
      <c r="U33" s="324"/>
      <c r="V33" s="324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324"/>
      <c r="AH33" s="324"/>
      <c r="AI33" s="324"/>
      <c r="AJ33" s="324"/>
    </row>
    <row r="34" spans="1:36" x14ac:dyDescent="0.35">
      <c r="A34" s="371"/>
      <c r="B34" s="371"/>
      <c r="C34" s="371"/>
      <c r="D34" s="371"/>
      <c r="E34" s="324"/>
      <c r="F34" s="324"/>
      <c r="G34" s="324"/>
      <c r="H34" s="324"/>
      <c r="I34" s="324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324"/>
      <c r="AH34" s="324"/>
      <c r="AI34" s="324"/>
      <c r="AJ34" s="324"/>
    </row>
    <row r="35" spans="1:36" x14ac:dyDescent="0.35">
      <c r="E35" s="324"/>
      <c r="F35" s="324"/>
      <c r="G35" s="324"/>
      <c r="H35" s="324"/>
      <c r="I35" s="324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4"/>
      <c r="W35" s="324"/>
      <c r="X35" s="324"/>
      <c r="Y35" s="324"/>
      <c r="Z35" s="324"/>
      <c r="AA35" s="324"/>
      <c r="AB35" s="324"/>
      <c r="AC35" s="324"/>
      <c r="AD35" s="324"/>
      <c r="AE35" s="324"/>
      <c r="AF35" s="324"/>
      <c r="AG35" s="324"/>
      <c r="AH35" s="324"/>
      <c r="AI35" s="324"/>
      <c r="AJ35" s="324"/>
    </row>
    <row r="36" spans="1:36" x14ac:dyDescent="0.35">
      <c r="E36" s="324"/>
      <c r="F36" s="324"/>
      <c r="G36" s="324"/>
      <c r="H36" s="324"/>
      <c r="I36" s="324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/>
      <c r="AE36" s="324"/>
      <c r="AF36" s="324"/>
      <c r="AG36" s="324"/>
      <c r="AH36" s="324"/>
      <c r="AI36" s="324"/>
      <c r="AJ36" s="324"/>
    </row>
    <row r="37" spans="1:36" x14ac:dyDescent="0.35">
      <c r="E37" s="324"/>
      <c r="F37" s="324"/>
      <c r="G37" s="324"/>
      <c r="H37" s="324"/>
      <c r="I37" s="324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324"/>
      <c r="U37" s="324"/>
      <c r="V37" s="324"/>
      <c r="W37" s="324"/>
      <c r="X37" s="324"/>
      <c r="Y37" s="324"/>
      <c r="Z37" s="324"/>
      <c r="AA37" s="324"/>
      <c r="AB37" s="324"/>
      <c r="AC37" s="324"/>
      <c r="AD37" s="324"/>
      <c r="AE37" s="324"/>
      <c r="AF37" s="324"/>
      <c r="AG37" s="324"/>
      <c r="AH37" s="324"/>
      <c r="AI37" s="324"/>
      <c r="AJ37" s="324"/>
    </row>
    <row r="38" spans="1:36" x14ac:dyDescent="0.35"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  <c r="AA38" s="324"/>
      <c r="AB38" s="324"/>
      <c r="AC38" s="324"/>
      <c r="AD38" s="324"/>
      <c r="AE38" s="324"/>
      <c r="AF38" s="324"/>
      <c r="AG38" s="324"/>
      <c r="AH38" s="324"/>
      <c r="AI38" s="324"/>
      <c r="AJ38" s="324"/>
    </row>
    <row r="39" spans="1:36" x14ac:dyDescent="0.35">
      <c r="E39" s="324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4"/>
      <c r="Z39" s="324"/>
      <c r="AA39" s="324"/>
      <c r="AB39" s="324"/>
      <c r="AC39" s="324"/>
      <c r="AD39" s="324"/>
      <c r="AE39" s="324"/>
      <c r="AF39" s="324"/>
      <c r="AG39" s="324"/>
      <c r="AH39" s="324"/>
      <c r="AI39" s="324"/>
      <c r="AJ39" s="324"/>
    </row>
    <row r="40" spans="1:36" x14ac:dyDescent="0.35">
      <c r="E40" s="324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  <c r="AD40" s="324"/>
      <c r="AE40" s="324"/>
      <c r="AF40" s="324"/>
      <c r="AG40" s="324"/>
      <c r="AH40" s="324"/>
      <c r="AI40" s="324"/>
      <c r="AJ40" s="324"/>
    </row>
    <row r="41" spans="1:36" x14ac:dyDescent="0.35">
      <c r="E41" s="324"/>
      <c r="F41" s="324"/>
      <c r="G41" s="324"/>
      <c r="H41" s="324"/>
      <c r="I41" s="324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  <c r="AA41" s="324"/>
      <c r="AB41" s="324"/>
      <c r="AC41" s="324"/>
      <c r="AD41" s="324"/>
      <c r="AE41" s="324"/>
      <c r="AF41" s="324"/>
      <c r="AG41" s="324"/>
      <c r="AH41" s="324"/>
      <c r="AI41" s="324"/>
      <c r="AJ41" s="324"/>
    </row>
    <row r="42" spans="1:36" x14ac:dyDescent="0.35">
      <c r="E42" s="324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  <c r="AA42" s="324"/>
      <c r="AB42" s="324"/>
      <c r="AC42" s="324"/>
      <c r="AD42" s="324"/>
      <c r="AE42" s="324"/>
      <c r="AF42" s="324"/>
      <c r="AG42" s="324"/>
      <c r="AH42" s="324"/>
      <c r="AI42" s="324"/>
      <c r="AJ42" s="324"/>
    </row>
    <row r="43" spans="1:36" x14ac:dyDescent="0.35">
      <c r="E43" s="324"/>
      <c r="F43" s="324"/>
      <c r="G43" s="324"/>
      <c r="H43" s="324"/>
      <c r="I43" s="324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  <c r="AA43" s="324"/>
      <c r="AB43" s="324"/>
      <c r="AC43" s="324"/>
      <c r="AD43" s="324"/>
      <c r="AE43" s="324"/>
      <c r="AF43" s="324"/>
      <c r="AG43" s="324"/>
      <c r="AH43" s="324"/>
      <c r="AI43" s="324"/>
      <c r="AJ43" s="324"/>
    </row>
    <row r="44" spans="1:36" x14ac:dyDescent="0.35">
      <c r="E44" s="324"/>
      <c r="F44" s="324"/>
      <c r="G44" s="324"/>
      <c r="H44" s="324"/>
      <c r="I44" s="324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  <c r="AA44" s="324"/>
      <c r="AB44" s="324"/>
      <c r="AC44" s="324"/>
      <c r="AD44" s="324"/>
      <c r="AE44" s="324"/>
      <c r="AF44" s="324"/>
      <c r="AG44" s="324"/>
      <c r="AH44" s="324"/>
      <c r="AI44" s="324"/>
      <c r="AJ44" s="324"/>
    </row>
    <row r="45" spans="1:36" x14ac:dyDescent="0.35"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  <c r="AD45" s="324"/>
      <c r="AE45" s="324"/>
      <c r="AF45" s="324"/>
      <c r="AG45" s="324"/>
      <c r="AH45" s="324"/>
      <c r="AI45" s="324"/>
      <c r="AJ45" s="324"/>
    </row>
    <row r="46" spans="1:36" x14ac:dyDescent="0.35">
      <c r="E46" s="324"/>
      <c r="F46" s="324"/>
      <c r="G46" s="324"/>
      <c r="H46" s="324"/>
      <c r="I46" s="324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  <c r="AA46" s="324"/>
      <c r="AB46" s="324"/>
      <c r="AC46" s="324"/>
      <c r="AD46" s="324"/>
      <c r="AE46" s="324"/>
      <c r="AF46" s="324"/>
      <c r="AG46" s="324"/>
      <c r="AH46" s="324"/>
      <c r="AI46" s="324"/>
      <c r="AJ46" s="324"/>
    </row>
    <row r="47" spans="1:36" x14ac:dyDescent="0.35">
      <c r="E47" s="324"/>
      <c r="F47" s="324"/>
      <c r="G47" s="324"/>
      <c r="H47" s="324"/>
      <c r="I47" s="324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  <c r="AA47" s="324"/>
      <c r="AB47" s="324"/>
      <c r="AC47" s="324"/>
      <c r="AD47" s="324"/>
      <c r="AE47" s="324"/>
      <c r="AF47" s="324"/>
      <c r="AG47" s="324"/>
      <c r="AH47" s="324"/>
      <c r="AI47" s="324"/>
      <c r="AJ47" s="324"/>
    </row>
    <row r="48" spans="1:36" x14ac:dyDescent="0.35">
      <c r="E48" s="324"/>
      <c r="F48" s="324"/>
      <c r="G48" s="324"/>
      <c r="H48" s="324"/>
      <c r="I48" s="324"/>
      <c r="J48" s="324"/>
      <c r="K48" s="324"/>
      <c r="L48" s="324"/>
      <c r="M48" s="324"/>
      <c r="N48" s="324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24"/>
      <c r="AA48" s="324"/>
      <c r="AB48" s="324"/>
      <c r="AC48" s="324"/>
      <c r="AD48" s="324"/>
      <c r="AE48" s="324"/>
      <c r="AF48" s="324"/>
      <c r="AG48" s="324"/>
      <c r="AH48" s="324"/>
      <c r="AI48" s="324"/>
      <c r="AJ48" s="324"/>
    </row>
    <row r="49" spans="5:36" x14ac:dyDescent="0.35">
      <c r="E49" s="324"/>
      <c r="F49" s="324"/>
      <c r="G49" s="324"/>
      <c r="H49" s="324"/>
      <c r="I49" s="324"/>
      <c r="J49" s="324"/>
      <c r="K49" s="324"/>
      <c r="L49" s="324"/>
      <c r="M49" s="324"/>
      <c r="N49" s="324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24"/>
      <c r="AA49" s="324"/>
      <c r="AB49" s="324"/>
      <c r="AC49" s="324"/>
      <c r="AD49" s="324"/>
      <c r="AE49" s="324"/>
      <c r="AF49" s="324"/>
      <c r="AG49" s="324"/>
      <c r="AH49" s="324"/>
      <c r="AI49" s="324"/>
      <c r="AJ49" s="324"/>
    </row>
    <row r="50" spans="5:36" x14ac:dyDescent="0.35">
      <c r="E50" s="324"/>
      <c r="F50" s="324"/>
      <c r="G50" s="324"/>
      <c r="H50" s="324"/>
      <c r="I50" s="324"/>
      <c r="J50" s="324"/>
      <c r="K50" s="324"/>
      <c r="L50" s="324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24"/>
      <c r="AA50" s="324"/>
      <c r="AB50" s="324"/>
      <c r="AC50" s="324"/>
      <c r="AD50" s="324"/>
      <c r="AE50" s="324"/>
      <c r="AF50" s="324"/>
      <c r="AG50" s="324"/>
      <c r="AH50" s="324"/>
      <c r="AI50" s="324"/>
      <c r="AJ50" s="324"/>
    </row>
    <row r="51" spans="5:36" x14ac:dyDescent="0.35">
      <c r="E51" s="324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  <c r="AD51" s="324"/>
      <c r="AE51" s="324"/>
      <c r="AF51" s="324"/>
      <c r="AG51" s="324"/>
      <c r="AH51" s="324"/>
      <c r="AI51" s="324"/>
      <c r="AJ51" s="324"/>
    </row>
    <row r="52" spans="5:36" x14ac:dyDescent="0.35">
      <c r="E52" s="324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/>
      <c r="AE52" s="324"/>
      <c r="AF52" s="324"/>
      <c r="AG52" s="324"/>
      <c r="AH52" s="324"/>
      <c r="AI52" s="324"/>
      <c r="AJ52" s="324"/>
    </row>
    <row r="53" spans="5:36" x14ac:dyDescent="0.35">
      <c r="E53" s="324"/>
      <c r="F53" s="324"/>
      <c r="G53" s="324"/>
      <c r="H53" s="324"/>
      <c r="I53" s="324"/>
      <c r="J53" s="324"/>
      <c r="K53" s="324"/>
      <c r="L53" s="324"/>
      <c r="M53" s="324"/>
      <c r="N53" s="324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  <c r="AA53" s="324"/>
      <c r="AB53" s="324"/>
      <c r="AC53" s="324"/>
      <c r="AD53" s="324"/>
      <c r="AE53" s="324"/>
      <c r="AF53" s="324"/>
      <c r="AG53" s="324"/>
      <c r="AH53" s="324"/>
      <c r="AI53" s="324"/>
      <c r="AJ53" s="324"/>
    </row>
    <row r="54" spans="5:36" x14ac:dyDescent="0.35">
      <c r="E54" s="324"/>
      <c r="F54" s="324"/>
      <c r="G54" s="324"/>
      <c r="H54" s="324"/>
      <c r="I54" s="324"/>
      <c r="J54" s="324"/>
      <c r="K54" s="324"/>
      <c r="L54" s="324"/>
      <c r="M54" s="324"/>
      <c r="N54" s="324"/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  <c r="AD54" s="324"/>
      <c r="AE54" s="324"/>
      <c r="AF54" s="324"/>
      <c r="AG54" s="324"/>
      <c r="AH54" s="324"/>
      <c r="AI54" s="324"/>
      <c r="AJ54" s="324"/>
    </row>
    <row r="55" spans="5:36" x14ac:dyDescent="0.35"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</row>
    <row r="56" spans="5:36" x14ac:dyDescent="0.35"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  <c r="AA56" s="324"/>
      <c r="AB56" s="324"/>
      <c r="AC56" s="324"/>
      <c r="AD56" s="324"/>
      <c r="AE56" s="324"/>
      <c r="AF56" s="324"/>
      <c r="AG56" s="324"/>
      <c r="AH56" s="324"/>
      <c r="AI56" s="324"/>
      <c r="AJ56" s="324"/>
    </row>
    <row r="57" spans="5:36" x14ac:dyDescent="0.35"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</row>
    <row r="58" spans="5:36" x14ac:dyDescent="0.35"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</row>
    <row r="59" spans="5:36" x14ac:dyDescent="0.35"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</row>
    <row r="60" spans="5:36" x14ac:dyDescent="0.35"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</sheetData>
  <sheetProtection selectLockedCells="1" selectUnlockedCells="1"/>
  <dataConsolidate/>
  <mergeCells count="3">
    <mergeCell ref="AG5:AI5"/>
    <mergeCell ref="E9:I11"/>
    <mergeCell ref="W13:Y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A89D-5558-42A5-87F8-0B3A2A9ECB39}">
  <sheetPr codeName="Planilha13">
    <pageSetUpPr fitToPage="1"/>
  </sheetPr>
  <dimension ref="A1:R71"/>
  <sheetViews>
    <sheetView showGridLines="0" topLeftCell="F4" zoomScale="70" zoomScaleNormal="70" zoomScaleSheetLayoutView="70" workbookViewId="0">
      <selection activeCell="M17" sqref="M17"/>
    </sheetView>
  </sheetViews>
  <sheetFormatPr defaultRowHeight="14.5" outlineLevelRow="1" x14ac:dyDescent="0.35"/>
  <cols>
    <col min="1" max="2" width="1.6328125" customWidth="1"/>
    <col min="3" max="3" width="21.36328125" customWidth="1"/>
    <col min="4" max="4" width="24.90625" customWidth="1"/>
    <col min="5" max="5" width="19.6328125" customWidth="1"/>
    <col min="6" max="6" width="13.90625" customWidth="1"/>
    <col min="7" max="7" width="20.6328125" customWidth="1"/>
    <col min="8" max="8" width="21.36328125" customWidth="1"/>
    <col min="9" max="9" width="26.6328125" customWidth="1"/>
    <col min="10" max="10" width="25.90625" customWidth="1"/>
    <col min="11" max="12" width="21.36328125" customWidth="1"/>
    <col min="13" max="13" width="23.36328125" customWidth="1"/>
    <col min="14" max="15" width="20.453125" customWidth="1"/>
    <col min="16" max="16" width="8.6328125" customWidth="1"/>
    <col min="17" max="17" width="1.6328125" customWidth="1"/>
  </cols>
  <sheetData>
    <row r="1" spans="1:17" s="72" customFormat="1" ht="10.25" customHeight="1" x14ac:dyDescent="0.35"/>
    <row r="2" spans="1:17" ht="10.25" customHeight="1" x14ac:dyDescent="0.35">
      <c r="A2" s="72"/>
      <c r="Q2" s="72"/>
    </row>
    <row r="3" spans="1:17" ht="23.5" x14ac:dyDescent="0.35">
      <c r="A3" s="72"/>
      <c r="C3" s="264" t="s">
        <v>0</v>
      </c>
      <c r="D3" s="265"/>
      <c r="E3" s="265"/>
      <c r="F3" s="266"/>
      <c r="G3" s="266"/>
      <c r="H3" s="266"/>
      <c r="I3" s="266"/>
      <c r="J3" s="267"/>
      <c r="K3" s="267"/>
      <c r="L3" s="267"/>
      <c r="M3" s="267"/>
      <c r="N3" s="267"/>
      <c r="O3" s="267"/>
      <c r="P3" s="267"/>
      <c r="Q3" s="72"/>
    </row>
    <row r="4" spans="1:17" x14ac:dyDescent="0.35">
      <c r="A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7" ht="15.5" x14ac:dyDescent="0.35">
      <c r="A5" s="72"/>
      <c r="C5" s="207" t="s">
        <v>1</v>
      </c>
      <c r="D5" s="273" t="s">
        <v>150</v>
      </c>
      <c r="F5" s="208" t="s">
        <v>2</v>
      </c>
      <c r="G5" s="112" t="s">
        <v>154</v>
      </c>
      <c r="H5" s="72"/>
      <c r="I5" s="206" t="s">
        <v>3</v>
      </c>
      <c r="J5" s="104">
        <f>SUM(G24:G28)</f>
        <v>270307</v>
      </c>
      <c r="K5" s="246"/>
      <c r="L5" s="72"/>
      <c r="M5" s="206" t="s">
        <v>4</v>
      </c>
      <c r="N5" s="82">
        <f>SUM(E15:E20)</f>
        <v>0</v>
      </c>
      <c r="O5" s="72"/>
      <c r="P5" s="72"/>
      <c r="Q5" s="72"/>
    </row>
    <row r="6" spans="1:17" ht="5" customHeight="1" x14ac:dyDescent="0.35">
      <c r="A6" s="72"/>
      <c r="C6" s="207"/>
      <c r="D6" s="72"/>
      <c r="E6" s="72"/>
      <c r="F6" s="209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</row>
    <row r="7" spans="1:17" x14ac:dyDescent="0.35">
      <c r="A7" s="72"/>
      <c r="C7" s="207" t="s">
        <v>5</v>
      </c>
      <c r="D7" s="112" t="s">
        <v>151</v>
      </c>
      <c r="F7" s="208" t="s">
        <v>6</v>
      </c>
      <c r="G7" s="112"/>
      <c r="H7" s="72"/>
      <c r="I7" s="206" t="s">
        <v>7</v>
      </c>
      <c r="J7" s="82">
        <f>$J$5*K7</f>
        <v>270307</v>
      </c>
      <c r="K7" s="113">
        <v>1</v>
      </c>
      <c r="L7" s="83">
        <v>355991</v>
      </c>
      <c r="M7" s="206" t="s">
        <v>7</v>
      </c>
      <c r="N7" s="82">
        <v>0</v>
      </c>
      <c r="O7" s="238" t="str">
        <f>IFERROR(N7/N5,"")</f>
        <v/>
      </c>
      <c r="P7" s="72"/>
      <c r="Q7" s="72"/>
    </row>
    <row r="8" spans="1:17" ht="5" customHeight="1" x14ac:dyDescent="0.35">
      <c r="A8" s="72"/>
      <c r="C8" s="207"/>
      <c r="D8" s="72"/>
      <c r="E8" s="72"/>
      <c r="F8" s="209"/>
      <c r="G8" s="72"/>
      <c r="H8" s="72"/>
      <c r="I8" s="72"/>
      <c r="J8" s="72"/>
      <c r="K8" s="80"/>
      <c r="L8" s="83"/>
      <c r="M8" s="72"/>
      <c r="N8" s="72"/>
      <c r="O8" s="80"/>
      <c r="P8" s="72"/>
      <c r="Q8" s="72"/>
    </row>
    <row r="9" spans="1:17" x14ac:dyDescent="0.35">
      <c r="A9" s="72"/>
      <c r="C9" s="207" t="s">
        <v>8</v>
      </c>
      <c r="D9" s="112" t="s">
        <v>153</v>
      </c>
      <c r="F9" s="209"/>
      <c r="G9" s="72"/>
      <c r="H9" s="72"/>
      <c r="I9" s="206" t="s">
        <v>9</v>
      </c>
      <c r="J9" s="82">
        <f>$J$5*K9</f>
        <v>0</v>
      </c>
      <c r="K9" s="113">
        <v>0</v>
      </c>
      <c r="L9" s="83">
        <v>0</v>
      </c>
      <c r="M9" s="206" t="s">
        <v>9</v>
      </c>
      <c r="N9" s="82">
        <f>SUM(G15:G20)</f>
        <v>0</v>
      </c>
      <c r="O9" s="238" t="str">
        <f>IFERROR(N9/N5,"")</f>
        <v/>
      </c>
      <c r="P9" s="72"/>
      <c r="Q9" s="72"/>
    </row>
    <row r="10" spans="1:17" ht="5" customHeight="1" x14ac:dyDescent="0.35">
      <c r="A10" s="72"/>
      <c r="C10" s="207"/>
      <c r="D10" s="72"/>
      <c r="E10" s="72"/>
      <c r="F10" s="208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</row>
    <row r="11" spans="1:17" x14ac:dyDescent="0.35">
      <c r="A11" s="72"/>
      <c r="C11" s="207" t="s">
        <v>10</v>
      </c>
      <c r="D11" s="112" t="s">
        <v>152</v>
      </c>
      <c r="F11" s="209"/>
      <c r="G11" s="72"/>
      <c r="H11" s="72"/>
      <c r="I11" s="206" t="s">
        <v>11</v>
      </c>
      <c r="J11" s="114">
        <v>7.0000000000000007E-2</v>
      </c>
      <c r="K11" s="72"/>
      <c r="L11" s="72"/>
      <c r="M11" s="206" t="s">
        <v>11</v>
      </c>
      <c r="N11" s="237">
        <f>J11</f>
        <v>7.0000000000000007E-2</v>
      </c>
      <c r="O11" s="72"/>
      <c r="P11" s="72"/>
      <c r="Q11" s="72"/>
    </row>
    <row r="12" spans="1:17" x14ac:dyDescent="0.35">
      <c r="A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</row>
    <row r="13" spans="1:17" ht="23" customHeight="1" x14ac:dyDescent="0.35">
      <c r="A13" s="72"/>
      <c r="C13" s="233" t="s">
        <v>12</v>
      </c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72"/>
    </row>
    <row r="14" spans="1:17" outlineLevel="1" x14ac:dyDescent="0.35">
      <c r="A14" s="72"/>
      <c r="C14" s="234" t="s">
        <v>13</v>
      </c>
      <c r="D14" s="234" t="s">
        <v>14</v>
      </c>
      <c r="E14" s="234" t="s">
        <v>15</v>
      </c>
      <c r="F14" s="234" t="s">
        <v>16</v>
      </c>
      <c r="G14" s="234" t="s">
        <v>17</v>
      </c>
      <c r="H14" s="234" t="s">
        <v>18</v>
      </c>
      <c r="I14" s="235"/>
      <c r="J14" s="235"/>
      <c r="K14" s="235"/>
      <c r="L14" s="235"/>
      <c r="M14" s="235"/>
      <c r="N14" s="235"/>
      <c r="O14" s="235"/>
      <c r="P14" s="235"/>
      <c r="Q14" s="72"/>
    </row>
    <row r="15" spans="1:17" outlineLevel="1" x14ac:dyDescent="0.35">
      <c r="A15" s="72"/>
      <c r="C15" s="80" t="s">
        <v>19</v>
      </c>
      <c r="D15" s="80"/>
      <c r="E15" s="83"/>
      <c r="F15" s="83"/>
      <c r="G15" s="83"/>
      <c r="H15" s="72"/>
      <c r="I15" s="72"/>
      <c r="J15" s="72"/>
      <c r="K15" s="72"/>
      <c r="L15" s="72"/>
      <c r="M15" s="72"/>
      <c r="N15" s="72"/>
      <c r="O15" s="72"/>
      <c r="P15" s="72"/>
      <c r="Q15" s="72"/>
    </row>
    <row r="16" spans="1:17" outlineLevel="1" x14ac:dyDescent="0.35">
      <c r="A16" s="72"/>
      <c r="C16" s="80" t="s">
        <v>20</v>
      </c>
      <c r="D16" s="80"/>
      <c r="E16" s="83"/>
      <c r="F16" s="83"/>
      <c r="G16" s="83"/>
      <c r="H16" s="72"/>
      <c r="I16" s="72"/>
      <c r="J16" s="72"/>
      <c r="K16" s="72"/>
      <c r="L16" s="72"/>
      <c r="M16" s="72">
        <v>270307</v>
      </c>
      <c r="N16" s="72"/>
      <c r="O16" s="72"/>
      <c r="P16" s="72"/>
      <c r="Q16" s="72"/>
    </row>
    <row r="17" spans="1:18" outlineLevel="1" x14ac:dyDescent="0.35">
      <c r="A17" s="72"/>
      <c r="C17" s="80" t="s">
        <v>21</v>
      </c>
      <c r="D17" s="80"/>
      <c r="E17" s="83"/>
      <c r="F17" s="83"/>
      <c r="G17" s="83"/>
      <c r="H17" s="72"/>
      <c r="I17" s="72"/>
      <c r="J17" s="72"/>
      <c r="K17" s="72"/>
      <c r="L17" s="72"/>
      <c r="M17" s="72"/>
      <c r="N17" s="72"/>
      <c r="O17" s="72"/>
      <c r="P17" s="72"/>
      <c r="Q17" s="72"/>
    </row>
    <row r="18" spans="1:18" outlineLevel="1" x14ac:dyDescent="0.35">
      <c r="A18" s="72"/>
      <c r="C18" s="80" t="s">
        <v>22</v>
      </c>
      <c r="D18" s="80"/>
      <c r="E18" s="83"/>
      <c r="F18" s="83"/>
      <c r="G18" s="83"/>
      <c r="H18" s="72"/>
      <c r="I18" s="72"/>
      <c r="J18" s="72"/>
      <c r="K18" s="72"/>
      <c r="L18" s="72"/>
      <c r="M18" s="72"/>
      <c r="N18" s="72"/>
      <c r="O18" s="72"/>
      <c r="P18" s="72"/>
      <c r="Q18" s="72"/>
    </row>
    <row r="19" spans="1:18" outlineLevel="1" x14ac:dyDescent="0.35">
      <c r="A19" s="72"/>
      <c r="C19" s="80" t="s">
        <v>23</v>
      </c>
      <c r="D19" s="80"/>
      <c r="E19" s="83"/>
      <c r="F19" s="83"/>
      <c r="G19" s="83"/>
      <c r="H19" s="72"/>
      <c r="I19" s="72"/>
      <c r="J19" s="72"/>
      <c r="K19" s="72"/>
      <c r="L19" s="72"/>
      <c r="M19" s="72"/>
      <c r="N19" s="72"/>
      <c r="O19" s="72"/>
      <c r="P19" s="72"/>
      <c r="Q19" s="72"/>
    </row>
    <row r="20" spans="1:18" ht="5" customHeight="1" x14ac:dyDescent="0.35">
      <c r="A20" s="72"/>
      <c r="Q20" s="72"/>
    </row>
    <row r="21" spans="1:18" s="86" customFormat="1" ht="29.4" customHeight="1" x14ac:dyDescent="0.35">
      <c r="A21" s="85"/>
      <c r="C21" s="91"/>
      <c r="D21" s="91" t="s">
        <v>24</v>
      </c>
      <c r="E21" s="91"/>
      <c r="F21" s="91"/>
      <c r="G21" s="92">
        <f>SUM(G24:G1048576)</f>
        <v>270307</v>
      </c>
      <c r="H21" s="92">
        <f>SUM(H24:H1048576)</f>
        <v>0</v>
      </c>
      <c r="I21" s="92">
        <f>SUM(I24:I1048576)</f>
        <v>18921.490000000002</v>
      </c>
      <c r="J21" s="92">
        <f>IFERROR(G21-H21-I21,0)</f>
        <v>251385.51</v>
      </c>
      <c r="K21" s="92">
        <f>(J7+N7)-G21</f>
        <v>0</v>
      </c>
      <c r="L21" s="92">
        <f>SUM(L24:L1048576)</f>
        <v>0</v>
      </c>
      <c r="M21" s="92">
        <f>(J9+N9)-L21</f>
        <v>0</v>
      </c>
      <c r="N21" s="87">
        <f>SUM(N24:N1048576)</f>
        <v>270307</v>
      </c>
      <c r="O21" s="87">
        <f>K21+M21</f>
        <v>0</v>
      </c>
      <c r="P21" s="205">
        <f>O21/$J$5</f>
        <v>0</v>
      </c>
      <c r="Q21" s="85"/>
    </row>
    <row r="22" spans="1:18" ht="5" customHeight="1" x14ac:dyDescent="0.35">
      <c r="A22" s="72"/>
      <c r="Q22" s="72"/>
    </row>
    <row r="23" spans="1:18" s="89" customFormat="1" ht="29.4" customHeight="1" x14ac:dyDescent="0.35">
      <c r="A23" s="88"/>
      <c r="C23" s="73" t="s">
        <v>25</v>
      </c>
      <c r="D23" s="73" t="s">
        <v>26</v>
      </c>
      <c r="E23" s="73" t="s">
        <v>27</v>
      </c>
      <c r="F23" s="73" t="s">
        <v>28</v>
      </c>
      <c r="G23" s="73" t="s">
        <v>29</v>
      </c>
      <c r="H23" s="73" t="s">
        <v>30</v>
      </c>
      <c r="I23" s="73" t="s">
        <v>31</v>
      </c>
      <c r="J23" s="73" t="s">
        <v>32</v>
      </c>
      <c r="K23" s="73" t="s">
        <v>33</v>
      </c>
      <c r="L23" s="73" t="s">
        <v>34</v>
      </c>
      <c r="M23" s="73" t="s">
        <v>35</v>
      </c>
      <c r="N23" s="73" t="s">
        <v>36</v>
      </c>
      <c r="O23" s="73" t="s">
        <v>37</v>
      </c>
      <c r="P23" s="73" t="s">
        <v>38</v>
      </c>
      <c r="Q23" s="88"/>
    </row>
    <row r="24" spans="1:18" x14ac:dyDescent="0.35">
      <c r="A24" s="72"/>
      <c r="C24" s="75">
        <v>1</v>
      </c>
      <c r="D24" s="80">
        <f>IF(IFERROR(_xlfn.XLOOKUP(C24,'2. Boletim de Medição'!$10:$10,'2. Boletim de Medição'!$6:$6),"")&gt;0,IFERROR(_xlfn.XLOOKUP(C24,'2. Boletim de Medição'!$10:$10,'2. Boletim de Medição'!$6:$6),""),"")</f>
        <v>45931</v>
      </c>
      <c r="E24" s="81">
        <f>IF(IFERROR(_xlfn.XLOOKUP(C24,'2. Boletim de Medição'!$10:$10,'2. Boletim de Medição'!$7:$7),"")&gt;0,IFERROR(_xlfn.XLOOKUP(C24,'2. Boletim de Medição'!$10:$10,'2. Boletim de Medição'!$7:$7),""),"")</f>
        <v>45951</v>
      </c>
      <c r="G24" s="83">
        <v>35279</v>
      </c>
      <c r="H24" s="83">
        <f>IFERROR(_xlfn.XLOOKUP(C24,'2. Boletim de Medição'!$10:$10,'2. Boletim de Medição'!$34:$34),0)</f>
        <v>0</v>
      </c>
      <c r="I24" s="111">
        <f t="shared" ref="I24:I59" si="0">IFERROR(G24*$J$11,0)</f>
        <v>2469.5300000000002</v>
      </c>
      <c r="J24" s="111">
        <f>IFERROR(G24-H24-I24,0)</f>
        <v>32809.47</v>
      </c>
      <c r="K24" s="111">
        <f>IF(G24&gt;0,(J7+N7)-G24,0)</f>
        <v>235028</v>
      </c>
      <c r="L24" s="111">
        <f>IFERROR(_xlfn.XLOOKUP(C24,'3. Faturamento Direto'!$9:$9,'3. Faturamento Direto'!$13:$13),0)</f>
        <v>0</v>
      </c>
      <c r="M24" s="83">
        <f>IF(L24&gt;0,(J9+O9)-L24,0)</f>
        <v>0</v>
      </c>
      <c r="N24" s="84">
        <f>G24+L24</f>
        <v>35279</v>
      </c>
      <c r="O24" s="84">
        <f>IF(N24&gt;0,(J5+N5)-N24,0)</f>
        <v>235028</v>
      </c>
      <c r="P24" s="204">
        <f t="shared" ref="P24:P59" si="1">IF(O24&gt;0,O24/$J$5,"")</f>
        <v>0.86948543692912128</v>
      </c>
      <c r="Q24" s="72"/>
    </row>
    <row r="25" spans="1:18" x14ac:dyDescent="0.35">
      <c r="A25" s="72"/>
      <c r="C25" s="74">
        <f>C24+1</f>
        <v>2</v>
      </c>
      <c r="D25" s="80">
        <f>IF(IFERROR(_xlfn.XLOOKUP(C25,'2. Boletim de Medição'!$10:$10,'2. Boletim de Medição'!$6:$6),"")&gt;0,IFERROR(_xlfn.XLOOKUP(C25,'2. Boletim de Medição'!$10:$10,'2. Boletim de Medição'!$6:$6),""),"")</f>
        <v>45962</v>
      </c>
      <c r="E25" s="81">
        <f>IF(IFERROR(_xlfn.XLOOKUP(C25,'2. Boletim de Medição'!$10:$10,'2. Boletim de Medição'!$7:$7),"")&gt;0,IFERROR(_xlfn.XLOOKUP(C25,'2. Boletim de Medição'!$10:$10,'2. Boletim de Medição'!$7:$7),""),"")</f>
        <v>45985</v>
      </c>
      <c r="G25" s="83">
        <v>86562</v>
      </c>
      <c r="H25" s="83">
        <f>IFERROR(_xlfn.XLOOKUP(C25,'2. Boletim de Medição'!$10:$10,'2. Boletim de Medição'!$34:$34),0)</f>
        <v>0</v>
      </c>
      <c r="I25" s="111">
        <f t="shared" si="0"/>
        <v>6059.34</v>
      </c>
      <c r="J25" s="111">
        <f>IFERROR(G25-H25-I25,0)</f>
        <v>80502.66</v>
      </c>
      <c r="K25" s="111">
        <f>IF(G25&gt;0,K24-G25,0)</f>
        <v>148466</v>
      </c>
      <c r="L25" s="111">
        <f>IFERROR(_xlfn.XLOOKUP(C25,'3. Faturamento Direto'!$9:$9,'3. Faturamento Direto'!$13:$13),0)</f>
        <v>0</v>
      </c>
      <c r="M25" s="83">
        <f t="shared" ref="M25:M31" si="2">IF(L25&gt;0,(J10+O10)-L25,0)</f>
        <v>0</v>
      </c>
      <c r="N25" s="84">
        <f t="shared" ref="N25:N30" si="3">G25+L25</f>
        <v>86562</v>
      </c>
      <c r="O25" s="84">
        <f>IF(N25&gt;0,O24-N25,0)</f>
        <v>148466</v>
      </c>
      <c r="P25" s="204">
        <f t="shared" si="1"/>
        <v>0.54924955698520572</v>
      </c>
      <c r="Q25" s="72"/>
    </row>
    <row r="26" spans="1:18" x14ac:dyDescent="0.35">
      <c r="A26" s="72"/>
      <c r="C26" s="74">
        <f>C25+1</f>
        <v>3</v>
      </c>
      <c r="D26" s="80">
        <f>IF(IFERROR(_xlfn.XLOOKUP(C26,'2. Boletim de Medição'!$10:$10,'2. Boletim de Medição'!$6:$6),"")&gt;0,IFERROR(_xlfn.XLOOKUP(C26,'2. Boletim de Medição'!$10:$10,'2. Boletim de Medição'!$6:$6),""),"")</f>
        <v>45992</v>
      </c>
      <c r="E26" s="81">
        <f>IF(IFERROR(_xlfn.XLOOKUP(C26,'2. Boletim de Medição'!$10:$10,'2. Boletim de Medição'!$7:$7),"")&gt;0,IFERROR(_xlfn.XLOOKUP(C26,'2. Boletim de Medição'!$10:$10,'2. Boletim de Medição'!$7:$7),""),"")</f>
        <v>46014</v>
      </c>
      <c r="G26" s="83">
        <v>15906</v>
      </c>
      <c r="H26" s="83">
        <f>IFERROR(_xlfn.XLOOKUP(C26,'2. Boletim de Medição'!$10:$10,'2. Boletim de Medição'!$34:$34),0)</f>
        <v>0</v>
      </c>
      <c r="I26" s="111">
        <f t="shared" si="0"/>
        <v>1113.42</v>
      </c>
      <c r="J26" s="111">
        <f t="shared" ref="J26:J30" si="4">IFERROR(G26-H26-I26,0)</f>
        <v>14792.58</v>
      </c>
      <c r="K26" s="111">
        <f t="shared" ref="K26:K34" si="5">IF(G26&gt;0,K25-G26,0)</f>
        <v>132560</v>
      </c>
      <c r="L26" s="111">
        <f>IFERROR(_xlfn.XLOOKUP(C26,'3. Faturamento Direto'!$9:$9,'3. Faturamento Direto'!$13:$13),0)</f>
        <v>0</v>
      </c>
      <c r="M26" s="83">
        <f t="shared" si="2"/>
        <v>0</v>
      </c>
      <c r="N26" s="84">
        <f t="shared" si="3"/>
        <v>15906</v>
      </c>
      <c r="O26" s="84">
        <f t="shared" ref="O26:O31" si="6">IF(N26&gt;0,O25-N26,0)</f>
        <v>132560</v>
      </c>
      <c r="P26" s="204">
        <f t="shared" si="1"/>
        <v>0.49040535391240331</v>
      </c>
      <c r="Q26" s="72"/>
    </row>
    <row r="27" spans="1:18" outlineLevel="1" x14ac:dyDescent="0.35">
      <c r="A27" s="72"/>
      <c r="C27" s="74">
        <f t="shared" ref="C27:C48" si="7">C26+1</f>
        <v>4</v>
      </c>
      <c r="D27" s="80">
        <f>IF(IFERROR(_xlfn.XLOOKUP(C27,'2. Boletim de Medição'!$10:$10,'2. Boletim de Medição'!$6:$6),"")&gt;0,IFERROR(_xlfn.XLOOKUP(C27,'2. Boletim de Medição'!$10:$10,'2. Boletim de Medição'!$6:$6),""),"")</f>
        <v>46113</v>
      </c>
      <c r="E27" s="81">
        <f>IF(IFERROR(_xlfn.XLOOKUP(C27,'2. Boletim de Medição'!$10:$10,'2. Boletim de Medição'!$7:$7),"")&gt;0,IFERROR(_xlfn.XLOOKUP(C27,'2. Boletim de Medição'!$10:$10,'2. Boletim de Medição'!$7:$7),""),"")</f>
        <v>46134</v>
      </c>
      <c r="G27" s="83">
        <v>92751</v>
      </c>
      <c r="H27" s="83">
        <f>IFERROR(_xlfn.XLOOKUP(C27,'2. Boletim de Medição'!$10:$10,'2. Boletim de Medição'!$34:$34),0)</f>
        <v>0</v>
      </c>
      <c r="I27" s="111">
        <f t="shared" si="0"/>
        <v>6492.5700000000006</v>
      </c>
      <c r="J27" s="111">
        <f t="shared" si="4"/>
        <v>86258.43</v>
      </c>
      <c r="K27" s="111">
        <f t="shared" si="5"/>
        <v>39809</v>
      </c>
      <c r="L27" s="111">
        <f>IFERROR(_xlfn.XLOOKUP(C27,'3. Faturamento Direto'!$9:$9,'3. Faturamento Direto'!$13:$13),0)</f>
        <v>0</v>
      </c>
      <c r="M27" s="83">
        <f t="shared" si="2"/>
        <v>0</v>
      </c>
      <c r="N27" s="84">
        <f t="shared" si="3"/>
        <v>92751</v>
      </c>
      <c r="O27" s="84">
        <f t="shared" si="6"/>
        <v>39809</v>
      </c>
      <c r="P27" s="204">
        <f t="shared" si="1"/>
        <v>0.14727328556049232</v>
      </c>
      <c r="Q27" s="72"/>
    </row>
    <row r="28" spans="1:18" outlineLevel="1" x14ac:dyDescent="0.35">
      <c r="A28" s="72"/>
      <c r="C28" s="74">
        <f t="shared" si="7"/>
        <v>5</v>
      </c>
      <c r="D28" s="80">
        <f>IF(IFERROR(_xlfn.XLOOKUP(C28,'2. Boletim de Medição'!$10:$10,'2. Boletim de Medição'!$6:$6),"")&gt;0,IFERROR(_xlfn.XLOOKUP(C28,'2. Boletim de Medição'!$10:$10,'2. Boletim de Medição'!$6:$6),""),"")</f>
        <v>46113</v>
      </c>
      <c r="E28" s="81">
        <f>IF(IFERROR(_xlfn.XLOOKUP(C28,'2. Boletim de Medição'!$10:$10,'2. Boletim de Medição'!$7:$7),"")&gt;0,IFERROR(_xlfn.XLOOKUP(C28,'2. Boletim de Medição'!$10:$10,'2. Boletim de Medição'!$7:$7),""),"")</f>
        <v>46139</v>
      </c>
      <c r="G28" s="83">
        <v>39809</v>
      </c>
      <c r="H28" s="83">
        <f>IFERROR(_xlfn.XLOOKUP(C28,'2. Boletim de Medição'!$10:$10,'2. Boletim de Medição'!$34:$34),0)</f>
        <v>0</v>
      </c>
      <c r="I28" s="111">
        <f t="shared" si="0"/>
        <v>2786.63</v>
      </c>
      <c r="J28" s="111">
        <f t="shared" si="4"/>
        <v>37022.370000000003</v>
      </c>
      <c r="K28" s="111">
        <f t="shared" si="5"/>
        <v>0</v>
      </c>
      <c r="L28" s="111">
        <f>IFERROR(_xlfn.XLOOKUP(C28,'3. Faturamento Direto'!$9:$9,'3. Faturamento Direto'!$13:$13),0)</f>
        <v>0</v>
      </c>
      <c r="M28" s="83">
        <f t="shared" si="2"/>
        <v>0</v>
      </c>
      <c r="N28" s="84">
        <f t="shared" si="3"/>
        <v>39809</v>
      </c>
      <c r="O28" s="84">
        <f t="shared" si="6"/>
        <v>0</v>
      </c>
      <c r="P28" s="204" t="str">
        <f t="shared" si="1"/>
        <v/>
      </c>
      <c r="Q28" s="72"/>
      <c r="R28" t="s">
        <v>162</v>
      </c>
    </row>
    <row r="29" spans="1:18" outlineLevel="1" x14ac:dyDescent="0.35">
      <c r="A29" s="72"/>
      <c r="C29" s="74">
        <f t="shared" si="7"/>
        <v>6</v>
      </c>
      <c r="D29" s="80" t="str">
        <f>IF(IFERROR(_xlfn.XLOOKUP(C29,'2. Boletim de Medição'!$10:$10,'2. Boletim de Medição'!$6:$6),"")&gt;0,IFERROR(_xlfn.XLOOKUP(C29,'2. Boletim de Medição'!$10:$10,'2. Boletim de Medição'!$6:$6),""),"")</f>
        <v/>
      </c>
      <c r="E29" s="81" t="str">
        <f>IF(IFERROR(_xlfn.XLOOKUP(C29,'2. Boletim de Medição'!$10:$10,'2. Boletim de Medição'!$7:$7),"")&gt;0,IFERROR(_xlfn.XLOOKUP(C29,'2. Boletim de Medição'!$10:$10,'2. Boletim de Medição'!$7:$7),""),"")</f>
        <v/>
      </c>
      <c r="G29" s="83">
        <f>IFERROR(_xlfn.XLOOKUP(C29,'2. Boletim de Medição'!$10:$10,'2. Boletim de Medição'!$13:$13),0)</f>
        <v>0</v>
      </c>
      <c r="H29" s="83">
        <f>IFERROR(_xlfn.XLOOKUP(C29,'2. Boletim de Medição'!$10:$10,'2. Boletim de Medição'!$34:$34),0)</f>
        <v>0</v>
      </c>
      <c r="I29" s="111">
        <f t="shared" si="0"/>
        <v>0</v>
      </c>
      <c r="J29" s="111">
        <f t="shared" si="4"/>
        <v>0</v>
      </c>
      <c r="K29" s="111">
        <f t="shared" si="5"/>
        <v>0</v>
      </c>
      <c r="L29" s="111">
        <f>IFERROR(_xlfn.XLOOKUP(C29,'3. Faturamento Direto'!$9:$9,'3. Faturamento Direto'!$13:$13),0)</f>
        <v>0</v>
      </c>
      <c r="M29" s="83">
        <f t="shared" si="2"/>
        <v>0</v>
      </c>
      <c r="N29" s="84">
        <f t="shared" si="3"/>
        <v>0</v>
      </c>
      <c r="O29" s="84">
        <f t="shared" si="6"/>
        <v>0</v>
      </c>
      <c r="P29" s="204" t="str">
        <f t="shared" si="1"/>
        <v/>
      </c>
      <c r="Q29" s="72"/>
    </row>
    <row r="30" spans="1:18" outlineLevel="1" x14ac:dyDescent="0.35">
      <c r="A30" s="72"/>
      <c r="C30" s="74">
        <f t="shared" si="7"/>
        <v>7</v>
      </c>
      <c r="D30" s="80" t="str">
        <f>IF(IFERROR(_xlfn.XLOOKUP(C30,'2. Boletim de Medição'!$10:$10,'2. Boletim de Medição'!$6:$6),"")&gt;0,IFERROR(_xlfn.XLOOKUP(C30,'2. Boletim de Medição'!$10:$10,'2. Boletim de Medição'!$6:$6),""),"")</f>
        <v/>
      </c>
      <c r="E30" s="81" t="str">
        <f>IF(IFERROR(_xlfn.XLOOKUP(C30,'2. Boletim de Medição'!$10:$10,'2. Boletim de Medição'!$7:$7),"")&gt;0,IFERROR(_xlfn.XLOOKUP(C30,'2. Boletim de Medição'!$10:$10,'2. Boletim de Medição'!$7:$7),""),"")</f>
        <v/>
      </c>
      <c r="G30" s="83">
        <f>IFERROR(_xlfn.XLOOKUP(C30,'2. Boletim de Medição'!$10:$10,'2. Boletim de Medição'!$13:$13),0)</f>
        <v>0</v>
      </c>
      <c r="H30" s="83">
        <f>IFERROR(_xlfn.XLOOKUP(C30,'2. Boletim de Medição'!$10:$10,'2. Boletim de Medição'!$34:$34),0)</f>
        <v>0</v>
      </c>
      <c r="I30" s="111">
        <f t="shared" si="0"/>
        <v>0</v>
      </c>
      <c r="J30" s="111">
        <f t="shared" si="4"/>
        <v>0</v>
      </c>
      <c r="K30" s="111">
        <f t="shared" si="5"/>
        <v>0</v>
      </c>
      <c r="L30" s="111">
        <f>IFERROR(_xlfn.XLOOKUP(C30,'3. Faturamento Direto'!$9:$9,'3. Faturamento Direto'!$13:$13),0)</f>
        <v>0</v>
      </c>
      <c r="M30" s="83">
        <f t="shared" si="2"/>
        <v>0</v>
      </c>
      <c r="N30" s="84">
        <f t="shared" si="3"/>
        <v>0</v>
      </c>
      <c r="O30" s="84">
        <f t="shared" si="6"/>
        <v>0</v>
      </c>
      <c r="P30" s="204" t="str">
        <f t="shared" si="1"/>
        <v/>
      </c>
      <c r="Q30" s="72"/>
    </row>
    <row r="31" spans="1:18" outlineLevel="1" x14ac:dyDescent="0.35">
      <c r="A31" s="72"/>
      <c r="C31" s="74">
        <f t="shared" si="7"/>
        <v>8</v>
      </c>
      <c r="D31" s="80" t="str">
        <f>IF(IFERROR(_xlfn.XLOOKUP(C31,'2. Boletim de Medição'!$10:$10,'2. Boletim de Medição'!$6:$6),"")&gt;0,IFERROR(_xlfn.XLOOKUP(C31,'2. Boletim de Medição'!$10:$10,'2. Boletim de Medição'!$6:$6),""),"")</f>
        <v/>
      </c>
      <c r="E31" s="81" t="str">
        <f>IF(IFERROR(_xlfn.XLOOKUP(C31,'2. Boletim de Medição'!$10:$10,'2. Boletim de Medição'!$7:$7),"")&gt;0,IFERROR(_xlfn.XLOOKUP(C31,'2. Boletim de Medição'!$10:$10,'2. Boletim de Medição'!$7:$7),""),"")</f>
        <v/>
      </c>
      <c r="G31" s="83">
        <f>IFERROR(_xlfn.XLOOKUP(C31,'2. Boletim de Medição'!$10:$10,'2. Boletim de Medição'!$13:$13),0)</f>
        <v>0</v>
      </c>
      <c r="H31" s="83">
        <f>IFERROR(_xlfn.XLOOKUP(C31,'2. Boletim de Medição'!$10:$10,'2. Boletim de Medição'!$34:$34),0)</f>
        <v>0</v>
      </c>
      <c r="I31" s="111">
        <f t="shared" si="0"/>
        <v>0</v>
      </c>
      <c r="J31" s="111">
        <f t="shared" ref="J31:J48" si="8">IFERROR(G31-H31-I31,0)</f>
        <v>0</v>
      </c>
      <c r="K31" s="111">
        <f t="shared" si="5"/>
        <v>0</v>
      </c>
      <c r="L31" s="111">
        <f>IFERROR(_xlfn.XLOOKUP(C31,'3. Faturamento Direto'!$9:$9,'3. Faturamento Direto'!$13:$13),0)</f>
        <v>0</v>
      </c>
      <c r="M31" s="83">
        <f t="shared" si="2"/>
        <v>0</v>
      </c>
      <c r="N31" s="84">
        <f t="shared" ref="N31:N48" si="9">G31+L31</f>
        <v>0</v>
      </c>
      <c r="O31" s="84">
        <f t="shared" si="6"/>
        <v>0</v>
      </c>
      <c r="P31" s="204" t="str">
        <f t="shared" si="1"/>
        <v/>
      </c>
      <c r="Q31" s="72"/>
    </row>
    <row r="32" spans="1:18" outlineLevel="1" x14ac:dyDescent="0.35">
      <c r="A32" s="72"/>
      <c r="C32" s="74">
        <f t="shared" si="7"/>
        <v>9</v>
      </c>
      <c r="D32" s="80" t="str">
        <f>IF(IFERROR(_xlfn.XLOOKUP(C32,'2. Boletim de Medição'!$10:$10,'2. Boletim de Medição'!$6:$6),"")&gt;0,IFERROR(_xlfn.XLOOKUP(C32,'2. Boletim de Medição'!$10:$10,'2. Boletim de Medição'!$6:$6),""),"")</f>
        <v/>
      </c>
      <c r="E32" s="81" t="str">
        <f>IF(IFERROR(_xlfn.XLOOKUP(C32,'2. Boletim de Medição'!$10:$10,'2. Boletim de Medição'!$7:$7),"")&gt;0,IFERROR(_xlfn.XLOOKUP(C32,'2. Boletim de Medição'!$10:$10,'2. Boletim de Medição'!$7:$7),""),"")</f>
        <v/>
      </c>
      <c r="G32" s="83">
        <f>IFERROR(_xlfn.XLOOKUP(C32,'2. Boletim de Medição'!$10:$10,'2. Boletim de Medição'!$13:$13),0)</f>
        <v>0</v>
      </c>
      <c r="H32" s="83">
        <f>IFERROR(_xlfn.XLOOKUP(C32,'2. Boletim de Medição'!$10:$10,'2. Boletim de Medição'!$34:$34),0)</f>
        <v>0</v>
      </c>
      <c r="I32" s="111">
        <f t="shared" si="0"/>
        <v>0</v>
      </c>
      <c r="J32" s="111">
        <f t="shared" si="8"/>
        <v>0</v>
      </c>
      <c r="K32" s="111">
        <f t="shared" si="5"/>
        <v>0</v>
      </c>
      <c r="L32" s="111">
        <f>IFERROR(_xlfn.XLOOKUP(C32,'3. Faturamento Direto'!$9:$9,'3. Faturamento Direto'!$13:$13),0)</f>
        <v>0</v>
      </c>
      <c r="M32" s="83">
        <f t="shared" ref="M32:M48" si="10">IF(L32&gt;0,M31-L32,0)</f>
        <v>0</v>
      </c>
      <c r="N32" s="84">
        <f t="shared" si="9"/>
        <v>0</v>
      </c>
      <c r="O32" s="84">
        <f t="shared" ref="O32:O48" si="11">IF(N32&gt;0,O31-N32,0)</f>
        <v>0</v>
      </c>
      <c r="P32" s="204" t="str">
        <f t="shared" si="1"/>
        <v/>
      </c>
      <c r="Q32" s="72"/>
    </row>
    <row r="33" spans="1:17" outlineLevel="1" x14ac:dyDescent="0.35">
      <c r="A33" s="72"/>
      <c r="C33" s="74">
        <f t="shared" si="7"/>
        <v>10</v>
      </c>
      <c r="D33" s="80" t="str">
        <f>IF(IFERROR(_xlfn.XLOOKUP(C33,'2. Boletim de Medição'!$10:$10,'2. Boletim de Medição'!$6:$6),"")&gt;0,IFERROR(_xlfn.XLOOKUP(C33,'2. Boletim de Medição'!$10:$10,'2. Boletim de Medição'!$6:$6),""),"")</f>
        <v/>
      </c>
      <c r="E33" s="81" t="str">
        <f>IF(IFERROR(_xlfn.XLOOKUP(C33,'2. Boletim de Medição'!$10:$10,'2. Boletim de Medição'!$7:$7),"")&gt;0,IFERROR(_xlfn.XLOOKUP(C33,'2. Boletim de Medição'!$10:$10,'2. Boletim de Medição'!$7:$7),""),"")</f>
        <v/>
      </c>
      <c r="G33" s="83">
        <f>IFERROR(_xlfn.XLOOKUP(C33,'2. Boletim de Medição'!$10:$10,'2. Boletim de Medição'!$13:$13),0)</f>
        <v>0</v>
      </c>
      <c r="H33" s="83">
        <f>IFERROR(_xlfn.XLOOKUP(C33,'2. Boletim de Medição'!$10:$10,'2. Boletim de Medição'!$34:$34),0)</f>
        <v>0</v>
      </c>
      <c r="I33" s="111">
        <f t="shared" si="0"/>
        <v>0</v>
      </c>
      <c r="J33" s="111">
        <f t="shared" si="8"/>
        <v>0</v>
      </c>
      <c r="K33" s="111">
        <f t="shared" si="5"/>
        <v>0</v>
      </c>
      <c r="L33" s="111">
        <f>IFERROR(_xlfn.XLOOKUP(C33,'3. Faturamento Direto'!$9:$9,'3. Faturamento Direto'!$13:$13),0)</f>
        <v>0</v>
      </c>
      <c r="M33" s="83">
        <f t="shared" si="10"/>
        <v>0</v>
      </c>
      <c r="N33" s="84">
        <f t="shared" si="9"/>
        <v>0</v>
      </c>
      <c r="O33" s="84">
        <f t="shared" si="11"/>
        <v>0</v>
      </c>
      <c r="P33" s="204" t="str">
        <f t="shared" si="1"/>
        <v/>
      </c>
      <c r="Q33" s="72"/>
    </row>
    <row r="34" spans="1:17" outlineLevel="1" x14ac:dyDescent="0.35">
      <c r="A34" s="72"/>
      <c r="C34" s="74">
        <f t="shared" si="7"/>
        <v>11</v>
      </c>
      <c r="D34" s="80" t="str">
        <f>IF(IFERROR(_xlfn.XLOOKUP(C34,'2. Boletim de Medição'!$10:$10,'2. Boletim de Medição'!$6:$6),"")&gt;0,IFERROR(_xlfn.XLOOKUP(C34,'2. Boletim de Medição'!$10:$10,'2. Boletim de Medição'!$6:$6),""),"")</f>
        <v/>
      </c>
      <c r="E34" s="81" t="str">
        <f>IF(IFERROR(_xlfn.XLOOKUP(C34,'2. Boletim de Medição'!$10:$10,'2. Boletim de Medição'!$7:$7),"")&gt;0,IFERROR(_xlfn.XLOOKUP(C34,'2. Boletim de Medição'!$10:$10,'2. Boletim de Medição'!$7:$7),""),"")</f>
        <v/>
      </c>
      <c r="G34" s="83">
        <f>IFERROR(_xlfn.XLOOKUP(C34,'2. Boletim de Medição'!$10:$10,'2. Boletim de Medição'!$13:$13),0)</f>
        <v>0</v>
      </c>
      <c r="H34" s="83">
        <f>IFERROR(_xlfn.XLOOKUP(C34,'2. Boletim de Medição'!$10:$10,'2. Boletim de Medição'!$34:$34),0)</f>
        <v>0</v>
      </c>
      <c r="I34" s="111">
        <f t="shared" si="0"/>
        <v>0</v>
      </c>
      <c r="J34" s="111">
        <f t="shared" si="8"/>
        <v>0</v>
      </c>
      <c r="K34" s="111">
        <f t="shared" si="5"/>
        <v>0</v>
      </c>
      <c r="L34" s="111">
        <f>IFERROR(_xlfn.XLOOKUP(C34,'3. Faturamento Direto'!$9:$9,'3. Faturamento Direto'!$13:$13),0)</f>
        <v>0</v>
      </c>
      <c r="M34" s="83">
        <f t="shared" si="10"/>
        <v>0</v>
      </c>
      <c r="N34" s="84">
        <f t="shared" si="9"/>
        <v>0</v>
      </c>
      <c r="O34" s="84">
        <f t="shared" si="11"/>
        <v>0</v>
      </c>
      <c r="P34" s="204" t="str">
        <f t="shared" si="1"/>
        <v/>
      </c>
      <c r="Q34" s="72"/>
    </row>
    <row r="35" spans="1:17" outlineLevel="1" x14ac:dyDescent="0.35">
      <c r="A35" s="72"/>
      <c r="C35" s="74">
        <f t="shared" si="7"/>
        <v>12</v>
      </c>
      <c r="D35" s="80" t="str">
        <f>IF(IFERROR(_xlfn.XLOOKUP(C35,'2. Boletim de Medição'!$10:$10,'2. Boletim de Medição'!$6:$6),"")&gt;0,IFERROR(_xlfn.XLOOKUP(C35,'2. Boletim de Medição'!$10:$10,'2. Boletim de Medição'!$6:$6),""),"")</f>
        <v/>
      </c>
      <c r="E35" s="81" t="str">
        <f>IF(IFERROR(_xlfn.XLOOKUP(C35,'2. Boletim de Medição'!$10:$10,'2. Boletim de Medição'!$7:$7),"")&gt;0,IFERROR(_xlfn.XLOOKUP(C35,'2. Boletim de Medição'!$10:$10,'2. Boletim de Medição'!$7:$7),""),"")</f>
        <v/>
      </c>
      <c r="G35" s="83">
        <f>IFERROR(_xlfn.XLOOKUP(C35,'2. Boletim de Medição'!$10:$10,'2. Boletim de Medição'!$13:$13),0)</f>
        <v>0</v>
      </c>
      <c r="H35" s="83">
        <f>IFERROR(_xlfn.XLOOKUP(C35,'2. Boletim de Medição'!$10:$10,'2. Boletim de Medição'!$34:$34),0)</f>
        <v>0</v>
      </c>
      <c r="I35" s="111">
        <f t="shared" si="0"/>
        <v>0</v>
      </c>
      <c r="J35" s="111">
        <f t="shared" si="8"/>
        <v>0</v>
      </c>
      <c r="K35" s="111">
        <f t="shared" ref="K35:K48" si="12">IF(G35&gt;0,K34-G35,0)</f>
        <v>0</v>
      </c>
      <c r="L35" s="111">
        <f>IFERROR(_xlfn.XLOOKUP(C35,'3. Faturamento Direto'!$9:$9,'3. Faturamento Direto'!$13:$13),0)</f>
        <v>0</v>
      </c>
      <c r="M35" s="83">
        <f t="shared" si="10"/>
        <v>0</v>
      </c>
      <c r="N35" s="84">
        <f t="shared" si="9"/>
        <v>0</v>
      </c>
      <c r="O35" s="84">
        <f t="shared" si="11"/>
        <v>0</v>
      </c>
      <c r="P35" s="204" t="str">
        <f t="shared" si="1"/>
        <v/>
      </c>
      <c r="Q35" s="72"/>
    </row>
    <row r="36" spans="1:17" outlineLevel="1" x14ac:dyDescent="0.35">
      <c r="A36" s="72"/>
      <c r="C36" s="74">
        <f t="shared" si="7"/>
        <v>13</v>
      </c>
      <c r="D36" s="80" t="str">
        <f>IF(IFERROR(_xlfn.XLOOKUP(C36,'2. Boletim de Medição'!$10:$10,'2. Boletim de Medição'!$6:$6),"")&gt;0,IFERROR(_xlfn.XLOOKUP(C36,'2. Boletim de Medição'!$10:$10,'2. Boletim de Medição'!$6:$6),""),"")</f>
        <v/>
      </c>
      <c r="E36" s="81" t="str">
        <f>IF(IFERROR(_xlfn.XLOOKUP(C36,'2. Boletim de Medição'!$10:$10,'2. Boletim de Medição'!$7:$7),"")&gt;0,IFERROR(_xlfn.XLOOKUP(C36,'2. Boletim de Medição'!$10:$10,'2. Boletim de Medição'!$7:$7),""),"")</f>
        <v/>
      </c>
      <c r="G36" s="83">
        <f>IFERROR(_xlfn.XLOOKUP(C36,'2. Boletim de Medição'!$10:$10,'2. Boletim de Medição'!$13:$13),0)</f>
        <v>0</v>
      </c>
      <c r="H36" s="83">
        <f>IFERROR(_xlfn.XLOOKUP(C36,'2. Boletim de Medição'!$10:$10,'2. Boletim de Medição'!$34:$34),0)</f>
        <v>0</v>
      </c>
      <c r="I36" s="111">
        <f t="shared" si="0"/>
        <v>0</v>
      </c>
      <c r="J36" s="111">
        <f t="shared" si="8"/>
        <v>0</v>
      </c>
      <c r="K36" s="111">
        <f t="shared" si="12"/>
        <v>0</v>
      </c>
      <c r="L36" s="111">
        <f>IFERROR(_xlfn.XLOOKUP(C36,'3. Faturamento Direto'!$9:$9,'3. Faturamento Direto'!$13:$13),0)</f>
        <v>0</v>
      </c>
      <c r="M36" s="83">
        <f t="shared" si="10"/>
        <v>0</v>
      </c>
      <c r="N36" s="84">
        <f t="shared" si="9"/>
        <v>0</v>
      </c>
      <c r="O36" s="84">
        <f t="shared" si="11"/>
        <v>0</v>
      </c>
      <c r="P36" s="204" t="str">
        <f t="shared" si="1"/>
        <v/>
      </c>
      <c r="Q36" s="72"/>
    </row>
    <row r="37" spans="1:17" outlineLevel="1" x14ac:dyDescent="0.35">
      <c r="A37" s="72"/>
      <c r="C37" s="74">
        <f t="shared" si="7"/>
        <v>14</v>
      </c>
      <c r="D37" s="80" t="str">
        <f>IF(IFERROR(_xlfn.XLOOKUP(C37,'2. Boletim de Medição'!$10:$10,'2. Boletim de Medição'!$6:$6),"")&gt;0,IFERROR(_xlfn.XLOOKUP(C37,'2. Boletim de Medição'!$10:$10,'2. Boletim de Medição'!$6:$6),""),"")</f>
        <v/>
      </c>
      <c r="E37" s="81" t="str">
        <f>IF(IFERROR(_xlfn.XLOOKUP(C37,'2. Boletim de Medição'!$10:$10,'2. Boletim de Medição'!$7:$7),"")&gt;0,IFERROR(_xlfn.XLOOKUP(C37,'2. Boletim de Medição'!$10:$10,'2. Boletim de Medição'!$7:$7),""),"")</f>
        <v/>
      </c>
      <c r="G37" s="83">
        <f>IFERROR(_xlfn.XLOOKUP(C37,'2. Boletim de Medição'!$10:$10,'2. Boletim de Medição'!$13:$13),0)</f>
        <v>0</v>
      </c>
      <c r="H37" s="83">
        <f>IFERROR(_xlfn.XLOOKUP(C37,'2. Boletim de Medição'!$10:$10,'2. Boletim de Medição'!$34:$34),0)</f>
        <v>0</v>
      </c>
      <c r="I37" s="111">
        <f t="shared" si="0"/>
        <v>0</v>
      </c>
      <c r="J37" s="111">
        <f t="shared" si="8"/>
        <v>0</v>
      </c>
      <c r="K37" s="111">
        <f t="shared" si="12"/>
        <v>0</v>
      </c>
      <c r="L37" s="111">
        <f>IFERROR(_xlfn.XLOOKUP(C37,'3. Faturamento Direto'!$9:$9,'3. Faturamento Direto'!$13:$13),0)</f>
        <v>0</v>
      </c>
      <c r="M37" s="83">
        <f t="shared" si="10"/>
        <v>0</v>
      </c>
      <c r="N37" s="84">
        <f t="shared" si="9"/>
        <v>0</v>
      </c>
      <c r="O37" s="84">
        <f t="shared" si="11"/>
        <v>0</v>
      </c>
      <c r="P37" s="204" t="str">
        <f t="shared" si="1"/>
        <v/>
      </c>
      <c r="Q37" s="72"/>
    </row>
    <row r="38" spans="1:17" outlineLevel="1" x14ac:dyDescent="0.35">
      <c r="A38" s="72"/>
      <c r="C38" s="74">
        <f t="shared" si="7"/>
        <v>15</v>
      </c>
      <c r="D38" s="80" t="str">
        <f>IF(IFERROR(_xlfn.XLOOKUP(C38,'2. Boletim de Medição'!$10:$10,'2. Boletim de Medição'!$6:$6),"")&gt;0,IFERROR(_xlfn.XLOOKUP(C38,'2. Boletim de Medição'!$10:$10,'2. Boletim de Medição'!$6:$6),""),"")</f>
        <v/>
      </c>
      <c r="E38" s="81" t="str">
        <f>IF(IFERROR(_xlfn.XLOOKUP(C38,'2. Boletim de Medição'!$10:$10,'2. Boletim de Medição'!$7:$7),"")&gt;0,IFERROR(_xlfn.XLOOKUP(C38,'2. Boletim de Medição'!$10:$10,'2. Boletim de Medição'!$7:$7),""),"")</f>
        <v/>
      </c>
      <c r="G38" s="83">
        <f>IFERROR(_xlfn.XLOOKUP(C38,'2. Boletim de Medição'!$10:$10,'2. Boletim de Medição'!$13:$13),0)</f>
        <v>0</v>
      </c>
      <c r="H38" s="83">
        <f>IFERROR(_xlfn.XLOOKUP(C38,'2. Boletim de Medição'!$10:$10,'2. Boletim de Medição'!$34:$34),0)</f>
        <v>0</v>
      </c>
      <c r="I38" s="111">
        <f t="shared" si="0"/>
        <v>0</v>
      </c>
      <c r="J38" s="111">
        <f t="shared" si="8"/>
        <v>0</v>
      </c>
      <c r="K38" s="111">
        <f t="shared" si="12"/>
        <v>0</v>
      </c>
      <c r="L38" s="111">
        <f>IFERROR(_xlfn.XLOOKUP(C38,'3. Faturamento Direto'!$9:$9,'3. Faturamento Direto'!$13:$13),0)</f>
        <v>0</v>
      </c>
      <c r="M38" s="83">
        <f t="shared" si="10"/>
        <v>0</v>
      </c>
      <c r="N38" s="84">
        <f t="shared" si="9"/>
        <v>0</v>
      </c>
      <c r="O38" s="84">
        <f t="shared" si="11"/>
        <v>0</v>
      </c>
      <c r="P38" s="204" t="str">
        <f t="shared" si="1"/>
        <v/>
      </c>
      <c r="Q38" s="72"/>
    </row>
    <row r="39" spans="1:17" outlineLevel="1" x14ac:dyDescent="0.35">
      <c r="A39" s="72"/>
      <c r="C39" s="74">
        <f t="shared" si="7"/>
        <v>16</v>
      </c>
      <c r="D39" s="80" t="str">
        <f>IF(IFERROR(_xlfn.XLOOKUP(C39,'2. Boletim de Medição'!$10:$10,'2. Boletim de Medição'!$6:$6),"")&gt;0,IFERROR(_xlfn.XLOOKUP(C39,'2. Boletim de Medição'!$10:$10,'2. Boletim de Medição'!$6:$6),""),"")</f>
        <v/>
      </c>
      <c r="E39" s="81" t="str">
        <f>IF(IFERROR(_xlfn.XLOOKUP(C39,'2. Boletim de Medição'!$10:$10,'2. Boletim de Medição'!$7:$7),"")&gt;0,IFERROR(_xlfn.XLOOKUP(C39,'2. Boletim de Medição'!$10:$10,'2. Boletim de Medição'!$7:$7),""),"")</f>
        <v/>
      </c>
      <c r="G39" s="83">
        <f>IFERROR(_xlfn.XLOOKUP(C39,'2. Boletim de Medição'!$10:$10,'2. Boletim de Medição'!$13:$13),0)</f>
        <v>0</v>
      </c>
      <c r="H39" s="83">
        <f>IFERROR(_xlfn.XLOOKUP(C39,'2. Boletim de Medição'!$10:$10,'2. Boletim de Medição'!$34:$34),0)</f>
        <v>0</v>
      </c>
      <c r="I39" s="111">
        <f t="shared" si="0"/>
        <v>0</v>
      </c>
      <c r="J39" s="111">
        <f t="shared" si="8"/>
        <v>0</v>
      </c>
      <c r="K39" s="111">
        <f t="shared" si="12"/>
        <v>0</v>
      </c>
      <c r="L39" s="111">
        <f>IFERROR(_xlfn.XLOOKUP(C39,'3. Faturamento Direto'!$9:$9,'3. Faturamento Direto'!$13:$13),0)</f>
        <v>0</v>
      </c>
      <c r="M39" s="83">
        <f t="shared" si="10"/>
        <v>0</v>
      </c>
      <c r="N39" s="84">
        <f t="shared" si="9"/>
        <v>0</v>
      </c>
      <c r="O39" s="84">
        <f t="shared" si="11"/>
        <v>0</v>
      </c>
      <c r="P39" s="204" t="str">
        <f t="shared" si="1"/>
        <v/>
      </c>
      <c r="Q39" s="72"/>
    </row>
    <row r="40" spans="1:17" outlineLevel="1" x14ac:dyDescent="0.35">
      <c r="A40" s="72"/>
      <c r="C40" s="74">
        <f t="shared" si="7"/>
        <v>17</v>
      </c>
      <c r="D40" s="80" t="str">
        <f>IF(IFERROR(_xlfn.XLOOKUP(C40,'2. Boletim de Medição'!$10:$10,'2. Boletim de Medição'!$6:$6),"")&gt;0,IFERROR(_xlfn.XLOOKUP(C40,'2. Boletim de Medição'!$10:$10,'2. Boletim de Medição'!$6:$6),""),"")</f>
        <v/>
      </c>
      <c r="E40" s="81" t="str">
        <f>IF(IFERROR(_xlfn.XLOOKUP(C40,'2. Boletim de Medição'!$10:$10,'2. Boletim de Medição'!$7:$7),"")&gt;0,IFERROR(_xlfn.XLOOKUP(C40,'2. Boletim de Medição'!$10:$10,'2. Boletim de Medição'!$7:$7),""),"")</f>
        <v/>
      </c>
      <c r="G40" s="83">
        <f>IFERROR(_xlfn.XLOOKUP(C40,'2. Boletim de Medição'!$10:$10,'2. Boletim de Medição'!$13:$13),0)</f>
        <v>0</v>
      </c>
      <c r="H40" s="83">
        <f>IFERROR(_xlfn.XLOOKUP(C40,'2. Boletim de Medição'!$10:$10,'2. Boletim de Medição'!$34:$34),0)</f>
        <v>0</v>
      </c>
      <c r="I40" s="111">
        <f t="shared" si="0"/>
        <v>0</v>
      </c>
      <c r="J40" s="111">
        <f t="shared" si="8"/>
        <v>0</v>
      </c>
      <c r="K40" s="111">
        <f t="shared" si="12"/>
        <v>0</v>
      </c>
      <c r="L40" s="111">
        <f>IFERROR(_xlfn.XLOOKUP(C40,'3. Faturamento Direto'!$9:$9,'3. Faturamento Direto'!$13:$13),0)</f>
        <v>0</v>
      </c>
      <c r="M40" s="83">
        <f t="shared" si="10"/>
        <v>0</v>
      </c>
      <c r="N40" s="84">
        <f t="shared" si="9"/>
        <v>0</v>
      </c>
      <c r="O40" s="84">
        <f t="shared" si="11"/>
        <v>0</v>
      </c>
      <c r="P40" s="204" t="str">
        <f t="shared" si="1"/>
        <v/>
      </c>
      <c r="Q40" s="72"/>
    </row>
    <row r="41" spans="1:17" outlineLevel="1" x14ac:dyDescent="0.35">
      <c r="A41" s="72"/>
      <c r="C41" s="74">
        <f t="shared" si="7"/>
        <v>18</v>
      </c>
      <c r="D41" s="80" t="str">
        <f>IF(IFERROR(_xlfn.XLOOKUP(C41,'2. Boletim de Medição'!$10:$10,'2. Boletim de Medição'!$6:$6),"")&gt;0,IFERROR(_xlfn.XLOOKUP(C41,'2. Boletim de Medição'!$10:$10,'2. Boletim de Medição'!$6:$6),""),"")</f>
        <v/>
      </c>
      <c r="E41" s="81" t="str">
        <f>IF(IFERROR(_xlfn.XLOOKUP(C41,'2. Boletim de Medição'!$10:$10,'2. Boletim de Medição'!$7:$7),"")&gt;0,IFERROR(_xlfn.XLOOKUP(C41,'2. Boletim de Medição'!$10:$10,'2. Boletim de Medição'!$7:$7),""),"")</f>
        <v/>
      </c>
      <c r="G41" s="83">
        <f>IFERROR(_xlfn.XLOOKUP(C41,'2. Boletim de Medição'!$10:$10,'2. Boletim de Medição'!$13:$13),0)</f>
        <v>0</v>
      </c>
      <c r="H41" s="83">
        <f>IFERROR(_xlfn.XLOOKUP(C41,'2. Boletim de Medição'!$10:$10,'2. Boletim de Medição'!$34:$34),0)</f>
        <v>0</v>
      </c>
      <c r="I41" s="111">
        <f t="shared" si="0"/>
        <v>0</v>
      </c>
      <c r="J41" s="111">
        <f t="shared" si="8"/>
        <v>0</v>
      </c>
      <c r="K41" s="111">
        <f t="shared" si="12"/>
        <v>0</v>
      </c>
      <c r="L41" s="111">
        <f>IFERROR(_xlfn.XLOOKUP(C41,'3. Faturamento Direto'!$9:$9,'3. Faturamento Direto'!$13:$13),0)</f>
        <v>0</v>
      </c>
      <c r="M41" s="83">
        <f t="shared" si="10"/>
        <v>0</v>
      </c>
      <c r="N41" s="84">
        <f t="shared" si="9"/>
        <v>0</v>
      </c>
      <c r="O41" s="84">
        <f t="shared" si="11"/>
        <v>0</v>
      </c>
      <c r="P41" s="204" t="str">
        <f t="shared" si="1"/>
        <v/>
      </c>
      <c r="Q41" s="72"/>
    </row>
    <row r="42" spans="1:17" outlineLevel="1" x14ac:dyDescent="0.35">
      <c r="A42" s="72"/>
      <c r="C42" s="74">
        <f t="shared" si="7"/>
        <v>19</v>
      </c>
      <c r="D42" s="80" t="str">
        <f>IF(IFERROR(_xlfn.XLOOKUP(C42,'2. Boletim de Medição'!$10:$10,'2. Boletim de Medição'!$6:$6),"")&gt;0,IFERROR(_xlfn.XLOOKUP(C42,'2. Boletim de Medição'!$10:$10,'2. Boletim de Medição'!$6:$6),""),"")</f>
        <v/>
      </c>
      <c r="E42" s="81" t="str">
        <f>IF(IFERROR(_xlfn.XLOOKUP(C42,'2. Boletim de Medição'!$10:$10,'2. Boletim de Medição'!$7:$7),"")&gt;0,IFERROR(_xlfn.XLOOKUP(C42,'2. Boletim de Medição'!$10:$10,'2. Boletim de Medição'!$7:$7),""),"")</f>
        <v/>
      </c>
      <c r="G42" s="83">
        <f>IFERROR(_xlfn.XLOOKUP(C42,'2. Boletim de Medição'!$10:$10,'2. Boletim de Medição'!$13:$13),0)</f>
        <v>0</v>
      </c>
      <c r="H42" s="83">
        <f>IFERROR(_xlfn.XLOOKUP(C42,'2. Boletim de Medição'!$10:$10,'2. Boletim de Medição'!$34:$34),0)</f>
        <v>0</v>
      </c>
      <c r="I42" s="111">
        <f t="shared" si="0"/>
        <v>0</v>
      </c>
      <c r="J42" s="111">
        <f t="shared" si="8"/>
        <v>0</v>
      </c>
      <c r="K42" s="111">
        <f t="shared" si="12"/>
        <v>0</v>
      </c>
      <c r="L42" s="111">
        <f>IFERROR(_xlfn.XLOOKUP(C42,'3. Faturamento Direto'!$9:$9,'3. Faturamento Direto'!$13:$13),0)</f>
        <v>0</v>
      </c>
      <c r="M42" s="83">
        <f t="shared" si="10"/>
        <v>0</v>
      </c>
      <c r="N42" s="84">
        <f t="shared" si="9"/>
        <v>0</v>
      </c>
      <c r="O42" s="84">
        <f t="shared" si="11"/>
        <v>0</v>
      </c>
      <c r="P42" s="204" t="str">
        <f t="shared" si="1"/>
        <v/>
      </c>
      <c r="Q42" s="72"/>
    </row>
    <row r="43" spans="1:17" outlineLevel="1" x14ac:dyDescent="0.35">
      <c r="A43" s="72"/>
      <c r="C43" s="74">
        <f t="shared" si="7"/>
        <v>20</v>
      </c>
      <c r="D43" s="80" t="str">
        <f>IF(IFERROR(_xlfn.XLOOKUP(C43,'2. Boletim de Medição'!$10:$10,'2. Boletim de Medição'!$6:$6),"")&gt;0,IFERROR(_xlfn.XLOOKUP(C43,'2. Boletim de Medição'!$10:$10,'2. Boletim de Medição'!$6:$6),""),"")</f>
        <v/>
      </c>
      <c r="E43" s="81" t="str">
        <f>IF(IFERROR(_xlfn.XLOOKUP(C43,'2. Boletim de Medição'!$10:$10,'2. Boletim de Medição'!$7:$7),"")&gt;0,IFERROR(_xlfn.XLOOKUP(C43,'2. Boletim de Medição'!$10:$10,'2. Boletim de Medição'!$7:$7),""),"")</f>
        <v/>
      </c>
      <c r="G43" s="83">
        <f>IFERROR(_xlfn.XLOOKUP(C43,'2. Boletim de Medição'!$10:$10,'2. Boletim de Medição'!$13:$13),0)</f>
        <v>0</v>
      </c>
      <c r="H43" s="83">
        <f>IFERROR(_xlfn.XLOOKUP(C43,'2. Boletim de Medição'!$10:$10,'2. Boletim de Medição'!$34:$34),0)</f>
        <v>0</v>
      </c>
      <c r="I43" s="111">
        <f t="shared" si="0"/>
        <v>0</v>
      </c>
      <c r="J43" s="111">
        <f t="shared" si="8"/>
        <v>0</v>
      </c>
      <c r="K43" s="111">
        <f t="shared" si="12"/>
        <v>0</v>
      </c>
      <c r="L43" s="111">
        <f>IFERROR(_xlfn.XLOOKUP(C43,'3. Faturamento Direto'!$9:$9,'3. Faturamento Direto'!$13:$13),0)</f>
        <v>0</v>
      </c>
      <c r="M43" s="83">
        <f t="shared" si="10"/>
        <v>0</v>
      </c>
      <c r="N43" s="84">
        <f t="shared" si="9"/>
        <v>0</v>
      </c>
      <c r="O43" s="84">
        <f t="shared" si="11"/>
        <v>0</v>
      </c>
      <c r="P43" s="204" t="str">
        <f t="shared" si="1"/>
        <v/>
      </c>
      <c r="Q43" s="72"/>
    </row>
    <row r="44" spans="1:17" outlineLevel="1" x14ac:dyDescent="0.35">
      <c r="A44" s="72"/>
      <c r="C44" s="74">
        <f t="shared" si="7"/>
        <v>21</v>
      </c>
      <c r="D44" s="80" t="str">
        <f>IF(IFERROR(_xlfn.XLOOKUP(C44,'2. Boletim de Medição'!$10:$10,'2. Boletim de Medição'!$6:$6),"")&gt;0,IFERROR(_xlfn.XLOOKUP(C44,'2. Boletim de Medição'!$10:$10,'2. Boletim de Medição'!$6:$6),""),"")</f>
        <v/>
      </c>
      <c r="E44" s="81" t="str">
        <f>IF(IFERROR(_xlfn.XLOOKUP(C44,'2. Boletim de Medição'!$10:$10,'2. Boletim de Medição'!$7:$7),"")&gt;0,IFERROR(_xlfn.XLOOKUP(C44,'2. Boletim de Medição'!$10:$10,'2. Boletim de Medição'!$7:$7),""),"")</f>
        <v/>
      </c>
      <c r="G44" s="83">
        <f>IFERROR(_xlfn.XLOOKUP(C44,'2. Boletim de Medição'!$10:$10,'2. Boletim de Medição'!$13:$13),0)</f>
        <v>0</v>
      </c>
      <c r="H44" s="83">
        <f>IFERROR(_xlfn.XLOOKUP(C44,'2. Boletim de Medição'!$10:$10,'2. Boletim de Medição'!$34:$34),0)</f>
        <v>0</v>
      </c>
      <c r="I44" s="111">
        <f t="shared" si="0"/>
        <v>0</v>
      </c>
      <c r="J44" s="111">
        <f t="shared" si="8"/>
        <v>0</v>
      </c>
      <c r="K44" s="111">
        <f t="shared" si="12"/>
        <v>0</v>
      </c>
      <c r="L44" s="111">
        <f>IFERROR(_xlfn.XLOOKUP(C44,'3. Faturamento Direto'!$9:$9,'3. Faturamento Direto'!$13:$13),0)</f>
        <v>0</v>
      </c>
      <c r="M44" s="83">
        <f t="shared" si="10"/>
        <v>0</v>
      </c>
      <c r="N44" s="84">
        <f t="shared" si="9"/>
        <v>0</v>
      </c>
      <c r="O44" s="84">
        <f t="shared" si="11"/>
        <v>0</v>
      </c>
      <c r="P44" s="204" t="str">
        <f t="shared" si="1"/>
        <v/>
      </c>
      <c r="Q44" s="72"/>
    </row>
    <row r="45" spans="1:17" outlineLevel="1" x14ac:dyDescent="0.35">
      <c r="A45" s="72"/>
      <c r="C45" s="74">
        <f t="shared" si="7"/>
        <v>22</v>
      </c>
      <c r="D45" s="80" t="str">
        <f>IF(IFERROR(_xlfn.XLOOKUP(C45,'2. Boletim de Medição'!$10:$10,'2. Boletim de Medição'!$6:$6),"")&gt;0,IFERROR(_xlfn.XLOOKUP(C45,'2. Boletim de Medição'!$10:$10,'2. Boletim de Medição'!$6:$6),""),"")</f>
        <v/>
      </c>
      <c r="E45" s="81" t="str">
        <f>IF(IFERROR(_xlfn.XLOOKUP(C45,'2. Boletim de Medição'!$10:$10,'2. Boletim de Medição'!$7:$7),"")&gt;0,IFERROR(_xlfn.XLOOKUP(C45,'2. Boletim de Medição'!$10:$10,'2. Boletim de Medição'!$7:$7),""),"")</f>
        <v/>
      </c>
      <c r="G45" s="83">
        <f>IFERROR(_xlfn.XLOOKUP(C45,'2. Boletim de Medição'!$10:$10,'2. Boletim de Medição'!$13:$13),0)</f>
        <v>0</v>
      </c>
      <c r="H45" s="83">
        <f>IFERROR(_xlfn.XLOOKUP(C45,'2. Boletim de Medição'!$10:$10,'2. Boletim de Medição'!$34:$34),0)</f>
        <v>0</v>
      </c>
      <c r="I45" s="111">
        <f t="shared" si="0"/>
        <v>0</v>
      </c>
      <c r="J45" s="111">
        <f t="shared" si="8"/>
        <v>0</v>
      </c>
      <c r="K45" s="111">
        <f t="shared" si="12"/>
        <v>0</v>
      </c>
      <c r="L45" s="111">
        <f>IFERROR(_xlfn.XLOOKUP(C45,'3. Faturamento Direto'!$9:$9,'3. Faturamento Direto'!$13:$13),0)</f>
        <v>0</v>
      </c>
      <c r="M45" s="83">
        <f t="shared" si="10"/>
        <v>0</v>
      </c>
      <c r="N45" s="84">
        <f t="shared" si="9"/>
        <v>0</v>
      </c>
      <c r="O45" s="84">
        <f t="shared" si="11"/>
        <v>0</v>
      </c>
      <c r="P45" s="204" t="str">
        <f t="shared" si="1"/>
        <v/>
      </c>
      <c r="Q45" s="72"/>
    </row>
    <row r="46" spans="1:17" outlineLevel="1" x14ac:dyDescent="0.35">
      <c r="A46" s="72"/>
      <c r="C46" s="74">
        <f t="shared" si="7"/>
        <v>23</v>
      </c>
      <c r="D46" s="80" t="str">
        <f>IF(IFERROR(_xlfn.XLOOKUP(C46,'2. Boletim de Medição'!$10:$10,'2. Boletim de Medição'!$6:$6),"")&gt;0,IFERROR(_xlfn.XLOOKUP(C46,'2. Boletim de Medição'!$10:$10,'2. Boletim de Medição'!$6:$6),""),"")</f>
        <v/>
      </c>
      <c r="E46" s="81" t="str">
        <f>IF(IFERROR(_xlfn.XLOOKUP(C46,'2. Boletim de Medição'!$10:$10,'2. Boletim de Medição'!$7:$7),"")&gt;0,IFERROR(_xlfn.XLOOKUP(C46,'2. Boletim de Medição'!$10:$10,'2. Boletim de Medição'!$7:$7),""),"")</f>
        <v/>
      </c>
      <c r="G46" s="83">
        <f>IFERROR(_xlfn.XLOOKUP(C46,'2. Boletim de Medição'!$10:$10,'2. Boletim de Medição'!$13:$13),0)</f>
        <v>0</v>
      </c>
      <c r="H46" s="83">
        <f>IFERROR(_xlfn.XLOOKUP(C46,'2. Boletim de Medição'!$10:$10,'2. Boletim de Medição'!$34:$34),0)</f>
        <v>0</v>
      </c>
      <c r="I46" s="111">
        <f t="shared" si="0"/>
        <v>0</v>
      </c>
      <c r="J46" s="111">
        <f t="shared" si="8"/>
        <v>0</v>
      </c>
      <c r="K46" s="111">
        <f t="shared" si="12"/>
        <v>0</v>
      </c>
      <c r="L46" s="111">
        <f>IFERROR(_xlfn.XLOOKUP(C46,'3. Faturamento Direto'!$9:$9,'3. Faturamento Direto'!$13:$13),0)</f>
        <v>0</v>
      </c>
      <c r="M46" s="83">
        <f t="shared" si="10"/>
        <v>0</v>
      </c>
      <c r="N46" s="84">
        <f t="shared" si="9"/>
        <v>0</v>
      </c>
      <c r="O46" s="84">
        <f t="shared" si="11"/>
        <v>0</v>
      </c>
      <c r="P46" s="204" t="str">
        <f t="shared" si="1"/>
        <v/>
      </c>
      <c r="Q46" s="72"/>
    </row>
    <row r="47" spans="1:17" outlineLevel="1" x14ac:dyDescent="0.35">
      <c r="A47" s="72"/>
      <c r="C47" s="74">
        <f t="shared" si="7"/>
        <v>24</v>
      </c>
      <c r="D47" s="80" t="str">
        <f>IF(IFERROR(_xlfn.XLOOKUP(C47,'2. Boletim de Medição'!$10:$10,'2. Boletim de Medição'!$6:$6),"")&gt;0,IFERROR(_xlfn.XLOOKUP(C47,'2. Boletim de Medição'!$10:$10,'2. Boletim de Medição'!$6:$6),""),"")</f>
        <v/>
      </c>
      <c r="E47" s="81" t="str">
        <f>IF(IFERROR(_xlfn.XLOOKUP(C47,'2. Boletim de Medição'!$10:$10,'2. Boletim de Medição'!$7:$7),"")&gt;0,IFERROR(_xlfn.XLOOKUP(C47,'2. Boletim de Medição'!$10:$10,'2. Boletim de Medição'!$7:$7),""),"")</f>
        <v/>
      </c>
      <c r="G47" s="83">
        <f>IFERROR(_xlfn.XLOOKUP(C47,'2. Boletim de Medição'!$10:$10,'2. Boletim de Medição'!$13:$13),0)</f>
        <v>0</v>
      </c>
      <c r="H47" s="83">
        <f>IFERROR(_xlfn.XLOOKUP(C47,'2. Boletim de Medição'!$10:$10,'2. Boletim de Medição'!$34:$34),0)</f>
        <v>0</v>
      </c>
      <c r="I47" s="111">
        <f t="shared" si="0"/>
        <v>0</v>
      </c>
      <c r="J47" s="111">
        <f t="shared" si="8"/>
        <v>0</v>
      </c>
      <c r="K47" s="111">
        <f t="shared" si="12"/>
        <v>0</v>
      </c>
      <c r="L47" s="111">
        <f>IFERROR(_xlfn.XLOOKUP(C47,'3. Faturamento Direto'!$9:$9,'3. Faturamento Direto'!$13:$13),0)</f>
        <v>0</v>
      </c>
      <c r="M47" s="83">
        <f t="shared" si="10"/>
        <v>0</v>
      </c>
      <c r="N47" s="84">
        <f t="shared" si="9"/>
        <v>0</v>
      </c>
      <c r="O47" s="84">
        <f t="shared" si="11"/>
        <v>0</v>
      </c>
      <c r="P47" s="204" t="str">
        <f t="shared" si="1"/>
        <v/>
      </c>
      <c r="Q47" s="72"/>
    </row>
    <row r="48" spans="1:17" outlineLevel="1" x14ac:dyDescent="0.35">
      <c r="A48" s="72"/>
      <c r="C48" s="74">
        <f t="shared" si="7"/>
        <v>25</v>
      </c>
      <c r="D48" s="80" t="str">
        <f>IF(IFERROR(_xlfn.XLOOKUP(C48,'2. Boletim de Medição'!$10:$10,'2. Boletim de Medição'!$6:$6),"")&gt;0,IFERROR(_xlfn.XLOOKUP(C48,'2. Boletim de Medição'!$10:$10,'2. Boletim de Medição'!$6:$6),""),"")</f>
        <v/>
      </c>
      <c r="E48" s="81" t="str">
        <f>IF(IFERROR(_xlfn.XLOOKUP(C48,'2. Boletim de Medição'!$10:$10,'2. Boletim de Medição'!$7:$7),"")&gt;0,IFERROR(_xlfn.XLOOKUP(C48,'2. Boletim de Medição'!$10:$10,'2. Boletim de Medição'!$7:$7),""),"")</f>
        <v/>
      </c>
      <c r="G48" s="83">
        <f>IFERROR(_xlfn.XLOOKUP(C48,'2. Boletim de Medição'!$10:$10,'2. Boletim de Medição'!$13:$13),0)</f>
        <v>0</v>
      </c>
      <c r="H48" s="83">
        <f>IFERROR(_xlfn.XLOOKUP(C48,'2. Boletim de Medição'!$10:$10,'2. Boletim de Medição'!$34:$34),0)</f>
        <v>0</v>
      </c>
      <c r="I48" s="111">
        <f t="shared" si="0"/>
        <v>0</v>
      </c>
      <c r="J48" s="111">
        <f t="shared" si="8"/>
        <v>0</v>
      </c>
      <c r="K48" s="111">
        <f t="shared" si="12"/>
        <v>0</v>
      </c>
      <c r="L48" s="111">
        <f>IFERROR(_xlfn.XLOOKUP(C48,'3. Faturamento Direto'!$9:$9,'3. Faturamento Direto'!$13:$13),0)</f>
        <v>0</v>
      </c>
      <c r="M48" s="83">
        <f t="shared" si="10"/>
        <v>0</v>
      </c>
      <c r="N48" s="84">
        <f t="shared" si="9"/>
        <v>0</v>
      </c>
      <c r="O48" s="84">
        <f t="shared" si="11"/>
        <v>0</v>
      </c>
      <c r="P48" s="204" t="str">
        <f t="shared" si="1"/>
        <v/>
      </c>
      <c r="Q48" s="72"/>
    </row>
    <row r="49" spans="1:17" outlineLevel="1" x14ac:dyDescent="0.35">
      <c r="A49" s="72"/>
      <c r="C49" s="74">
        <f t="shared" ref="C49:C59" si="13">C48+1</f>
        <v>26</v>
      </c>
      <c r="D49" s="80" t="str">
        <f>IF(IFERROR(_xlfn.XLOOKUP(C49,'2. Boletim de Medição'!$10:$10,'2. Boletim de Medição'!$6:$6),"")&gt;0,IFERROR(_xlfn.XLOOKUP(C49,'2. Boletim de Medição'!$10:$10,'2. Boletim de Medição'!$6:$6),""),"")</f>
        <v/>
      </c>
      <c r="E49" s="81" t="str">
        <f>IF(IFERROR(_xlfn.XLOOKUP(C49,'2. Boletim de Medição'!$10:$10,'2. Boletim de Medição'!$7:$7),"")&gt;0,IFERROR(_xlfn.XLOOKUP(C49,'2. Boletim de Medição'!$10:$10,'2. Boletim de Medição'!$7:$7),""),"")</f>
        <v/>
      </c>
      <c r="G49" s="83">
        <f>IFERROR(_xlfn.XLOOKUP(C49,'2. Boletim de Medição'!$10:$10,'2. Boletim de Medição'!$13:$13),0)</f>
        <v>0</v>
      </c>
      <c r="H49" s="83">
        <f>IFERROR(_xlfn.XLOOKUP(C49,'2. Boletim de Medição'!$10:$10,'2. Boletim de Medição'!$34:$34),0)</f>
        <v>0</v>
      </c>
      <c r="I49" s="111">
        <f t="shared" si="0"/>
        <v>0</v>
      </c>
      <c r="J49" s="111">
        <f t="shared" ref="J49:J59" si="14">IFERROR(G49-H49-I49,0)</f>
        <v>0</v>
      </c>
      <c r="K49" s="111">
        <f t="shared" ref="K49:K59" si="15">IF(G49&gt;0,K48-G49,0)</f>
        <v>0</v>
      </c>
      <c r="L49" s="111">
        <f>IFERROR(_xlfn.XLOOKUP(C49,'3. Faturamento Direto'!$9:$9,'3. Faturamento Direto'!$13:$13),0)</f>
        <v>0</v>
      </c>
      <c r="M49" s="83">
        <f t="shared" ref="M49:M59" si="16">IF(L49&gt;0,M48-L49,0)</f>
        <v>0</v>
      </c>
      <c r="N49" s="84">
        <f t="shared" ref="N49:N59" si="17">G49+L49</f>
        <v>0</v>
      </c>
      <c r="O49" s="84">
        <f t="shared" ref="O49:O59" si="18">IF(N49&gt;0,O48-N49,0)</f>
        <v>0</v>
      </c>
      <c r="P49" s="204" t="str">
        <f t="shared" si="1"/>
        <v/>
      </c>
      <c r="Q49" s="72"/>
    </row>
    <row r="50" spans="1:17" outlineLevel="1" x14ac:dyDescent="0.35">
      <c r="A50" s="72"/>
      <c r="C50" s="74">
        <f t="shared" si="13"/>
        <v>27</v>
      </c>
      <c r="D50" s="80" t="str">
        <f>IF(IFERROR(_xlfn.XLOOKUP(C50,'2. Boletim de Medição'!$10:$10,'2. Boletim de Medição'!$6:$6),"")&gt;0,IFERROR(_xlfn.XLOOKUP(C50,'2. Boletim de Medição'!$10:$10,'2. Boletim de Medição'!$6:$6),""),"")</f>
        <v/>
      </c>
      <c r="E50" s="81" t="str">
        <f>IF(IFERROR(_xlfn.XLOOKUP(C50,'2. Boletim de Medição'!$10:$10,'2. Boletim de Medição'!$7:$7),"")&gt;0,IFERROR(_xlfn.XLOOKUP(C50,'2. Boletim de Medição'!$10:$10,'2. Boletim de Medição'!$7:$7),""),"")</f>
        <v/>
      </c>
      <c r="G50" s="83">
        <f>IFERROR(_xlfn.XLOOKUP(C50,'2. Boletim de Medição'!$10:$10,'2. Boletim de Medição'!$13:$13),0)</f>
        <v>0</v>
      </c>
      <c r="H50" s="83">
        <f>IFERROR(_xlfn.XLOOKUP(C50,'2. Boletim de Medição'!$10:$10,'2. Boletim de Medição'!$34:$34),0)</f>
        <v>0</v>
      </c>
      <c r="I50" s="111">
        <f t="shared" si="0"/>
        <v>0</v>
      </c>
      <c r="J50" s="111">
        <f t="shared" si="14"/>
        <v>0</v>
      </c>
      <c r="K50" s="111">
        <f t="shared" si="15"/>
        <v>0</v>
      </c>
      <c r="L50" s="111">
        <f>IFERROR(_xlfn.XLOOKUP(C50,'3. Faturamento Direto'!$9:$9,'3. Faturamento Direto'!$13:$13),0)</f>
        <v>0</v>
      </c>
      <c r="M50" s="83">
        <f t="shared" si="16"/>
        <v>0</v>
      </c>
      <c r="N50" s="84">
        <f>G50+L50</f>
        <v>0</v>
      </c>
      <c r="O50" s="84">
        <f t="shared" si="18"/>
        <v>0</v>
      </c>
      <c r="P50" s="204" t="str">
        <f t="shared" si="1"/>
        <v/>
      </c>
      <c r="Q50" s="72"/>
    </row>
    <row r="51" spans="1:17" outlineLevel="1" x14ac:dyDescent="0.35">
      <c r="A51" s="72"/>
      <c r="C51" s="74">
        <f t="shared" si="13"/>
        <v>28</v>
      </c>
      <c r="D51" s="80" t="str">
        <f>IF(IFERROR(_xlfn.XLOOKUP(C51,'2. Boletim de Medição'!$10:$10,'2. Boletim de Medição'!$6:$6),"")&gt;0,IFERROR(_xlfn.XLOOKUP(C51,'2. Boletim de Medição'!$10:$10,'2. Boletim de Medição'!$6:$6),""),"")</f>
        <v/>
      </c>
      <c r="E51" s="81" t="str">
        <f>IF(IFERROR(_xlfn.XLOOKUP(C51,'2. Boletim de Medição'!$10:$10,'2. Boletim de Medição'!$7:$7),"")&gt;0,IFERROR(_xlfn.XLOOKUP(C51,'2. Boletim de Medição'!$10:$10,'2. Boletim de Medição'!$7:$7),""),"")</f>
        <v/>
      </c>
      <c r="G51" s="83">
        <f>IFERROR(_xlfn.XLOOKUP(C51,'2. Boletim de Medição'!$10:$10,'2. Boletim de Medição'!$13:$13),0)</f>
        <v>0</v>
      </c>
      <c r="H51" s="83">
        <f>IFERROR(_xlfn.XLOOKUP(C51,'2. Boletim de Medição'!$10:$10,'2. Boletim de Medição'!$34:$34),0)</f>
        <v>0</v>
      </c>
      <c r="I51" s="111">
        <f t="shared" si="0"/>
        <v>0</v>
      </c>
      <c r="J51" s="111">
        <f t="shared" si="14"/>
        <v>0</v>
      </c>
      <c r="K51" s="111">
        <f t="shared" si="15"/>
        <v>0</v>
      </c>
      <c r="L51" s="111">
        <f>IFERROR(_xlfn.XLOOKUP(C51,'3. Faturamento Direto'!$9:$9,'3. Faturamento Direto'!$13:$13),0)</f>
        <v>0</v>
      </c>
      <c r="M51" s="83">
        <f t="shared" si="16"/>
        <v>0</v>
      </c>
      <c r="N51" s="84">
        <f t="shared" si="17"/>
        <v>0</v>
      </c>
      <c r="O51" s="84">
        <f t="shared" si="18"/>
        <v>0</v>
      </c>
      <c r="P51" s="204" t="str">
        <f t="shared" si="1"/>
        <v/>
      </c>
      <c r="Q51" s="72"/>
    </row>
    <row r="52" spans="1:17" outlineLevel="1" x14ac:dyDescent="0.35">
      <c r="A52" s="72"/>
      <c r="C52" s="74">
        <f t="shared" si="13"/>
        <v>29</v>
      </c>
      <c r="D52" s="80" t="str">
        <f>IF(IFERROR(_xlfn.XLOOKUP(C52,'2. Boletim de Medição'!$10:$10,'2. Boletim de Medição'!$6:$6),"")&gt;0,IFERROR(_xlfn.XLOOKUP(C52,'2. Boletim de Medição'!$10:$10,'2. Boletim de Medição'!$6:$6),""),"")</f>
        <v/>
      </c>
      <c r="E52" s="81" t="str">
        <f>IF(IFERROR(_xlfn.XLOOKUP(C52,'2. Boletim de Medição'!$10:$10,'2. Boletim de Medição'!$7:$7),"")&gt;0,IFERROR(_xlfn.XLOOKUP(C52,'2. Boletim de Medição'!$10:$10,'2. Boletim de Medição'!$7:$7),""),"")</f>
        <v/>
      </c>
      <c r="G52" s="83">
        <f>IFERROR(_xlfn.XLOOKUP(C52,'2. Boletim de Medição'!$10:$10,'2. Boletim de Medição'!$13:$13),0)</f>
        <v>0</v>
      </c>
      <c r="H52" s="83">
        <f>IFERROR(_xlfn.XLOOKUP(C52,'2. Boletim de Medição'!$10:$10,'2. Boletim de Medição'!$34:$34),0)</f>
        <v>0</v>
      </c>
      <c r="I52" s="111">
        <f t="shared" si="0"/>
        <v>0</v>
      </c>
      <c r="J52" s="111">
        <f t="shared" si="14"/>
        <v>0</v>
      </c>
      <c r="K52" s="111">
        <f t="shared" si="15"/>
        <v>0</v>
      </c>
      <c r="L52" s="111">
        <f>IFERROR(_xlfn.XLOOKUP(C52,'3. Faturamento Direto'!$9:$9,'3. Faturamento Direto'!$13:$13),0)</f>
        <v>0</v>
      </c>
      <c r="M52" s="83">
        <f t="shared" si="16"/>
        <v>0</v>
      </c>
      <c r="N52" s="84">
        <f t="shared" si="17"/>
        <v>0</v>
      </c>
      <c r="O52" s="84">
        <f t="shared" si="18"/>
        <v>0</v>
      </c>
      <c r="P52" s="204" t="str">
        <f t="shared" si="1"/>
        <v/>
      </c>
      <c r="Q52" s="72"/>
    </row>
    <row r="53" spans="1:17" outlineLevel="1" x14ac:dyDescent="0.35">
      <c r="A53" s="72"/>
      <c r="C53" s="74">
        <f t="shared" si="13"/>
        <v>30</v>
      </c>
      <c r="D53" s="80" t="str">
        <f>IF(IFERROR(_xlfn.XLOOKUP(C53,'2. Boletim de Medição'!$10:$10,'2. Boletim de Medição'!$6:$6),"")&gt;0,IFERROR(_xlfn.XLOOKUP(C53,'2. Boletim de Medição'!$10:$10,'2. Boletim de Medição'!$6:$6),""),"")</f>
        <v/>
      </c>
      <c r="E53" s="81" t="str">
        <f>IF(IFERROR(_xlfn.XLOOKUP(C53,'2. Boletim de Medição'!$10:$10,'2. Boletim de Medição'!$7:$7),"")&gt;0,IFERROR(_xlfn.XLOOKUP(C53,'2. Boletim de Medição'!$10:$10,'2. Boletim de Medição'!$7:$7),""),"")</f>
        <v/>
      </c>
      <c r="G53" s="83">
        <f>IFERROR(_xlfn.XLOOKUP(C53,'2. Boletim de Medição'!$10:$10,'2. Boletim de Medição'!$13:$13),0)</f>
        <v>0</v>
      </c>
      <c r="H53" s="83">
        <f>IFERROR(_xlfn.XLOOKUP(C53,'2. Boletim de Medição'!$10:$10,'2. Boletim de Medição'!$34:$34),0)</f>
        <v>0</v>
      </c>
      <c r="I53" s="111">
        <f t="shared" si="0"/>
        <v>0</v>
      </c>
      <c r="J53" s="111">
        <f t="shared" si="14"/>
        <v>0</v>
      </c>
      <c r="K53" s="111">
        <f t="shared" si="15"/>
        <v>0</v>
      </c>
      <c r="L53" s="111">
        <f>IFERROR(_xlfn.XLOOKUP(C53,'3. Faturamento Direto'!$9:$9,'3. Faturamento Direto'!$13:$13),0)</f>
        <v>0</v>
      </c>
      <c r="M53" s="83">
        <f t="shared" si="16"/>
        <v>0</v>
      </c>
      <c r="N53" s="84">
        <f t="shared" si="17"/>
        <v>0</v>
      </c>
      <c r="O53" s="84">
        <f t="shared" si="18"/>
        <v>0</v>
      </c>
      <c r="P53" s="204" t="str">
        <f t="shared" si="1"/>
        <v/>
      </c>
      <c r="Q53" s="72"/>
    </row>
    <row r="54" spans="1:17" outlineLevel="1" x14ac:dyDescent="0.35">
      <c r="A54" s="72"/>
      <c r="C54" s="74">
        <f t="shared" si="13"/>
        <v>31</v>
      </c>
      <c r="D54" s="80" t="str">
        <f>IF(IFERROR(_xlfn.XLOOKUP(C54,'2. Boletim de Medição'!$10:$10,'2. Boletim de Medição'!$6:$6),"")&gt;0,IFERROR(_xlfn.XLOOKUP(C54,'2. Boletim de Medição'!$10:$10,'2. Boletim de Medição'!$6:$6),""),"")</f>
        <v/>
      </c>
      <c r="E54" s="81" t="str">
        <f>IF(IFERROR(_xlfn.XLOOKUP(C54,'2. Boletim de Medição'!$10:$10,'2. Boletim de Medição'!$7:$7),"")&gt;0,IFERROR(_xlfn.XLOOKUP(C54,'2. Boletim de Medição'!$10:$10,'2. Boletim de Medição'!$7:$7),""),"")</f>
        <v/>
      </c>
      <c r="G54" s="83">
        <f>IFERROR(_xlfn.XLOOKUP(C54,'2. Boletim de Medição'!$10:$10,'2. Boletim de Medição'!$13:$13),0)</f>
        <v>0</v>
      </c>
      <c r="H54" s="83">
        <f>IFERROR(_xlfn.XLOOKUP(C54,'2. Boletim de Medição'!$10:$10,'2. Boletim de Medição'!$34:$34),0)</f>
        <v>0</v>
      </c>
      <c r="I54" s="111">
        <f t="shared" si="0"/>
        <v>0</v>
      </c>
      <c r="J54" s="111">
        <f t="shared" si="14"/>
        <v>0</v>
      </c>
      <c r="K54" s="111">
        <f t="shared" si="15"/>
        <v>0</v>
      </c>
      <c r="L54" s="111">
        <f>IFERROR(_xlfn.XLOOKUP(C54,'3. Faturamento Direto'!$9:$9,'3. Faturamento Direto'!$13:$13),0)</f>
        <v>0</v>
      </c>
      <c r="M54" s="83">
        <f t="shared" si="16"/>
        <v>0</v>
      </c>
      <c r="N54" s="84">
        <f t="shared" si="17"/>
        <v>0</v>
      </c>
      <c r="O54" s="84">
        <f t="shared" si="18"/>
        <v>0</v>
      </c>
      <c r="P54" s="204" t="str">
        <f t="shared" si="1"/>
        <v/>
      </c>
      <c r="Q54" s="72"/>
    </row>
    <row r="55" spans="1:17" outlineLevel="1" x14ac:dyDescent="0.35">
      <c r="A55" s="72"/>
      <c r="C55" s="74">
        <f t="shared" si="13"/>
        <v>32</v>
      </c>
      <c r="D55" s="80" t="str">
        <f>IF(IFERROR(_xlfn.XLOOKUP(C55,'2. Boletim de Medição'!$10:$10,'2. Boletim de Medição'!$6:$6),"")&gt;0,IFERROR(_xlfn.XLOOKUP(C55,'2. Boletim de Medição'!$10:$10,'2. Boletim de Medição'!$6:$6),""),"")</f>
        <v/>
      </c>
      <c r="E55" s="81" t="str">
        <f>IF(IFERROR(_xlfn.XLOOKUP(C55,'2. Boletim de Medição'!$10:$10,'2. Boletim de Medição'!$7:$7),"")&gt;0,IFERROR(_xlfn.XLOOKUP(C55,'2. Boletim de Medição'!$10:$10,'2. Boletim de Medição'!$7:$7),""),"")</f>
        <v/>
      </c>
      <c r="G55" s="83">
        <f>IFERROR(_xlfn.XLOOKUP(C55,'2. Boletim de Medição'!$10:$10,'2. Boletim de Medição'!$13:$13),0)</f>
        <v>0</v>
      </c>
      <c r="H55" s="83">
        <f>IFERROR(_xlfn.XLOOKUP(C55,'2. Boletim de Medição'!$10:$10,'2. Boletim de Medição'!$34:$34),0)</f>
        <v>0</v>
      </c>
      <c r="I55" s="111">
        <f t="shared" si="0"/>
        <v>0</v>
      </c>
      <c r="J55" s="111">
        <f t="shared" si="14"/>
        <v>0</v>
      </c>
      <c r="K55" s="111">
        <f t="shared" si="15"/>
        <v>0</v>
      </c>
      <c r="L55" s="111">
        <f>IFERROR(_xlfn.XLOOKUP(C55,'3. Faturamento Direto'!$9:$9,'3. Faturamento Direto'!$13:$13),0)</f>
        <v>0</v>
      </c>
      <c r="M55" s="83">
        <f t="shared" si="16"/>
        <v>0</v>
      </c>
      <c r="N55" s="84">
        <f t="shared" si="17"/>
        <v>0</v>
      </c>
      <c r="O55" s="84">
        <f t="shared" si="18"/>
        <v>0</v>
      </c>
      <c r="P55" s="204" t="str">
        <f t="shared" si="1"/>
        <v/>
      </c>
      <c r="Q55" s="72"/>
    </row>
    <row r="56" spans="1:17" outlineLevel="1" x14ac:dyDescent="0.35">
      <c r="A56" s="72"/>
      <c r="C56" s="74">
        <f t="shared" si="13"/>
        <v>33</v>
      </c>
      <c r="D56" s="80" t="str">
        <f>IF(IFERROR(_xlfn.XLOOKUP(C56,'2. Boletim de Medição'!$10:$10,'2. Boletim de Medição'!$6:$6),"")&gt;0,IFERROR(_xlfn.XLOOKUP(C56,'2. Boletim de Medição'!$10:$10,'2. Boletim de Medição'!$6:$6),""),"")</f>
        <v/>
      </c>
      <c r="E56" s="81" t="str">
        <f>IF(IFERROR(_xlfn.XLOOKUP(C56,'2. Boletim de Medição'!$10:$10,'2. Boletim de Medição'!$7:$7),"")&gt;0,IFERROR(_xlfn.XLOOKUP(C56,'2. Boletim de Medição'!$10:$10,'2. Boletim de Medição'!$7:$7),""),"")</f>
        <v/>
      </c>
      <c r="G56" s="83">
        <f>IFERROR(_xlfn.XLOOKUP(C56,'2. Boletim de Medição'!$10:$10,'2. Boletim de Medição'!$13:$13),0)</f>
        <v>0</v>
      </c>
      <c r="H56" s="83">
        <f>IFERROR(_xlfn.XLOOKUP(C56,'2. Boletim de Medição'!$10:$10,'2. Boletim de Medição'!$34:$34),0)</f>
        <v>0</v>
      </c>
      <c r="I56" s="111">
        <f t="shared" si="0"/>
        <v>0</v>
      </c>
      <c r="J56" s="111">
        <f t="shared" si="14"/>
        <v>0</v>
      </c>
      <c r="K56" s="111">
        <f t="shared" si="15"/>
        <v>0</v>
      </c>
      <c r="L56" s="111">
        <f>IFERROR(_xlfn.XLOOKUP(C56,'3. Faturamento Direto'!$9:$9,'3. Faturamento Direto'!$13:$13),0)</f>
        <v>0</v>
      </c>
      <c r="M56" s="83">
        <f t="shared" si="16"/>
        <v>0</v>
      </c>
      <c r="N56" s="84">
        <f t="shared" si="17"/>
        <v>0</v>
      </c>
      <c r="O56" s="84">
        <f t="shared" si="18"/>
        <v>0</v>
      </c>
      <c r="P56" s="204" t="str">
        <f t="shared" si="1"/>
        <v/>
      </c>
      <c r="Q56" s="72"/>
    </row>
    <row r="57" spans="1:17" outlineLevel="1" x14ac:dyDescent="0.35">
      <c r="A57" s="72"/>
      <c r="C57" s="74">
        <f t="shared" si="13"/>
        <v>34</v>
      </c>
      <c r="D57" s="80" t="str">
        <f>IF(IFERROR(_xlfn.XLOOKUP(C57,'2. Boletim de Medição'!$10:$10,'2. Boletim de Medição'!$6:$6),"")&gt;0,IFERROR(_xlfn.XLOOKUP(C57,'2. Boletim de Medição'!$10:$10,'2. Boletim de Medição'!$6:$6),""),"")</f>
        <v/>
      </c>
      <c r="E57" s="81" t="str">
        <f>IF(IFERROR(_xlfn.XLOOKUP(C57,'2. Boletim de Medição'!$10:$10,'2. Boletim de Medição'!$7:$7),"")&gt;0,IFERROR(_xlfn.XLOOKUP(C57,'2. Boletim de Medição'!$10:$10,'2. Boletim de Medição'!$7:$7),""),"")</f>
        <v/>
      </c>
      <c r="G57" s="83">
        <f>IFERROR(_xlfn.XLOOKUP(C57,'2. Boletim de Medição'!$10:$10,'2. Boletim de Medição'!$13:$13),0)</f>
        <v>0</v>
      </c>
      <c r="H57" s="83">
        <f>IFERROR(_xlfn.XLOOKUP(C57,'2. Boletim de Medição'!$10:$10,'2. Boletim de Medição'!$34:$34),0)</f>
        <v>0</v>
      </c>
      <c r="I57" s="111">
        <f t="shared" si="0"/>
        <v>0</v>
      </c>
      <c r="J57" s="111">
        <f t="shared" si="14"/>
        <v>0</v>
      </c>
      <c r="K57" s="111">
        <f t="shared" si="15"/>
        <v>0</v>
      </c>
      <c r="L57" s="111">
        <f>IFERROR(_xlfn.XLOOKUP(C57,'3. Faturamento Direto'!$9:$9,'3. Faturamento Direto'!$13:$13),0)</f>
        <v>0</v>
      </c>
      <c r="M57" s="83">
        <f t="shared" si="16"/>
        <v>0</v>
      </c>
      <c r="N57" s="84">
        <f t="shared" si="17"/>
        <v>0</v>
      </c>
      <c r="O57" s="84">
        <f t="shared" si="18"/>
        <v>0</v>
      </c>
      <c r="P57" s="204" t="str">
        <f t="shared" si="1"/>
        <v/>
      </c>
      <c r="Q57" s="72"/>
    </row>
    <row r="58" spans="1:17" outlineLevel="1" x14ac:dyDescent="0.35">
      <c r="A58" s="72"/>
      <c r="C58" s="74">
        <f t="shared" si="13"/>
        <v>35</v>
      </c>
      <c r="D58" s="80" t="str">
        <f>IF(IFERROR(_xlfn.XLOOKUP(C58,'2. Boletim de Medição'!$10:$10,'2. Boletim de Medição'!$6:$6),"")&gt;0,IFERROR(_xlfn.XLOOKUP(C58,'2. Boletim de Medição'!$10:$10,'2. Boletim de Medição'!$6:$6),""),"")</f>
        <v/>
      </c>
      <c r="E58" s="81" t="str">
        <f>IF(IFERROR(_xlfn.XLOOKUP(C58,'2. Boletim de Medição'!$10:$10,'2. Boletim de Medição'!$7:$7),"")&gt;0,IFERROR(_xlfn.XLOOKUP(C58,'2. Boletim de Medição'!$10:$10,'2. Boletim de Medição'!$7:$7),""),"")</f>
        <v/>
      </c>
      <c r="G58" s="83">
        <f>IFERROR(_xlfn.XLOOKUP(C58,'2. Boletim de Medição'!$10:$10,'2. Boletim de Medição'!$13:$13),0)</f>
        <v>0</v>
      </c>
      <c r="H58" s="83">
        <f>IFERROR(_xlfn.XLOOKUP(C58,'2. Boletim de Medição'!$10:$10,'2. Boletim de Medição'!$34:$34),0)</f>
        <v>0</v>
      </c>
      <c r="I58" s="111">
        <f t="shared" si="0"/>
        <v>0</v>
      </c>
      <c r="J58" s="111">
        <f t="shared" si="14"/>
        <v>0</v>
      </c>
      <c r="K58" s="111">
        <f t="shared" si="15"/>
        <v>0</v>
      </c>
      <c r="L58" s="111">
        <f>IFERROR(_xlfn.XLOOKUP(C58,'3. Faturamento Direto'!$9:$9,'3. Faturamento Direto'!$13:$13),0)</f>
        <v>0</v>
      </c>
      <c r="M58" s="83">
        <f t="shared" si="16"/>
        <v>0</v>
      </c>
      <c r="N58" s="84">
        <f t="shared" si="17"/>
        <v>0</v>
      </c>
      <c r="O58" s="84">
        <f t="shared" si="18"/>
        <v>0</v>
      </c>
      <c r="P58" s="204" t="str">
        <f t="shared" si="1"/>
        <v/>
      </c>
      <c r="Q58" s="72"/>
    </row>
    <row r="59" spans="1:17" outlineLevel="1" x14ac:dyDescent="0.35">
      <c r="A59" s="72"/>
      <c r="C59" s="74">
        <f t="shared" si="13"/>
        <v>36</v>
      </c>
      <c r="D59" s="80" t="str">
        <f>IF(IFERROR(_xlfn.XLOOKUP(C59,'2. Boletim de Medição'!$10:$10,'2. Boletim de Medição'!$6:$6),"")&gt;0,IFERROR(_xlfn.XLOOKUP(C59,'2. Boletim de Medição'!$10:$10,'2. Boletim de Medição'!$6:$6),""),"")</f>
        <v/>
      </c>
      <c r="E59" s="81" t="str">
        <f>IF(IFERROR(_xlfn.XLOOKUP(C59,'2. Boletim de Medição'!$10:$10,'2. Boletim de Medição'!$7:$7),"")&gt;0,IFERROR(_xlfn.XLOOKUP(C59,'2. Boletim de Medição'!$10:$10,'2. Boletim de Medição'!$7:$7),""),"")</f>
        <v/>
      </c>
      <c r="G59" s="83">
        <f>IFERROR(_xlfn.XLOOKUP(C59,'2. Boletim de Medição'!$10:$10,'2. Boletim de Medição'!$13:$13),0)</f>
        <v>0</v>
      </c>
      <c r="H59" s="83">
        <f>IFERROR(_xlfn.XLOOKUP(C59,'2. Boletim de Medição'!$10:$10,'2. Boletim de Medição'!$34:$34),0)</f>
        <v>0</v>
      </c>
      <c r="I59" s="111">
        <f t="shared" si="0"/>
        <v>0</v>
      </c>
      <c r="J59" s="111">
        <f t="shared" si="14"/>
        <v>0</v>
      </c>
      <c r="K59" s="111">
        <f t="shared" si="15"/>
        <v>0</v>
      </c>
      <c r="L59" s="111">
        <f>IFERROR(_xlfn.XLOOKUP(C59,'3. Faturamento Direto'!$9:$9,'3. Faturamento Direto'!$13:$13),0)</f>
        <v>0</v>
      </c>
      <c r="M59" s="83">
        <f t="shared" si="16"/>
        <v>0</v>
      </c>
      <c r="N59" s="84">
        <f t="shared" si="17"/>
        <v>0</v>
      </c>
      <c r="O59" s="84">
        <f t="shared" si="18"/>
        <v>0</v>
      </c>
      <c r="P59" s="204" t="str">
        <f t="shared" si="1"/>
        <v/>
      </c>
      <c r="Q59" s="72"/>
    </row>
    <row r="60" spans="1:17" x14ac:dyDescent="0.35">
      <c r="A60" s="72"/>
      <c r="Q60" s="72"/>
    </row>
    <row r="61" spans="1:17" x14ac:dyDescent="0.35">
      <c r="A61" s="72"/>
      <c r="Q61" s="72"/>
    </row>
    <row r="62" spans="1:17" x14ac:dyDescent="0.35">
      <c r="A62" s="72"/>
      <c r="Q62" s="72"/>
    </row>
    <row r="63" spans="1:17" x14ac:dyDescent="0.35">
      <c r="A63" s="72"/>
      <c r="Q63" s="72"/>
    </row>
    <row r="64" spans="1:17" x14ac:dyDescent="0.35">
      <c r="A64" s="72"/>
      <c r="Q64" s="72"/>
    </row>
    <row r="65" spans="1:17" x14ac:dyDescent="0.35">
      <c r="A65" s="72"/>
      <c r="Q65" s="72"/>
    </row>
    <row r="66" spans="1:17" x14ac:dyDescent="0.35">
      <c r="A66" s="72"/>
      <c r="Q66" s="72"/>
    </row>
    <row r="67" spans="1:17" x14ac:dyDescent="0.35">
      <c r="A67" s="72"/>
      <c r="Q67" s="72"/>
    </row>
    <row r="68" spans="1:17" x14ac:dyDescent="0.35">
      <c r="A68" s="72"/>
      <c r="Q68" s="72"/>
    </row>
    <row r="69" spans="1:17" x14ac:dyDescent="0.35">
      <c r="A69" s="72"/>
      <c r="Q69" s="72"/>
    </row>
    <row r="70" spans="1:17" x14ac:dyDescent="0.35">
      <c r="A70" s="72"/>
      <c r="Q70" s="72"/>
    </row>
    <row r="71" spans="1:17" x14ac:dyDescent="0.35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</row>
  </sheetData>
  <conditionalFormatting sqref="P21">
    <cfRule type="iconSet" priority="1">
      <iconSet showValue="0">
        <cfvo type="percent" val="0"/>
        <cfvo type="num" val="0.2"/>
        <cfvo type="num" val="0.4"/>
      </iconSet>
    </cfRule>
  </conditionalFormatting>
  <conditionalFormatting sqref="P24:P59">
    <cfRule type="iconSet" priority="2">
      <iconSet showValue="0">
        <cfvo type="percent" val="0"/>
        <cfvo type="num" val="0.2"/>
        <cfvo type="num" val="0.4"/>
      </iconSet>
    </cfRule>
  </conditionalFormatting>
  <dataValidations count="1">
    <dataValidation type="list" allowBlank="1" showInputMessage="1" showErrorMessage="1" sqref="D15:D19" xr:uid="{E8F25EA9-3BC1-4DCF-BDC7-D3DAAAEB8CED}">
      <formula1>"R$ UNITÁRIO,CONSUMO,RETRABALHO,PRAZO,AUMENTO DE ESCOPO,JUROS,OUTROS (ESPECIFICAR)"</formula1>
    </dataValidation>
  </dataValidations>
  <pageMargins left="0.511811024" right="0.511811024" top="0.78740157499999996" bottom="0.78740157499999996" header="0.31496062000000002" footer="0.31496062000000002"/>
  <pageSetup paperSize="9" scale="47" fitToHeight="0" orientation="landscape" r:id="rId1"/>
  <ignoredErrors>
    <ignoredError sqref="N32:O49 N31 N51:O59 O50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EB724-C4CA-491A-A68F-6DB13DC210FE}">
  <sheetPr codeName="Planilha14">
    <outlinePr summaryBelow="0"/>
    <pageSetUpPr fitToPage="1"/>
  </sheetPr>
  <dimension ref="A1:AV109"/>
  <sheetViews>
    <sheetView showGridLines="0" topLeftCell="AA13" zoomScale="70" zoomScaleNormal="70" zoomScaleSheetLayoutView="85" zoomScalePageLayoutView="85" workbookViewId="0">
      <selection activeCell="AW60" sqref="AM60:AW109"/>
    </sheetView>
  </sheetViews>
  <sheetFormatPr defaultColWidth="10.6328125" defaultRowHeight="15" customHeight="1" outlineLevelCol="1" x14ac:dyDescent="0.35"/>
  <cols>
    <col min="1" max="1" width="1.54296875" style="1" customWidth="1"/>
    <col min="2" max="2" width="6.6328125" style="1" customWidth="1"/>
    <col min="3" max="3" width="4.54296875" style="1" customWidth="1"/>
    <col min="4" max="4" width="54.81640625" style="1" customWidth="1"/>
    <col min="5" max="5" width="11.54296875" style="2" customWidth="1"/>
    <col min="6" max="6" width="16.1796875" style="2" customWidth="1"/>
    <col min="7" max="7" width="14.6328125" style="2" bestFit="1" customWidth="1"/>
    <col min="8" max="8" width="8.1796875" style="2" bestFit="1" customWidth="1"/>
    <col min="9" max="9" width="27.1796875" style="1" bestFit="1" customWidth="1"/>
    <col min="10" max="11" width="0.90625" style="1" customWidth="1"/>
    <col min="12" max="12" width="12.453125" style="1" customWidth="1"/>
    <col min="13" max="13" width="17.453125" style="1" bestFit="1" customWidth="1"/>
    <col min="14" max="14" width="0.90625" style="1" customWidth="1"/>
    <col min="15" max="15" width="8.1796875" style="1" customWidth="1"/>
    <col min="16" max="16" width="11.90625" style="1" bestFit="1" customWidth="1"/>
    <col min="17" max="17" width="17.54296875" style="1" bestFit="1" customWidth="1"/>
    <col min="18" max="18" width="0.90625" style="1" customWidth="1"/>
    <col min="19" max="19" width="13.36328125" style="1" customWidth="1"/>
    <col min="20" max="20" width="24.54296875" style="1" customWidth="1"/>
    <col min="21" max="21" width="1.08984375" style="1" customWidth="1"/>
    <col min="22" max="22" width="13.36328125" style="1" customWidth="1" outlineLevel="1"/>
    <col min="23" max="23" width="19.90625" style="1" customWidth="1" outlineLevel="1"/>
    <col min="24" max="25" width="0.90625" style="1" customWidth="1" outlineLevel="1"/>
    <col min="26" max="26" width="13.36328125" style="1" customWidth="1" outlineLevel="1"/>
    <col min="27" max="27" width="19.36328125" style="1" customWidth="1" outlineLevel="1"/>
    <col min="28" max="28" width="0.90625" style="1" customWidth="1" outlineLevel="1"/>
    <col min="29" max="29" width="13.36328125" style="1" customWidth="1" outlineLevel="1"/>
    <col min="30" max="30" width="19.36328125" style="1" customWidth="1" outlineLevel="1"/>
    <col min="31" max="31" width="0.90625" style="1" customWidth="1" outlineLevel="1"/>
    <col min="32" max="32" width="13.36328125" style="1" customWidth="1" outlineLevel="1"/>
    <col min="33" max="33" width="23.08984375" style="1" customWidth="1" outlineLevel="1"/>
    <col min="34" max="34" width="0.90625" style="1" customWidth="1" outlineLevel="1"/>
    <col min="35" max="35" width="13.36328125" style="1" customWidth="1" outlineLevel="1"/>
    <col min="36" max="36" width="18.36328125" style="1" customWidth="1" outlineLevel="1"/>
    <col min="37" max="37" width="0.90625" style="1" customWidth="1" outlineLevel="1"/>
    <col min="38" max="38" width="13.36328125" style="1" customWidth="1" outlineLevel="1"/>
    <col min="39" max="39" width="18.453125" style="1" customWidth="1" outlineLevel="1"/>
    <col min="40" max="40" width="0.90625" style="1" customWidth="1" outlineLevel="1"/>
    <col min="41" max="41" width="13.36328125" style="1" customWidth="1" outlineLevel="1"/>
    <col min="42" max="42" width="17.90625" style="1" customWidth="1" outlineLevel="1"/>
    <col min="43" max="43" width="0.90625" style="1" customWidth="1" outlineLevel="1"/>
    <col min="44" max="44" width="13.36328125" style="1" customWidth="1" outlineLevel="1"/>
    <col min="45" max="45" width="18.36328125" style="1" customWidth="1" outlineLevel="1"/>
    <col min="46" max="46" width="0.90625" style="1" customWidth="1"/>
    <col min="47" max="47" width="16.90625" style="1" bestFit="1" customWidth="1" outlineLevel="1"/>
    <col min="48" max="48" width="18.36328125" style="1" bestFit="1" customWidth="1" outlineLevel="1"/>
    <col min="49" max="16384" width="10.6328125" style="1"/>
  </cols>
  <sheetData>
    <row r="1" spans="1:48" ht="4.5" customHeight="1" x14ac:dyDescent="0.35">
      <c r="A1" s="179"/>
      <c r="B1" s="179"/>
      <c r="C1" s="179"/>
      <c r="D1" s="179"/>
      <c r="E1" s="180"/>
      <c r="F1" s="180"/>
      <c r="G1" s="180"/>
      <c r="H1" s="180"/>
      <c r="I1" s="179"/>
      <c r="J1" s="179"/>
      <c r="K1" s="179"/>
      <c r="L1" s="179"/>
      <c r="M1" s="179"/>
      <c r="N1" s="179"/>
      <c r="O1" s="179"/>
      <c r="P1" s="179"/>
      <c r="Q1" s="179"/>
      <c r="AD1" s="1" t="s">
        <v>146</v>
      </c>
    </row>
    <row r="2" spans="1:48" s="71" customFormat="1" ht="30" customHeight="1" x14ac:dyDescent="0.35">
      <c r="A2" s="181"/>
      <c r="B2" s="260" t="s">
        <v>149</v>
      </c>
      <c r="C2" s="261"/>
      <c r="D2" s="261"/>
      <c r="E2" s="262"/>
      <c r="F2" s="262"/>
      <c r="G2" s="262"/>
      <c r="H2" s="262"/>
      <c r="I2" s="263"/>
      <c r="J2" s="263"/>
      <c r="K2" s="181"/>
      <c r="L2" s="247"/>
      <c r="M2" s="247"/>
      <c r="N2" s="181"/>
      <c r="O2" s="181"/>
      <c r="P2" s="181"/>
      <c r="Q2" s="181"/>
      <c r="S2" s="121"/>
    </row>
    <row r="3" spans="1:48" s="3" customFormat="1" ht="5.15" customHeight="1" x14ac:dyDescent="0.3">
      <c r="A3" s="182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249"/>
      <c r="M3" s="249"/>
      <c r="N3" s="183"/>
      <c r="O3" s="184"/>
      <c r="P3" s="184"/>
      <c r="Q3" s="184"/>
      <c r="R3" s="4"/>
      <c r="S3" s="5"/>
      <c r="T3" s="5"/>
      <c r="U3" s="4"/>
      <c r="V3" s="5"/>
      <c r="W3" s="5"/>
      <c r="X3" s="4"/>
      <c r="Y3" s="4"/>
      <c r="Z3" s="5"/>
      <c r="AA3" s="5"/>
      <c r="AB3" s="4"/>
      <c r="AC3" s="5"/>
      <c r="AD3" s="5"/>
      <c r="AE3" s="4"/>
      <c r="AF3" s="5"/>
      <c r="AG3" s="5"/>
      <c r="AH3" s="4"/>
      <c r="AI3" s="5"/>
      <c r="AJ3" s="5"/>
      <c r="AK3" s="4"/>
      <c r="AL3" s="5"/>
      <c r="AM3" s="5"/>
      <c r="AN3" s="4"/>
      <c r="AO3" s="5"/>
      <c r="AP3" s="5"/>
      <c r="AQ3" s="4"/>
      <c r="AR3" s="5"/>
      <c r="AS3" s="5"/>
      <c r="AT3" s="4"/>
      <c r="AU3" s="5"/>
      <c r="AV3" s="5"/>
    </row>
    <row r="4" spans="1:48" s="20" customFormat="1" ht="10.25" customHeight="1" x14ac:dyDescent="0.35">
      <c r="A4"/>
      <c r="B4" s="122"/>
      <c r="C4" s="123"/>
      <c r="D4" s="124"/>
      <c r="E4" s="124"/>
      <c r="F4" s="124"/>
      <c r="G4" s="124"/>
      <c r="H4" s="124"/>
      <c r="I4" s="252"/>
      <c r="J4" s="18"/>
      <c r="K4" s="158"/>
      <c r="L4" s="250"/>
      <c r="M4" s="251"/>
      <c r="N4" s="158"/>
      <c r="O4" s="177"/>
      <c r="P4" s="177"/>
      <c r="Q4" s="177"/>
      <c r="R4" s="32"/>
      <c r="S4" s="33"/>
      <c r="T4" s="33"/>
      <c r="U4" s="32"/>
      <c r="V4" s="33"/>
      <c r="W4" s="33"/>
      <c r="X4" s="32"/>
      <c r="Y4" s="32"/>
      <c r="Z4" s="33"/>
      <c r="AA4" s="33"/>
      <c r="AB4" s="32"/>
      <c r="AC4" s="33"/>
      <c r="AD4" s="33"/>
      <c r="AE4" s="32"/>
      <c r="AF4" s="33"/>
      <c r="AG4" s="33"/>
      <c r="AH4" s="32"/>
      <c r="AI4" s="33"/>
      <c r="AJ4" s="33"/>
      <c r="AK4" s="32"/>
      <c r="AL4" s="33"/>
      <c r="AM4" s="33"/>
      <c r="AN4" s="32"/>
      <c r="AO4" s="33"/>
      <c r="AP4" s="33"/>
      <c r="AQ4" s="32"/>
      <c r="AR4" s="33"/>
      <c r="AS4" s="33"/>
      <c r="AT4" s="32"/>
      <c r="AU4" s="33"/>
      <c r="AV4" s="33"/>
    </row>
    <row r="5" spans="1:48" s="20" customFormat="1" ht="20" customHeight="1" x14ac:dyDescent="0.35">
      <c r="A5"/>
      <c r="B5" s="125"/>
      <c r="C5" s="126" t="s">
        <v>1</v>
      </c>
      <c r="D5" s="272" t="s">
        <v>150</v>
      </c>
      <c r="E5" s="126"/>
      <c r="F5" s="185" t="s">
        <v>39</v>
      </c>
      <c r="G5" s="110"/>
      <c r="H5" s="110"/>
      <c r="I5" s="186">
        <f>'1. Controle de Contrato'!$J$11</f>
        <v>7.0000000000000007E-2</v>
      </c>
      <c r="J5" s="53"/>
      <c r="K5" s="158"/>
      <c r="L5" s="177"/>
      <c r="M5" s="177"/>
      <c r="N5" s="158"/>
      <c r="O5" s="177"/>
      <c r="P5" s="177"/>
      <c r="Q5" s="177"/>
      <c r="R5" s="32"/>
      <c r="S5" s="33"/>
      <c r="T5" s="33"/>
      <c r="U5" s="32"/>
      <c r="V5" s="33"/>
      <c r="W5" s="33"/>
      <c r="X5" s="32"/>
      <c r="Y5" s="32"/>
      <c r="Z5" s="33"/>
      <c r="AA5" s="33"/>
      <c r="AB5" s="32"/>
      <c r="AC5" s="33"/>
      <c r="AD5" s="33"/>
      <c r="AE5" s="32"/>
      <c r="AF5" s="33"/>
      <c r="AG5" s="33"/>
      <c r="AH5" s="32"/>
      <c r="AI5" s="33"/>
      <c r="AJ5" s="33"/>
      <c r="AK5" s="32"/>
      <c r="AL5" s="33"/>
      <c r="AM5" s="33"/>
      <c r="AN5" s="32"/>
      <c r="AO5" s="33"/>
      <c r="AP5" s="33"/>
      <c r="AQ5" s="32"/>
      <c r="AR5" s="33"/>
      <c r="AS5" s="33"/>
      <c r="AT5" s="32"/>
      <c r="AU5" s="33"/>
      <c r="AV5" s="33"/>
    </row>
    <row r="6" spans="1:48" s="20" customFormat="1" ht="20" customHeight="1" x14ac:dyDescent="0.35">
      <c r="A6"/>
      <c r="B6" s="125"/>
      <c r="C6" s="126" t="s">
        <v>5</v>
      </c>
      <c r="D6" s="127" t="str">
        <f>'1. Controle de Contrato'!D7</f>
        <v>GIL REVEST</v>
      </c>
      <c r="E6" s="126"/>
      <c r="F6" s="175" t="s">
        <v>40</v>
      </c>
      <c r="G6" s="178"/>
      <c r="H6" s="178"/>
      <c r="I6" s="253">
        <f>'1. Controle de Contrato'!J5</f>
        <v>270307</v>
      </c>
      <c r="J6" s="53"/>
      <c r="K6" s="158"/>
      <c r="L6" s="259"/>
      <c r="M6" s="177"/>
      <c r="N6" s="158"/>
      <c r="O6" s="177"/>
      <c r="P6" s="177"/>
      <c r="Q6" s="177"/>
      <c r="R6" s="32"/>
      <c r="S6" s="76" t="s">
        <v>26</v>
      </c>
      <c r="T6" s="316">
        <v>45931</v>
      </c>
      <c r="U6" s="32"/>
      <c r="V6" s="76" t="s">
        <v>26</v>
      </c>
      <c r="W6" s="316">
        <v>45962</v>
      </c>
      <c r="X6" s="32"/>
      <c r="Y6" s="32"/>
      <c r="Z6" s="76" t="s">
        <v>26</v>
      </c>
      <c r="AA6" s="316">
        <v>45992</v>
      </c>
      <c r="AB6" s="32"/>
      <c r="AC6" s="76" t="s">
        <v>26</v>
      </c>
      <c r="AD6" s="316">
        <v>46113</v>
      </c>
      <c r="AE6" s="32"/>
      <c r="AF6" s="76" t="s">
        <v>26</v>
      </c>
      <c r="AG6" s="316">
        <v>46113</v>
      </c>
      <c r="AH6" s="32"/>
      <c r="AI6" s="76" t="s">
        <v>26</v>
      </c>
      <c r="AJ6" s="77"/>
      <c r="AK6" s="32"/>
      <c r="AL6" s="76" t="s">
        <v>26</v>
      </c>
      <c r="AM6" s="77"/>
      <c r="AN6" s="32"/>
      <c r="AO6" s="76" t="s">
        <v>26</v>
      </c>
      <c r="AP6" s="77"/>
      <c r="AQ6" s="32"/>
      <c r="AR6" s="76" t="s">
        <v>26</v>
      </c>
      <c r="AS6" s="77"/>
      <c r="AT6" s="32"/>
      <c r="AU6" s="76" t="s">
        <v>26</v>
      </c>
      <c r="AV6" s="77"/>
    </row>
    <row r="7" spans="1:48" s="20" customFormat="1" ht="20" customHeight="1" x14ac:dyDescent="0.35">
      <c r="A7"/>
      <c r="B7" s="125"/>
      <c r="C7" s="126" t="s">
        <v>8</v>
      </c>
      <c r="D7" s="127" t="str">
        <f>'1. Controle de Contrato'!D9</f>
        <v>CTF/2681</v>
      </c>
      <c r="E7" s="126"/>
      <c r="F7" s="175" t="s">
        <v>41</v>
      </c>
      <c r="G7" s="176"/>
      <c r="H7" s="176"/>
      <c r="I7" s="253">
        <f>M13</f>
        <v>101067.8</v>
      </c>
      <c r="J7" s="53"/>
      <c r="K7" s="158"/>
      <c r="L7" s="177"/>
      <c r="M7" s="177"/>
      <c r="N7" s="158"/>
      <c r="O7" s="177"/>
      <c r="P7" s="177"/>
      <c r="Q7" s="177"/>
      <c r="R7" s="32"/>
      <c r="S7" s="76" t="s">
        <v>27</v>
      </c>
      <c r="T7" s="78">
        <v>45951</v>
      </c>
      <c r="U7" s="32"/>
      <c r="V7" s="76" t="s">
        <v>27</v>
      </c>
      <c r="W7" s="78">
        <v>45985</v>
      </c>
      <c r="X7" s="32"/>
      <c r="Y7" s="32"/>
      <c r="Z7" s="76" t="s">
        <v>27</v>
      </c>
      <c r="AA7" s="78">
        <v>46014</v>
      </c>
      <c r="AB7" s="32"/>
      <c r="AC7" s="76" t="s">
        <v>27</v>
      </c>
      <c r="AD7" s="78">
        <v>46134</v>
      </c>
      <c r="AE7" s="32"/>
      <c r="AF7" s="76" t="s">
        <v>27</v>
      </c>
      <c r="AG7" s="78">
        <v>46139</v>
      </c>
      <c r="AH7" s="32"/>
      <c r="AI7" s="76" t="s">
        <v>27</v>
      </c>
      <c r="AJ7" s="78"/>
      <c r="AK7" s="32"/>
      <c r="AL7" s="76" t="s">
        <v>27</v>
      </c>
      <c r="AM7" s="78"/>
      <c r="AN7" s="32"/>
      <c r="AO7" s="76" t="s">
        <v>27</v>
      </c>
      <c r="AP7" s="78"/>
      <c r="AQ7" s="32"/>
      <c r="AR7" s="76" t="s">
        <v>27</v>
      </c>
      <c r="AS7" s="78"/>
      <c r="AT7" s="32"/>
      <c r="AU7" s="76" t="s">
        <v>27</v>
      </c>
      <c r="AV7" s="78"/>
    </row>
    <row r="8" spans="1:48" s="20" customFormat="1" ht="20" customHeight="1" x14ac:dyDescent="0.35">
      <c r="A8"/>
      <c r="B8" s="125"/>
      <c r="C8" s="126" t="s">
        <v>10</v>
      </c>
      <c r="D8" s="127" t="str">
        <f>'1. Controle de Contrato'!D11</f>
        <v>M.O EXECUÇÃO PISO E AZULEJO</v>
      </c>
      <c r="E8" s="126"/>
      <c r="F8" s="156" t="s">
        <v>42</v>
      </c>
      <c r="G8" s="157"/>
      <c r="H8" s="157"/>
      <c r="I8" s="254">
        <f>$I$6-$I$7</f>
        <v>169239.2</v>
      </c>
      <c r="J8" s="22"/>
      <c r="K8" s="158"/>
      <c r="L8" s="110"/>
      <c r="M8" s="110"/>
      <c r="N8" s="110"/>
      <c r="O8" s="110"/>
      <c r="P8" s="110"/>
      <c r="Q8" s="110"/>
      <c r="T8" s="79">
        <f>S9</f>
        <v>1</v>
      </c>
      <c r="W8" s="79">
        <f>V9</f>
        <v>2</v>
      </c>
      <c r="AA8" s="79">
        <f>Z9</f>
        <v>3</v>
      </c>
      <c r="AD8" s="79">
        <f>AC9</f>
        <v>4</v>
      </c>
      <c r="AG8" s="79">
        <f>AF9</f>
        <v>5</v>
      </c>
      <c r="AJ8" s="79">
        <f>AI9</f>
        <v>6</v>
      </c>
      <c r="AM8" s="79">
        <f>AL9</f>
        <v>7</v>
      </c>
      <c r="AP8" s="79">
        <f>AO9</f>
        <v>8</v>
      </c>
      <c r="AS8" s="79">
        <f>AR9</f>
        <v>9</v>
      </c>
      <c r="AV8" s="79">
        <f>AU9</f>
        <v>10</v>
      </c>
    </row>
    <row r="9" spans="1:48" s="20" customFormat="1" ht="20" customHeight="1" x14ac:dyDescent="0.35">
      <c r="A9"/>
      <c r="B9" s="128"/>
      <c r="C9" s="129"/>
      <c r="D9" s="130"/>
      <c r="E9" s="130"/>
      <c r="F9" s="130"/>
      <c r="G9" s="130"/>
      <c r="H9" s="130"/>
      <c r="I9" s="255"/>
      <c r="J9" s="26"/>
      <c r="K9" s="158"/>
      <c r="L9" s="159" t="s">
        <v>43</v>
      </c>
      <c r="M9" s="160"/>
      <c r="N9" s="158"/>
      <c r="O9" s="159" t="s">
        <v>44</v>
      </c>
      <c r="P9" s="161"/>
      <c r="Q9" s="160"/>
      <c r="R9" s="32"/>
      <c r="S9" s="68">
        <v>1</v>
      </c>
      <c r="T9" s="69"/>
      <c r="U9" s="32"/>
      <c r="V9" s="68">
        <f>S9+1</f>
        <v>2</v>
      </c>
      <c r="W9" s="69"/>
      <c r="X9" s="32"/>
      <c r="Y9" s="32"/>
      <c r="Z9" s="68">
        <f>V9+1</f>
        <v>3</v>
      </c>
      <c r="AA9" s="69"/>
      <c r="AB9" s="32"/>
      <c r="AC9" s="68">
        <f>Z9+1</f>
        <v>4</v>
      </c>
      <c r="AD9" s="69"/>
      <c r="AE9" s="32"/>
      <c r="AF9" s="68">
        <f>AC9+1</f>
        <v>5</v>
      </c>
      <c r="AG9" s="69"/>
      <c r="AH9" s="32"/>
      <c r="AI9" s="68">
        <f>AF9+1</f>
        <v>6</v>
      </c>
      <c r="AJ9" s="69"/>
      <c r="AK9" s="32"/>
      <c r="AL9" s="68">
        <f>AI9+1</f>
        <v>7</v>
      </c>
      <c r="AM9" s="69"/>
      <c r="AN9" s="32"/>
      <c r="AO9" s="68">
        <f>AL9+1</f>
        <v>8</v>
      </c>
      <c r="AP9" s="69"/>
      <c r="AQ9" s="32"/>
      <c r="AR9" s="68">
        <f>AO9+1</f>
        <v>9</v>
      </c>
      <c r="AS9" s="69"/>
      <c r="AT9" s="32"/>
      <c r="AU9" s="68">
        <f>AR9+1</f>
        <v>10</v>
      </c>
      <c r="AV9" s="69"/>
    </row>
    <row r="10" spans="1:48" s="20" customFormat="1" ht="5" customHeight="1" x14ac:dyDescent="0.35">
      <c r="A10" s="110"/>
      <c r="B10" s="110"/>
      <c r="C10" s="110"/>
      <c r="D10" s="110"/>
      <c r="E10" s="162"/>
      <c r="F10" s="162"/>
      <c r="G10" s="162"/>
      <c r="H10" s="162"/>
      <c r="I10" s="110"/>
      <c r="J10" s="110"/>
      <c r="K10" s="110"/>
      <c r="L10" s="110"/>
      <c r="M10" s="110"/>
      <c r="N10" s="110"/>
      <c r="O10" s="110"/>
      <c r="P10" s="110"/>
      <c r="Q10" s="110"/>
      <c r="T10" s="79">
        <f>S9</f>
        <v>1</v>
      </c>
      <c r="W10" s="79">
        <f>V9</f>
        <v>2</v>
      </c>
      <c r="AA10" s="79">
        <f>Z9</f>
        <v>3</v>
      </c>
      <c r="AD10" s="79">
        <f>AC9</f>
        <v>4</v>
      </c>
      <c r="AG10" s="79">
        <f>AF9</f>
        <v>5</v>
      </c>
      <c r="AJ10" s="79">
        <f>AI9</f>
        <v>6</v>
      </c>
      <c r="AM10" s="79">
        <f>AL9</f>
        <v>7</v>
      </c>
      <c r="AP10" s="79">
        <f>AO9</f>
        <v>8</v>
      </c>
      <c r="AS10" s="79">
        <f>AR9</f>
        <v>9</v>
      </c>
      <c r="AV10" s="79">
        <f>AU9</f>
        <v>10</v>
      </c>
    </row>
    <row r="11" spans="1:48" s="20" customFormat="1" ht="20" customHeight="1" x14ac:dyDescent="0.35">
      <c r="A11" s="110"/>
      <c r="B11" s="163" t="s">
        <v>45</v>
      </c>
      <c r="C11" s="164" t="s">
        <v>46</v>
      </c>
      <c r="D11" s="164" t="s">
        <v>47</v>
      </c>
      <c r="E11" s="164" t="s">
        <v>48</v>
      </c>
      <c r="F11" s="164" t="s">
        <v>49</v>
      </c>
      <c r="G11" s="164" t="s">
        <v>50</v>
      </c>
      <c r="H11" s="164" t="s">
        <v>51</v>
      </c>
      <c r="I11" s="164" t="s">
        <v>52</v>
      </c>
      <c r="J11" s="165"/>
      <c r="K11" s="89"/>
      <c r="L11" s="166" t="s">
        <v>49</v>
      </c>
      <c r="M11" s="167" t="s">
        <v>53</v>
      </c>
      <c r="N11" s="168"/>
      <c r="O11" s="159" t="s">
        <v>49</v>
      </c>
      <c r="P11" s="161"/>
      <c r="Q11" s="167" t="s">
        <v>53</v>
      </c>
      <c r="R11" s="6"/>
      <c r="S11" s="65" t="s">
        <v>49</v>
      </c>
      <c r="T11" s="66" t="s">
        <v>53</v>
      </c>
      <c r="U11" s="6"/>
      <c r="V11" s="65" t="s">
        <v>49</v>
      </c>
      <c r="W11" s="66" t="s">
        <v>53</v>
      </c>
      <c r="X11" s="6"/>
      <c r="Y11" s="6"/>
      <c r="Z11" s="65" t="s">
        <v>49</v>
      </c>
      <c r="AA11" s="66" t="s">
        <v>53</v>
      </c>
      <c r="AB11" s="6"/>
      <c r="AC11" s="65" t="s">
        <v>49</v>
      </c>
      <c r="AD11" s="66" t="s">
        <v>53</v>
      </c>
      <c r="AE11" s="6"/>
      <c r="AF11" s="65" t="s">
        <v>49</v>
      </c>
      <c r="AG11" s="66" t="s">
        <v>53</v>
      </c>
      <c r="AH11" s="6"/>
      <c r="AI11" s="65" t="s">
        <v>49</v>
      </c>
      <c r="AJ11" s="66" t="s">
        <v>53</v>
      </c>
      <c r="AK11" s="6"/>
      <c r="AL11" s="65" t="s">
        <v>49</v>
      </c>
      <c r="AM11" s="66" t="s">
        <v>53</v>
      </c>
      <c r="AN11" s="6"/>
      <c r="AO11" s="65" t="s">
        <v>49</v>
      </c>
      <c r="AP11" s="66" t="s">
        <v>53</v>
      </c>
      <c r="AQ11" s="6"/>
      <c r="AR11" s="65" t="s">
        <v>49</v>
      </c>
      <c r="AS11" s="66" t="s">
        <v>53</v>
      </c>
      <c r="AT11" s="6"/>
      <c r="AU11" s="65" t="s">
        <v>49</v>
      </c>
      <c r="AV11" s="66" t="s">
        <v>53</v>
      </c>
    </row>
    <row r="12" spans="1:48" s="20" customFormat="1" ht="5" customHeight="1" x14ac:dyDescent="0.35">
      <c r="A12" s="110"/>
      <c r="B12" s="89"/>
      <c r="C12" s="89"/>
      <c r="D12" s="89"/>
      <c r="E12" s="169"/>
      <c r="F12" s="169"/>
      <c r="G12" s="169"/>
      <c r="H12" s="169"/>
      <c r="I12" s="89"/>
      <c r="J12" s="89"/>
      <c r="K12" s="89"/>
      <c r="L12" s="118"/>
      <c r="M12" s="118"/>
      <c r="N12" s="89"/>
      <c r="O12" s="118"/>
      <c r="P12" s="118"/>
      <c r="Q12" s="118"/>
      <c r="R12" s="6"/>
      <c r="S12" s="36"/>
      <c r="T12" s="36"/>
      <c r="U12" s="6"/>
      <c r="V12" s="36"/>
      <c r="W12" s="36"/>
      <c r="X12" s="6"/>
      <c r="Y12" s="6"/>
      <c r="Z12" s="36"/>
      <c r="AA12" s="36"/>
      <c r="AB12" s="6"/>
      <c r="AC12" s="36"/>
      <c r="AD12" s="36"/>
      <c r="AE12" s="6"/>
      <c r="AF12" s="36"/>
      <c r="AG12" s="36"/>
      <c r="AH12" s="6"/>
      <c r="AI12" s="36"/>
      <c r="AJ12" s="36"/>
      <c r="AK12" s="6"/>
      <c r="AL12" s="36"/>
      <c r="AM12" s="36"/>
      <c r="AN12" s="6"/>
      <c r="AO12" s="36"/>
      <c r="AP12" s="36"/>
      <c r="AQ12" s="6"/>
      <c r="AR12" s="36"/>
      <c r="AS12" s="36"/>
      <c r="AT12" s="6"/>
      <c r="AU12" s="36"/>
      <c r="AV12" s="36"/>
    </row>
    <row r="13" spans="1:48" s="6" customFormat="1" ht="20" customHeight="1" x14ac:dyDescent="0.35">
      <c r="A13" s="89"/>
      <c r="B13" s="163"/>
      <c r="C13" s="8"/>
      <c r="D13" s="9" t="s">
        <v>54</v>
      </c>
      <c r="E13" s="10"/>
      <c r="F13" s="10"/>
      <c r="G13" s="10"/>
      <c r="H13" s="170">
        <f>SUMIF($B:$B,"&gt;0",H:H)</f>
        <v>1</v>
      </c>
      <c r="I13" s="171">
        <f>SUMIF($B:$B,"&gt;0",I:I)</f>
        <v>213840</v>
      </c>
      <c r="J13" s="172"/>
      <c r="K13" s="89"/>
      <c r="L13" s="173"/>
      <c r="M13" s="172">
        <f>SUMIF($B:$B,"&gt;0",M:M)</f>
        <v>101067.8</v>
      </c>
      <c r="N13" s="89"/>
      <c r="O13" s="173"/>
      <c r="P13" s="174"/>
      <c r="Q13" s="172">
        <f>SUMIF($B:$B,"&gt;0",Q:Q)</f>
        <v>112772.2</v>
      </c>
      <c r="S13" s="13"/>
      <c r="T13" s="141">
        <f>SUMIF($B:$B,"&gt;0",T:T)</f>
        <v>42170</v>
      </c>
      <c r="V13" s="13"/>
      <c r="W13" s="141">
        <f>SUMIF($B:$B,"&gt;0",W:W)</f>
        <v>27310</v>
      </c>
      <c r="Z13" s="13"/>
      <c r="AA13" s="141">
        <f>SUMIF($B:$B,"&gt;0",AA:AA)</f>
        <v>14285</v>
      </c>
      <c r="AC13" s="13"/>
      <c r="AD13" s="141">
        <f>SUMIF($B:$B,"&gt;0",AD:AD)</f>
        <v>15902.8</v>
      </c>
      <c r="AF13" s="13"/>
      <c r="AG13" s="141">
        <f>SUMIF($B:$B,"&gt;0",AG:AG)</f>
        <v>1400</v>
      </c>
      <c r="AI13" s="13"/>
      <c r="AJ13" s="141">
        <f>SUMIF($B:$B,"&gt;0",AJ:AJ)</f>
        <v>0</v>
      </c>
      <c r="AL13" s="13"/>
      <c r="AM13" s="141">
        <f>SUMIF($B:$B,"&gt;0",AM:AM)</f>
        <v>0</v>
      </c>
      <c r="AO13" s="13"/>
      <c r="AP13" s="141">
        <f>SUMIF($B:$B,"&gt;0",AP:AP)</f>
        <v>0</v>
      </c>
      <c r="AR13" s="13"/>
      <c r="AS13" s="141" t="e">
        <f>SUMIF($B:$B,"&gt;0",AS:AS)</f>
        <v>#REF!</v>
      </c>
      <c r="AU13" s="13"/>
      <c r="AV13" s="141">
        <f>SUMIF($B:$B,"&gt;0",AV:AV)</f>
        <v>0</v>
      </c>
    </row>
    <row r="14" spans="1:48" s="20" customFormat="1" ht="5" customHeight="1" x14ac:dyDescent="0.35">
      <c r="B14" s="6"/>
      <c r="C14" s="6"/>
      <c r="D14" s="6"/>
      <c r="E14" s="35"/>
      <c r="F14" s="35"/>
      <c r="G14" s="35"/>
      <c r="H14" s="169"/>
      <c r="I14" s="89"/>
      <c r="J14" s="89"/>
      <c r="K14" s="89"/>
      <c r="L14" s="118"/>
      <c r="M14" s="118"/>
      <c r="N14" s="89"/>
      <c r="O14" s="118"/>
      <c r="P14" s="118"/>
      <c r="Q14" s="118"/>
      <c r="R14" s="6"/>
      <c r="S14" s="36"/>
      <c r="T14" s="36"/>
      <c r="U14" s="6"/>
      <c r="V14" s="36"/>
      <c r="W14" s="36"/>
      <c r="X14" s="6"/>
      <c r="Y14" s="6"/>
      <c r="Z14" s="36"/>
      <c r="AA14" s="36"/>
      <c r="AB14" s="6"/>
      <c r="AC14" s="36"/>
      <c r="AD14" s="36"/>
      <c r="AE14" s="6"/>
      <c r="AF14" s="36"/>
      <c r="AG14" s="36"/>
      <c r="AH14" s="6"/>
      <c r="AI14" s="36"/>
      <c r="AJ14" s="36"/>
      <c r="AK14" s="6"/>
      <c r="AL14" s="36"/>
      <c r="AM14" s="36"/>
      <c r="AN14" s="6"/>
      <c r="AO14" s="36"/>
      <c r="AP14" s="36"/>
      <c r="AQ14" s="6"/>
      <c r="AR14" s="36"/>
      <c r="AS14" s="36"/>
      <c r="AT14" s="6"/>
      <c r="AU14" s="36"/>
      <c r="AV14" s="36"/>
    </row>
    <row r="15" spans="1:48" s="6" customFormat="1" ht="20" customHeight="1" x14ac:dyDescent="0.35">
      <c r="B15" s="217">
        <v>1</v>
      </c>
      <c r="C15" s="210"/>
      <c r="D15" s="211" t="s">
        <v>55</v>
      </c>
      <c r="E15" s="212"/>
      <c r="F15" s="212"/>
      <c r="G15" s="212"/>
      <c r="H15" s="213">
        <f>SUMIF($B:$B,$B15&amp;"."&amp;"?",H:H)</f>
        <v>1</v>
      </c>
      <c r="I15" s="214">
        <f>SUMIF($B:$B,$B15&amp;"."&amp;"?",I:I)</f>
        <v>213840</v>
      </c>
      <c r="J15" s="215"/>
      <c r="L15" s="218"/>
      <c r="M15" s="221">
        <f>SUMIF($B:$B,$B15&amp;"."&amp;"?",M:M)</f>
        <v>101067.8</v>
      </c>
      <c r="N15"/>
      <c r="O15" s="219"/>
      <c r="P15" s="220"/>
      <c r="Q15" s="221">
        <f>SUMIF($B:$B,$B15&amp;"."&amp;"?",Q:Q)</f>
        <v>112772.2</v>
      </c>
      <c r="R15"/>
      <c r="S15" s="219"/>
      <c r="T15" s="221">
        <f>SUMIF($B:$B,$B15&amp;"."&amp;"?",T:T)</f>
        <v>42170</v>
      </c>
      <c r="U15"/>
      <c r="V15" s="219"/>
      <c r="W15" s="221">
        <f>SUMIF($B:$B,$B15&amp;"."&amp;"?",W:W)</f>
        <v>27310</v>
      </c>
      <c r="X15"/>
      <c r="Y15"/>
      <c r="Z15" s="219"/>
      <c r="AA15" s="221">
        <f>SUMIF($B:$B,$B15&amp;"."&amp;"?",AA:AA)</f>
        <v>14285</v>
      </c>
      <c r="AB15"/>
      <c r="AC15" s="219"/>
      <c r="AD15" s="221">
        <f>SUMIF($B:$B,$B15&amp;"."&amp;"?",AD:AD)</f>
        <v>15902.8</v>
      </c>
      <c r="AE15"/>
      <c r="AF15" s="219"/>
      <c r="AG15" s="221">
        <f>SUMIF($B:$B,$B15&amp;"."&amp;"?",AG:AG)</f>
        <v>1400</v>
      </c>
      <c r="AH15"/>
      <c r="AI15" s="219"/>
      <c r="AJ15" s="221">
        <f>SUMIF($B:$B,$B15&amp;"."&amp;"?",AJ:AJ)</f>
        <v>0</v>
      </c>
      <c r="AK15"/>
      <c r="AL15" s="219"/>
      <c r="AM15" s="221">
        <f>SUMIF($B:$B,$B15&amp;"."&amp;"?",AM:AM)</f>
        <v>0</v>
      </c>
      <c r="AN15"/>
      <c r="AO15" s="219"/>
      <c r="AP15" s="221">
        <f>SUMIF($B:$B,$B15&amp;"."&amp;"?",AP:AP)</f>
        <v>0</v>
      </c>
      <c r="AQ15"/>
      <c r="AR15" s="219"/>
      <c r="AS15" s="221" t="e">
        <f>SUMIF($B:$B,$B15&amp;"."&amp;"?",AS:AS)</f>
        <v>#REF!</v>
      </c>
      <c r="AT15"/>
      <c r="AU15" s="219"/>
      <c r="AV15" s="221">
        <f>SUMIF($B:$B,$B15&amp;"."&amp;"?",AV:AV)</f>
        <v>0</v>
      </c>
    </row>
    <row r="16" spans="1:48" s="20" customFormat="1" ht="5" customHeight="1" x14ac:dyDescent="0.35">
      <c r="B16" s="6"/>
      <c r="C16" s="6"/>
      <c r="D16" s="6"/>
      <c r="E16" s="35"/>
      <c r="F16" s="35"/>
      <c r="G16" s="35"/>
      <c r="H16" s="35"/>
      <c r="I16" s="216"/>
      <c r="J16" s="216"/>
      <c r="K16" s="6"/>
      <c r="L16" s="36"/>
      <c r="M16" s="36"/>
      <c r="N16" s="6"/>
      <c r="O16" s="36"/>
      <c r="P16" s="36"/>
      <c r="Q16" s="6"/>
      <c r="R16" s="36"/>
      <c r="S16" s="36"/>
      <c r="T16" s="6"/>
      <c r="U16" s="36"/>
      <c r="V16" s="36"/>
      <c r="W16" s="6"/>
      <c r="X16" s="36"/>
    </row>
    <row r="17" spans="2:48" s="6" customFormat="1" ht="20" customHeight="1" x14ac:dyDescent="0.35">
      <c r="B17" s="37" t="s">
        <v>56</v>
      </c>
      <c r="C17" s="38"/>
      <c r="D17" s="189" t="s">
        <v>148</v>
      </c>
      <c r="E17" s="40"/>
      <c r="F17" s="40"/>
      <c r="G17" s="40"/>
      <c r="H17" s="151">
        <f>SUMIF($B:$B,$B17&amp;"."&amp;"*",H:H)</f>
        <v>1</v>
      </c>
      <c r="I17" s="152">
        <f>SUMIF($B:$B,$B17&amp;"."&amp;"*",I:I)</f>
        <v>213840</v>
      </c>
      <c r="J17" s="147"/>
      <c r="K17" s="89"/>
      <c r="L17" s="153"/>
      <c r="M17" s="147">
        <f>SUM(M18:M22)</f>
        <v>101067.8</v>
      </c>
      <c r="N17" s="89"/>
      <c r="O17" s="153"/>
      <c r="P17" s="154"/>
      <c r="Q17" s="147">
        <f>SUM(Q18:Q22)</f>
        <v>112772.2</v>
      </c>
      <c r="S17" s="43"/>
      <c r="T17" s="139">
        <f>SUMIF($B:$B,$B17&amp;"."&amp;"*",T:T)</f>
        <v>42170</v>
      </c>
      <c r="V17" s="43"/>
      <c r="W17" s="139">
        <f>SUMIF($B:$B,$B17&amp;"."&amp;"*",W:W)</f>
        <v>27310</v>
      </c>
      <c r="Z17" s="43"/>
      <c r="AA17" s="139">
        <f>SUMIF($B:$B,$B17&amp;"."&amp;"*",AA:AA)</f>
        <v>14285</v>
      </c>
      <c r="AC17" s="43"/>
      <c r="AD17" s="139">
        <f>SUMIF($B:$B,$B17&amp;"."&amp;"*",AD:AD)</f>
        <v>15902.8</v>
      </c>
      <c r="AF17" s="43"/>
      <c r="AG17" s="139">
        <f>SUMIF($B:$B,$B17&amp;"."&amp;"*",AG:AG)</f>
        <v>1400</v>
      </c>
      <c r="AI17" s="43"/>
      <c r="AJ17" s="139">
        <f>SUMIF($B:$B,$B17&amp;"."&amp;"*",AJ:AJ)</f>
        <v>0</v>
      </c>
      <c r="AL17" s="43"/>
      <c r="AM17" s="139">
        <f>SUMIF($B:$B,$B17&amp;"."&amp;"*",AM:AM)</f>
        <v>0</v>
      </c>
      <c r="AO17" s="43"/>
      <c r="AP17" s="139">
        <f>SUMIF($B:$B,$B17&amp;"."&amp;"*",AP:AP)</f>
        <v>0</v>
      </c>
      <c r="AR17" s="43"/>
      <c r="AS17" s="139"/>
      <c r="AU17" s="43"/>
      <c r="AV17" s="139">
        <f>SUM(AV18:AV22)</f>
        <v>0</v>
      </c>
    </row>
    <row r="18" spans="2:48" s="44" customFormat="1" ht="14.5" x14ac:dyDescent="0.35">
      <c r="B18" s="190" t="s">
        <v>57</v>
      </c>
      <c r="C18" s="191"/>
      <c r="D18" s="192" t="s">
        <v>155</v>
      </c>
      <c r="E18" s="193" t="s">
        <v>156</v>
      </c>
      <c r="F18" s="194">
        <v>1081</v>
      </c>
      <c r="G18" s="315">
        <v>20</v>
      </c>
      <c r="H18" s="202">
        <f>I18/$I$13</f>
        <v>0.10110362888140666</v>
      </c>
      <c r="I18" s="148">
        <f>F18*G18</f>
        <v>21620</v>
      </c>
      <c r="J18" s="145"/>
      <c r="K18" s="142"/>
      <c r="L18" s="155">
        <f t="shared" ref="L18:M25" si="0">SUMIF($S$11:$XFD$11,L$11,$S18:$XFD18)</f>
        <v>262.79000000000002</v>
      </c>
      <c r="M18" s="146">
        <f t="shared" si="0"/>
        <v>5255.8</v>
      </c>
      <c r="N18" s="142"/>
      <c r="O18" s="149">
        <f>P18/F18</f>
        <v>0.75690101757631822</v>
      </c>
      <c r="P18" s="150">
        <f>F18-L18</f>
        <v>818.21</v>
      </c>
      <c r="Q18" s="146">
        <f>I18-M18</f>
        <v>16364.2</v>
      </c>
      <c r="S18" s="187">
        <v>0</v>
      </c>
      <c r="T18" s="138">
        <f>S18*$G18</f>
        <v>0</v>
      </c>
      <c r="V18" s="187">
        <v>0</v>
      </c>
      <c r="W18" s="138">
        <f>V18*$G18</f>
        <v>0</v>
      </c>
      <c r="Z18" s="187">
        <v>0</v>
      </c>
      <c r="AA18" s="138">
        <f>Z18*$G18</f>
        <v>0</v>
      </c>
      <c r="AC18" s="187">
        <v>262.79000000000002</v>
      </c>
      <c r="AD18" s="138">
        <f>AC18*$G18</f>
        <v>5255.8</v>
      </c>
      <c r="AF18" s="187"/>
      <c r="AG18" s="138">
        <f>AF18*$G18</f>
        <v>0</v>
      </c>
      <c r="AI18" s="187"/>
      <c r="AJ18" s="138">
        <f>AI18*$G18</f>
        <v>0</v>
      </c>
      <c r="AL18" s="187"/>
      <c r="AM18" s="138">
        <f>AL18*$G18</f>
        <v>0</v>
      </c>
      <c r="AO18" s="187"/>
      <c r="AP18" s="138">
        <f>AO18*$G18</f>
        <v>0</v>
      </c>
      <c r="AR18" s="187"/>
      <c r="AS18" s="138">
        <f>AR18*$G18</f>
        <v>0</v>
      </c>
      <c r="AU18" s="187"/>
      <c r="AV18" s="138">
        <f>AU18*$G18</f>
        <v>0</v>
      </c>
    </row>
    <row r="19" spans="2:48" s="44" customFormat="1" ht="14.5" x14ac:dyDescent="0.35">
      <c r="B19" s="190" t="s">
        <v>58</v>
      </c>
      <c r="C19" s="191"/>
      <c r="D19" s="192" t="s">
        <v>157</v>
      </c>
      <c r="E19" s="193" t="s">
        <v>156</v>
      </c>
      <c r="F19" s="194">
        <v>3028</v>
      </c>
      <c r="G19" s="315">
        <v>25</v>
      </c>
      <c r="H19" s="202">
        <f t="shared" ref="H19:H22" si="1">I19/$I$13</f>
        <v>0.35400299289188181</v>
      </c>
      <c r="I19" s="148">
        <f t="shared" ref="I19:I22" si="2">F19*G19</f>
        <v>75700</v>
      </c>
      <c r="J19" s="145"/>
      <c r="K19" s="142"/>
      <c r="L19" s="155">
        <f>SUMIF($S$11:$XFD$11,L$11,$S19:$XFD19)</f>
        <v>2046.2</v>
      </c>
      <c r="M19" s="146">
        <f t="shared" si="0"/>
        <v>51155</v>
      </c>
      <c r="N19" s="142"/>
      <c r="O19" s="149">
        <f t="shared" ref="O19:O22" si="3">P19/F19</f>
        <v>0.32424042272126813</v>
      </c>
      <c r="P19" s="150">
        <f t="shared" ref="P19:P22" si="4">F19-L19</f>
        <v>981.8</v>
      </c>
      <c r="Q19" s="146">
        <f t="shared" ref="Q19:Q22" si="5">I19-M19</f>
        <v>24545</v>
      </c>
      <c r="S19" s="187">
        <v>1013</v>
      </c>
      <c r="T19" s="138">
        <f t="shared" ref="T19:T22" si="6">S19*$G19</f>
        <v>25325</v>
      </c>
      <c r="V19" s="187">
        <v>581</v>
      </c>
      <c r="W19" s="138">
        <f t="shared" ref="W19:W30" si="7">V19*$G19</f>
        <v>14525</v>
      </c>
      <c r="Z19" s="187">
        <v>238</v>
      </c>
      <c r="AA19" s="138">
        <f t="shared" ref="AA19:AA30" si="8">Z19*$G19</f>
        <v>5950</v>
      </c>
      <c r="AC19" s="287">
        <v>214.2</v>
      </c>
      <c r="AD19" s="138">
        <f t="shared" ref="AD19:AD30" si="9">AC19*$G19</f>
        <v>5355</v>
      </c>
      <c r="AF19" s="311"/>
      <c r="AG19" s="138">
        <f t="shared" ref="AG19:AG22" si="10">AF19*$G19</f>
        <v>0</v>
      </c>
      <c r="AI19" s="311"/>
      <c r="AJ19" s="138"/>
      <c r="AL19" s="311"/>
      <c r="AM19" s="138"/>
      <c r="AO19" s="187"/>
      <c r="AP19" s="138"/>
      <c r="AR19" s="187"/>
      <c r="AS19" s="138"/>
      <c r="AU19" s="187"/>
      <c r="AV19" s="138"/>
    </row>
    <row r="20" spans="2:48" s="44" customFormat="1" ht="14.5" x14ac:dyDescent="0.35">
      <c r="B20" s="190" t="s">
        <v>91</v>
      </c>
      <c r="C20" s="191"/>
      <c r="D20" s="192" t="s">
        <v>158</v>
      </c>
      <c r="E20" s="193" t="s">
        <v>159</v>
      </c>
      <c r="F20" s="194">
        <v>337</v>
      </c>
      <c r="G20" s="315">
        <v>10</v>
      </c>
      <c r="H20" s="202">
        <f t="shared" si="1"/>
        <v>1.5759446315001872E-2</v>
      </c>
      <c r="I20" s="148">
        <f t="shared" si="2"/>
        <v>3370</v>
      </c>
      <c r="J20" s="145"/>
      <c r="K20" s="142"/>
      <c r="L20" s="155">
        <f t="shared" si="0"/>
        <v>204</v>
      </c>
      <c r="M20" s="146">
        <f t="shared" si="0"/>
        <v>2040</v>
      </c>
      <c r="N20" s="142"/>
      <c r="O20" s="149">
        <f t="shared" si="3"/>
        <v>0.39465875370919884</v>
      </c>
      <c r="P20" s="150">
        <f t="shared" si="4"/>
        <v>133</v>
      </c>
      <c r="Q20" s="146">
        <f t="shared" si="5"/>
        <v>1330</v>
      </c>
      <c r="S20" s="187">
        <v>0</v>
      </c>
      <c r="T20" s="138">
        <f t="shared" si="6"/>
        <v>0</v>
      </c>
      <c r="V20" s="187">
        <v>155</v>
      </c>
      <c r="W20" s="138">
        <f t="shared" si="7"/>
        <v>1550</v>
      </c>
      <c r="Z20" s="287">
        <v>49</v>
      </c>
      <c r="AA20" s="138">
        <f t="shared" si="8"/>
        <v>490</v>
      </c>
      <c r="AC20" s="311">
        <v>0</v>
      </c>
      <c r="AD20" s="138">
        <f t="shared" si="9"/>
        <v>0</v>
      </c>
      <c r="AF20" s="311"/>
      <c r="AG20" s="138">
        <f t="shared" si="10"/>
        <v>0</v>
      </c>
      <c r="AI20" s="311"/>
      <c r="AJ20" s="138"/>
      <c r="AL20" s="311"/>
      <c r="AM20" s="138"/>
      <c r="AO20" s="187"/>
      <c r="AP20" s="138"/>
      <c r="AR20" s="187"/>
      <c r="AS20" s="138"/>
      <c r="AU20" s="187"/>
      <c r="AV20" s="138"/>
    </row>
    <row r="21" spans="2:48" s="44" customFormat="1" ht="14.5" x14ac:dyDescent="0.35">
      <c r="B21" s="190" t="s">
        <v>92</v>
      </c>
      <c r="C21" s="191"/>
      <c r="D21" s="192" t="s">
        <v>160</v>
      </c>
      <c r="E21" s="193" t="s">
        <v>159</v>
      </c>
      <c r="F21" s="194">
        <v>353</v>
      </c>
      <c r="G21" s="315">
        <v>25</v>
      </c>
      <c r="H21" s="202">
        <f t="shared" si="1"/>
        <v>4.1269173213617658E-2</v>
      </c>
      <c r="I21" s="148">
        <f t="shared" si="2"/>
        <v>8825</v>
      </c>
      <c r="J21" s="145"/>
      <c r="K21" s="142"/>
      <c r="L21" s="155">
        <f t="shared" si="0"/>
        <v>197</v>
      </c>
      <c r="M21" s="146">
        <f t="shared" si="0"/>
        <v>4925</v>
      </c>
      <c r="N21" s="142"/>
      <c r="O21" s="149">
        <f t="shared" si="3"/>
        <v>0.44192634560906513</v>
      </c>
      <c r="P21" s="150">
        <f t="shared" si="4"/>
        <v>156</v>
      </c>
      <c r="Q21" s="146">
        <f t="shared" si="5"/>
        <v>3900</v>
      </c>
      <c r="S21" s="187">
        <v>0</v>
      </c>
      <c r="T21" s="138">
        <f t="shared" si="6"/>
        <v>0</v>
      </c>
      <c r="V21" s="187">
        <v>120</v>
      </c>
      <c r="W21" s="138">
        <f t="shared" si="7"/>
        <v>3000</v>
      </c>
      <c r="Z21" s="287">
        <v>21</v>
      </c>
      <c r="AA21" s="138">
        <f t="shared" si="8"/>
        <v>525</v>
      </c>
      <c r="AC21" s="311">
        <v>0</v>
      </c>
      <c r="AD21" s="138">
        <f t="shared" si="9"/>
        <v>0</v>
      </c>
      <c r="AF21" s="311">
        <v>56</v>
      </c>
      <c r="AG21" s="138">
        <f t="shared" si="10"/>
        <v>1400</v>
      </c>
      <c r="AI21" s="311"/>
      <c r="AJ21" s="138"/>
      <c r="AL21" s="311"/>
      <c r="AM21" s="138"/>
      <c r="AO21" s="187"/>
      <c r="AP21" s="138"/>
      <c r="AR21" s="187"/>
      <c r="AS21" s="138"/>
      <c r="AU21" s="187"/>
      <c r="AV21" s="138"/>
    </row>
    <row r="22" spans="2:48" s="44" customFormat="1" ht="14.5" x14ac:dyDescent="0.35">
      <c r="B22" s="190" t="s">
        <v>93</v>
      </c>
      <c r="C22" s="191"/>
      <c r="D22" s="192" t="s">
        <v>161</v>
      </c>
      <c r="E22" s="193" t="s">
        <v>159</v>
      </c>
      <c r="F22" s="194">
        <v>6955</v>
      </c>
      <c r="G22" s="315">
        <v>15</v>
      </c>
      <c r="H22" s="202">
        <f t="shared" si="1"/>
        <v>0.48786475869809204</v>
      </c>
      <c r="I22" s="148">
        <f t="shared" si="2"/>
        <v>104325</v>
      </c>
      <c r="J22" s="145"/>
      <c r="K22" s="142"/>
      <c r="L22" s="155">
        <f t="shared" si="0"/>
        <v>2512.8000000000002</v>
      </c>
      <c r="M22" s="146">
        <f t="shared" si="0"/>
        <v>37692</v>
      </c>
      <c r="N22" s="142"/>
      <c r="O22" s="149">
        <f t="shared" si="3"/>
        <v>0.63870596693026593</v>
      </c>
      <c r="P22" s="150">
        <f t="shared" si="4"/>
        <v>4442.2</v>
      </c>
      <c r="Q22" s="146">
        <f t="shared" si="5"/>
        <v>66633</v>
      </c>
      <c r="S22" s="187">
        <v>1123</v>
      </c>
      <c r="T22" s="138">
        <f t="shared" si="6"/>
        <v>16845</v>
      </c>
      <c r="V22" s="187">
        <v>549</v>
      </c>
      <c r="W22" s="138">
        <f t="shared" si="7"/>
        <v>8235</v>
      </c>
      <c r="Z22" s="187">
        <v>488</v>
      </c>
      <c r="AA22" s="138">
        <f t="shared" si="8"/>
        <v>7320</v>
      </c>
      <c r="AC22" s="287">
        <v>352.8</v>
      </c>
      <c r="AD22" s="138">
        <f t="shared" si="9"/>
        <v>5292</v>
      </c>
      <c r="AF22" s="311"/>
      <c r="AG22" s="138">
        <f t="shared" si="10"/>
        <v>0</v>
      </c>
      <c r="AI22" s="311"/>
      <c r="AJ22" s="138"/>
      <c r="AL22" s="311"/>
      <c r="AM22" s="138"/>
      <c r="AO22" s="187"/>
      <c r="AP22" s="138"/>
      <c r="AR22" s="187"/>
      <c r="AS22" s="138"/>
      <c r="AU22" s="187"/>
      <c r="AV22" s="138"/>
    </row>
    <row r="23" spans="2:48" s="44" customFormat="1" ht="14.5" hidden="1" x14ac:dyDescent="0.35">
      <c r="B23" s="190" t="s">
        <v>93</v>
      </c>
      <c r="C23" s="191"/>
      <c r="D23" s="192"/>
      <c r="E23" s="193"/>
      <c r="F23" s="194"/>
      <c r="G23" s="257"/>
      <c r="H23" s="202">
        <f t="shared" ref="H23:H25" si="11">I23/$I$13</f>
        <v>0</v>
      </c>
      <c r="I23" s="148">
        <f t="shared" ref="I23:I25" si="12">F23*G23</f>
        <v>0</v>
      </c>
      <c r="J23" s="145"/>
      <c r="K23" s="142"/>
      <c r="L23" s="155">
        <f t="shared" si="0"/>
        <v>0</v>
      </c>
      <c r="M23" s="146">
        <f t="shared" si="0"/>
        <v>0</v>
      </c>
      <c r="N23" s="142"/>
      <c r="O23" s="149" t="e">
        <f t="shared" ref="O23:O25" si="13">P23/F23</f>
        <v>#DIV/0!</v>
      </c>
      <c r="P23" s="150">
        <f t="shared" ref="P23:P25" si="14">F23-L23</f>
        <v>0</v>
      </c>
      <c r="Q23" s="146">
        <f t="shared" ref="Q23:Q25" si="15">I23-M23</f>
        <v>0</v>
      </c>
      <c r="S23" s="187"/>
      <c r="T23" s="138">
        <f t="shared" ref="T23:T25" si="16">S23*$G23</f>
        <v>0</v>
      </c>
      <c r="V23" s="187"/>
      <c r="W23" s="138">
        <f t="shared" si="7"/>
        <v>0</v>
      </c>
      <c r="Z23" s="187"/>
      <c r="AA23" s="138">
        <f t="shared" si="8"/>
        <v>0</v>
      </c>
      <c r="AC23" s="187"/>
      <c r="AD23" s="138">
        <f t="shared" si="9"/>
        <v>0</v>
      </c>
      <c r="AF23" s="187"/>
      <c r="AG23" s="138">
        <f t="shared" ref="AG23:AG25" si="17">AF23*$G23</f>
        <v>0</v>
      </c>
      <c r="AI23" s="187"/>
      <c r="AJ23" s="138">
        <f t="shared" ref="AJ23:AJ25" si="18">AI23*$G23</f>
        <v>0</v>
      </c>
      <c r="AL23" s="187"/>
      <c r="AM23" s="138">
        <f t="shared" ref="AM23:AM25" si="19">AL23*$G23</f>
        <v>0</v>
      </c>
      <c r="AO23" s="187"/>
      <c r="AP23" s="138">
        <f t="shared" ref="AP23:AP25" si="20">AO23*$G23</f>
        <v>0</v>
      </c>
      <c r="AR23" s="187"/>
      <c r="AS23" s="138">
        <f t="shared" ref="AS23:AS25" si="21">AR23*$G23</f>
        <v>0</v>
      </c>
      <c r="AU23" s="187"/>
      <c r="AV23" s="138">
        <f t="shared" ref="AV23:AV25" si="22">AU23*$G23</f>
        <v>0</v>
      </c>
    </row>
    <row r="24" spans="2:48" s="44" customFormat="1" ht="14.5" hidden="1" x14ac:dyDescent="0.35">
      <c r="B24" s="190" t="s">
        <v>94</v>
      </c>
      <c r="C24" s="191"/>
      <c r="D24" s="192"/>
      <c r="E24" s="193"/>
      <c r="F24" s="194"/>
      <c r="G24" s="257"/>
      <c r="H24" s="202">
        <f t="shared" si="11"/>
        <v>0</v>
      </c>
      <c r="I24" s="148">
        <f t="shared" si="12"/>
        <v>0</v>
      </c>
      <c r="J24" s="145"/>
      <c r="K24" s="142"/>
      <c r="L24" s="155">
        <f t="shared" si="0"/>
        <v>0</v>
      </c>
      <c r="M24" s="146">
        <f t="shared" si="0"/>
        <v>0</v>
      </c>
      <c r="N24" s="142"/>
      <c r="O24" s="149" t="e">
        <f t="shared" si="13"/>
        <v>#DIV/0!</v>
      </c>
      <c r="P24" s="150">
        <f t="shared" si="14"/>
        <v>0</v>
      </c>
      <c r="Q24" s="146">
        <f t="shared" si="15"/>
        <v>0</v>
      </c>
      <c r="S24" s="187"/>
      <c r="T24" s="138">
        <f t="shared" si="16"/>
        <v>0</v>
      </c>
      <c r="V24" s="187"/>
      <c r="W24" s="138">
        <f t="shared" si="7"/>
        <v>0</v>
      </c>
      <c r="Z24" s="187"/>
      <c r="AA24" s="138">
        <f t="shared" si="8"/>
        <v>0</v>
      </c>
      <c r="AC24" s="187"/>
      <c r="AD24" s="138">
        <f t="shared" si="9"/>
        <v>0</v>
      </c>
      <c r="AF24" s="187"/>
      <c r="AG24" s="138">
        <f t="shared" si="17"/>
        <v>0</v>
      </c>
      <c r="AI24" s="187"/>
      <c r="AJ24" s="138">
        <f t="shared" si="18"/>
        <v>0</v>
      </c>
      <c r="AL24" s="187"/>
      <c r="AM24" s="138">
        <f t="shared" si="19"/>
        <v>0</v>
      </c>
      <c r="AO24" s="187"/>
      <c r="AP24" s="138">
        <f t="shared" si="20"/>
        <v>0</v>
      </c>
      <c r="AR24" s="187"/>
      <c r="AS24" s="138">
        <f t="shared" si="21"/>
        <v>0</v>
      </c>
      <c r="AU24" s="187"/>
      <c r="AV24" s="138">
        <f t="shared" si="22"/>
        <v>0</v>
      </c>
    </row>
    <row r="25" spans="2:48" s="44" customFormat="1" ht="14.5" hidden="1" x14ac:dyDescent="0.35">
      <c r="B25" s="190" t="s">
        <v>95</v>
      </c>
      <c r="C25" s="191"/>
      <c r="D25" s="192"/>
      <c r="E25" s="193"/>
      <c r="F25" s="194"/>
      <c r="G25" s="257"/>
      <c r="H25" s="202">
        <f t="shared" si="11"/>
        <v>0</v>
      </c>
      <c r="I25" s="148">
        <f t="shared" si="12"/>
        <v>0</v>
      </c>
      <c r="J25" s="145"/>
      <c r="K25" s="142"/>
      <c r="L25" s="155">
        <f t="shared" si="0"/>
        <v>0</v>
      </c>
      <c r="M25" s="146">
        <f t="shared" si="0"/>
        <v>0</v>
      </c>
      <c r="N25" s="142"/>
      <c r="O25" s="149" t="e">
        <f t="shared" si="13"/>
        <v>#DIV/0!</v>
      </c>
      <c r="P25" s="150">
        <f t="shared" si="14"/>
        <v>0</v>
      </c>
      <c r="Q25" s="146">
        <f t="shared" si="15"/>
        <v>0</v>
      </c>
      <c r="S25" s="187"/>
      <c r="T25" s="138">
        <f t="shared" si="16"/>
        <v>0</v>
      </c>
      <c r="V25" s="187"/>
      <c r="W25" s="138">
        <f t="shared" si="7"/>
        <v>0</v>
      </c>
      <c r="Z25" s="187"/>
      <c r="AA25" s="138">
        <f t="shared" si="8"/>
        <v>0</v>
      </c>
      <c r="AC25" s="187"/>
      <c r="AD25" s="138">
        <f t="shared" si="9"/>
        <v>0</v>
      </c>
      <c r="AF25" s="187"/>
      <c r="AG25" s="138">
        <f t="shared" si="17"/>
        <v>0</v>
      </c>
      <c r="AI25" s="187"/>
      <c r="AJ25" s="138">
        <f t="shared" si="18"/>
        <v>0</v>
      </c>
      <c r="AL25" s="187"/>
      <c r="AM25" s="138">
        <f t="shared" si="19"/>
        <v>0</v>
      </c>
      <c r="AO25" s="187"/>
      <c r="AP25" s="138">
        <f t="shared" si="20"/>
        <v>0</v>
      </c>
      <c r="AR25" s="187"/>
      <c r="AS25" s="138">
        <f t="shared" si="21"/>
        <v>0</v>
      </c>
      <c r="AU25" s="187"/>
      <c r="AV25" s="138">
        <f t="shared" si="22"/>
        <v>0</v>
      </c>
    </row>
    <row r="26" spans="2:48" s="6" customFormat="1" ht="20" hidden="1" customHeight="1" x14ac:dyDescent="0.35">
      <c r="B26" s="37" t="s">
        <v>109</v>
      </c>
      <c r="C26" s="38"/>
      <c r="D26" s="189"/>
      <c r="E26" s="40"/>
      <c r="F26" s="40"/>
      <c r="G26" s="258"/>
      <c r="H26" s="151">
        <f>SUMIF($B:$B,$B26&amp;"."&amp;"*",H:H)</f>
        <v>0</v>
      </c>
      <c r="I26" s="152">
        <f>I27</f>
        <v>0</v>
      </c>
      <c r="J26" s="147"/>
      <c r="K26" s="89"/>
      <c r="L26" s="153"/>
      <c r="M26" s="147">
        <f>M27</f>
        <v>0</v>
      </c>
      <c r="N26" s="89"/>
      <c r="O26" s="153"/>
      <c r="P26" s="154"/>
      <c r="Q26" s="152">
        <f>Q27</f>
        <v>0</v>
      </c>
      <c r="S26" s="43"/>
      <c r="T26" s="139">
        <f>SUMIF($B:$B,$B26&amp;"."&amp;"*",T:T)</f>
        <v>0</v>
      </c>
      <c r="V26" s="43"/>
      <c r="W26" s="138">
        <f t="shared" si="7"/>
        <v>0</v>
      </c>
      <c r="Z26" s="43"/>
      <c r="AA26" s="138">
        <f t="shared" si="8"/>
        <v>0</v>
      </c>
      <c r="AC26" s="43"/>
      <c r="AD26" s="138">
        <f t="shared" si="9"/>
        <v>0</v>
      </c>
      <c r="AF26" s="43"/>
      <c r="AG26" s="139">
        <f>SUMIF($B:$B,$B26&amp;"."&amp;"*",AG:AG)</f>
        <v>0</v>
      </c>
      <c r="AI26" s="43"/>
      <c r="AJ26" s="139">
        <f>SUMIF($B:$B,$B26&amp;"."&amp;"*",AJ:AJ)</f>
        <v>0</v>
      </c>
      <c r="AL26" s="43"/>
      <c r="AM26" s="139">
        <f>SUMIF($B:$B,$B26&amp;"."&amp;"*",AM:AM)</f>
        <v>0</v>
      </c>
      <c r="AO26" s="43"/>
      <c r="AP26" s="139">
        <f>SUMIF($B:$B,$B26&amp;"."&amp;"*",AP:AP)</f>
        <v>0</v>
      </c>
      <c r="AR26" s="43"/>
      <c r="AS26" s="139" t="e">
        <f>SUM(#REF!)</f>
        <v>#REF!</v>
      </c>
      <c r="AU26" s="43"/>
      <c r="AV26" s="139">
        <f>SUM(AV27)</f>
        <v>0</v>
      </c>
    </row>
    <row r="27" spans="2:48" s="44" customFormat="1" ht="14.5" hidden="1" x14ac:dyDescent="0.35">
      <c r="B27" s="190" t="s">
        <v>110</v>
      </c>
      <c r="C27" s="191"/>
      <c r="D27" s="192"/>
      <c r="E27" s="193"/>
      <c r="F27" s="248"/>
      <c r="G27" s="257"/>
      <c r="H27" s="202">
        <f t="shared" ref="H27" si="23">I27/$I$13</f>
        <v>0</v>
      </c>
      <c r="I27" s="148">
        <f>F27*G27</f>
        <v>0</v>
      </c>
      <c r="J27" s="145"/>
      <c r="K27" s="142"/>
      <c r="L27" s="143"/>
      <c r="M27" s="144"/>
      <c r="N27" s="142"/>
      <c r="O27" s="149" t="e">
        <f t="shared" ref="O27" si="24">P27/F27</f>
        <v>#DIV/0!</v>
      </c>
      <c r="P27" s="150">
        <f t="shared" ref="P27" si="25">F27-L27</f>
        <v>0</v>
      </c>
      <c r="Q27" s="144">
        <f t="shared" ref="Q27" si="26">I27-M27</f>
        <v>0</v>
      </c>
      <c r="S27" s="187"/>
      <c r="T27" s="138">
        <f t="shared" ref="T27" si="27">S27*$G27</f>
        <v>0</v>
      </c>
      <c r="V27" s="187"/>
      <c r="W27" s="138">
        <f t="shared" si="7"/>
        <v>0</v>
      </c>
      <c r="Z27" s="187"/>
      <c r="AA27" s="138">
        <f t="shared" si="8"/>
        <v>0</v>
      </c>
      <c r="AC27" s="187"/>
      <c r="AD27" s="138">
        <f t="shared" si="9"/>
        <v>0</v>
      </c>
      <c r="AF27" s="187"/>
      <c r="AG27" s="138">
        <f t="shared" ref="AG27:AG30" si="28">AF27*$G27</f>
        <v>0</v>
      </c>
      <c r="AI27" s="187"/>
      <c r="AJ27" s="138">
        <f t="shared" ref="AJ27:AJ30" si="29">AI27*$G27</f>
        <v>0</v>
      </c>
      <c r="AL27" s="312"/>
      <c r="AM27" s="138">
        <f t="shared" ref="AM27:AM30" si="30">AL27*$G27</f>
        <v>0</v>
      </c>
      <c r="AO27" s="287"/>
      <c r="AP27" s="138">
        <f t="shared" ref="AP27:AP30" si="31">AO27*$G27</f>
        <v>0</v>
      </c>
      <c r="AR27" s="187"/>
      <c r="AS27" s="138">
        <f t="shared" ref="AS27:AS30" si="32">AR27*$G27</f>
        <v>0</v>
      </c>
      <c r="AU27" s="187"/>
      <c r="AV27" s="138">
        <f t="shared" ref="AV27:AV30" si="33">AU27*$G27</f>
        <v>0</v>
      </c>
    </row>
    <row r="28" spans="2:48" s="44" customFormat="1" ht="14.5" hidden="1" x14ac:dyDescent="0.35">
      <c r="B28" s="190" t="s">
        <v>97</v>
      </c>
      <c r="C28" s="191"/>
      <c r="D28" s="195"/>
      <c r="E28" s="193"/>
      <c r="F28" s="248"/>
      <c r="G28" s="257"/>
      <c r="H28" s="202">
        <f t="shared" ref="H28:H29" si="34">I28/$I$13</f>
        <v>0</v>
      </c>
      <c r="I28" s="148">
        <f t="shared" ref="I28:I29" si="35">F28*G28</f>
        <v>0</v>
      </c>
      <c r="J28" s="145"/>
      <c r="K28" s="142"/>
      <c r="L28" s="143">
        <f>SUMIF($S$11:$XFD$11,L$11,$S28:$XFD28)</f>
        <v>0</v>
      </c>
      <c r="M28" s="144">
        <f>SUMIF($S$11:$XFD$11,M$11,$S28:$XFD28)</f>
        <v>0</v>
      </c>
      <c r="N28" s="142"/>
      <c r="O28" s="149" t="e">
        <f t="shared" ref="O28:O29" si="36">P28/F28</f>
        <v>#DIV/0!</v>
      </c>
      <c r="P28" s="150">
        <f t="shared" ref="P28:P29" si="37">F28-L28</f>
        <v>0</v>
      </c>
      <c r="Q28" s="144">
        <f t="shared" ref="Q28:Q29" si="38">I28-M28</f>
        <v>0</v>
      </c>
      <c r="S28" s="187"/>
      <c r="T28" s="138">
        <f t="shared" ref="T28:T29" si="39">S28*$G28</f>
        <v>0</v>
      </c>
      <c r="V28" s="187"/>
      <c r="W28" s="138">
        <f t="shared" si="7"/>
        <v>0</v>
      </c>
      <c r="Z28" s="187"/>
      <c r="AA28" s="138">
        <f t="shared" si="8"/>
        <v>0</v>
      </c>
      <c r="AC28" s="187"/>
      <c r="AD28" s="138">
        <f t="shared" si="9"/>
        <v>0</v>
      </c>
      <c r="AF28" s="187"/>
      <c r="AG28" s="138">
        <f t="shared" si="28"/>
        <v>0</v>
      </c>
      <c r="AI28" s="187"/>
      <c r="AJ28" s="138">
        <f t="shared" si="29"/>
        <v>0</v>
      </c>
      <c r="AL28" s="187"/>
      <c r="AM28" s="138">
        <f t="shared" si="30"/>
        <v>0</v>
      </c>
      <c r="AO28" s="187"/>
      <c r="AP28" s="138">
        <f t="shared" si="31"/>
        <v>0</v>
      </c>
      <c r="AR28" s="187"/>
      <c r="AS28" s="138">
        <f t="shared" si="32"/>
        <v>0</v>
      </c>
      <c r="AU28" s="187"/>
      <c r="AV28" s="138">
        <f t="shared" si="33"/>
        <v>0</v>
      </c>
    </row>
    <row r="29" spans="2:48" s="44" customFormat="1" ht="14.5" hidden="1" x14ac:dyDescent="0.35">
      <c r="B29" s="190" t="s">
        <v>98</v>
      </c>
      <c r="C29" s="191"/>
      <c r="D29" s="192"/>
      <c r="E29" s="193"/>
      <c r="F29" s="248"/>
      <c r="G29" s="257"/>
      <c r="H29" s="202">
        <f t="shared" si="34"/>
        <v>0</v>
      </c>
      <c r="I29" s="148">
        <f t="shared" si="35"/>
        <v>0</v>
      </c>
      <c r="J29" s="145"/>
      <c r="K29" s="142"/>
      <c r="L29" s="143"/>
      <c r="M29" s="144"/>
      <c r="N29" s="142"/>
      <c r="O29" s="149" t="e">
        <f t="shared" si="36"/>
        <v>#DIV/0!</v>
      </c>
      <c r="P29" s="150">
        <f t="shared" si="37"/>
        <v>0</v>
      </c>
      <c r="Q29" s="144">
        <f t="shared" si="38"/>
        <v>0</v>
      </c>
      <c r="S29" s="187"/>
      <c r="T29" s="138">
        <f t="shared" si="39"/>
        <v>0</v>
      </c>
      <c r="V29" s="187"/>
      <c r="W29" s="138">
        <f t="shared" si="7"/>
        <v>0</v>
      </c>
      <c r="Z29" s="187"/>
      <c r="AA29" s="138">
        <f t="shared" si="8"/>
        <v>0</v>
      </c>
      <c r="AC29" s="187"/>
      <c r="AD29" s="138">
        <f t="shared" si="9"/>
        <v>0</v>
      </c>
      <c r="AF29" s="187"/>
      <c r="AG29" s="138">
        <f t="shared" si="28"/>
        <v>0</v>
      </c>
      <c r="AI29" s="187"/>
      <c r="AJ29" s="138">
        <f t="shared" si="29"/>
        <v>0</v>
      </c>
      <c r="AL29" s="187"/>
      <c r="AM29" s="138">
        <f t="shared" si="30"/>
        <v>0</v>
      </c>
      <c r="AO29" s="187"/>
      <c r="AP29" s="138">
        <f t="shared" si="31"/>
        <v>0</v>
      </c>
      <c r="AR29" s="187"/>
      <c r="AS29" s="138">
        <f t="shared" si="32"/>
        <v>0</v>
      </c>
      <c r="AU29" s="187"/>
      <c r="AV29" s="138">
        <f t="shared" si="33"/>
        <v>0</v>
      </c>
    </row>
    <row r="30" spans="2:48" s="44" customFormat="1" ht="18.649999999999999" hidden="1" customHeight="1" x14ac:dyDescent="0.35">
      <c r="B30" s="190" t="s">
        <v>99</v>
      </c>
      <c r="C30" s="191"/>
      <c r="D30" s="195"/>
      <c r="E30" s="193"/>
      <c r="F30" s="194"/>
      <c r="G30" s="257"/>
      <c r="H30" s="202">
        <f t="shared" ref="H30" si="40">I30/$I$13</f>
        <v>0</v>
      </c>
      <c r="I30" s="148">
        <f t="shared" ref="I30" si="41">F30*G30</f>
        <v>0</v>
      </c>
      <c r="J30" s="145"/>
      <c r="K30" s="142"/>
      <c r="L30" s="143"/>
      <c r="M30" s="144"/>
      <c r="N30" s="142"/>
      <c r="O30" s="149" t="e">
        <f t="shared" ref="O30" si="42">P30/F30</f>
        <v>#DIV/0!</v>
      </c>
      <c r="P30" s="150">
        <f t="shared" ref="P30" si="43">F30-L30</f>
        <v>0</v>
      </c>
      <c r="Q30" s="144">
        <f t="shared" ref="Q30" si="44">I30-M30</f>
        <v>0</v>
      </c>
      <c r="S30" s="187"/>
      <c r="T30" s="138">
        <f t="shared" ref="T30" si="45">S30*$G30</f>
        <v>0</v>
      </c>
      <c r="V30" s="187"/>
      <c r="W30" s="138">
        <f t="shared" si="7"/>
        <v>0</v>
      </c>
      <c r="Z30" s="187"/>
      <c r="AA30" s="138">
        <f t="shared" si="8"/>
        <v>0</v>
      </c>
      <c r="AC30" s="187"/>
      <c r="AD30" s="138">
        <f t="shared" si="9"/>
        <v>0</v>
      </c>
      <c r="AF30" s="187"/>
      <c r="AG30" s="138">
        <f t="shared" si="28"/>
        <v>0</v>
      </c>
      <c r="AI30" s="187"/>
      <c r="AJ30" s="138">
        <f t="shared" si="29"/>
        <v>0</v>
      </c>
      <c r="AL30" s="187"/>
      <c r="AM30" s="138">
        <f t="shared" si="30"/>
        <v>0</v>
      </c>
      <c r="AO30" s="187"/>
      <c r="AP30" s="138">
        <f t="shared" si="31"/>
        <v>0</v>
      </c>
      <c r="AR30" s="187"/>
      <c r="AS30" s="138">
        <f t="shared" si="32"/>
        <v>0</v>
      </c>
      <c r="AU30" s="187"/>
      <c r="AV30" s="138">
        <f t="shared" si="33"/>
        <v>0</v>
      </c>
    </row>
    <row r="31" spans="2:48" s="31" customFormat="1" ht="14.5" x14ac:dyDescent="0.35">
      <c r="I31" s="20"/>
      <c r="W31" s="317"/>
    </row>
    <row r="32" spans="2:48" s="6" customFormat="1" ht="20" customHeight="1" x14ac:dyDescent="0.35">
      <c r="B32" s="222" t="s">
        <v>61</v>
      </c>
      <c r="C32" s="223"/>
      <c r="D32" s="224" t="s">
        <v>62</v>
      </c>
      <c r="E32" s="225"/>
      <c r="F32" s="225"/>
      <c r="G32" s="225"/>
      <c r="H32" s="226"/>
      <c r="I32" s="227"/>
      <c r="J32" s="228"/>
      <c r="L32" s="229"/>
      <c r="M32" s="230">
        <f>SUMIF($B:$B,$B32&amp;"."&amp;"?",M:M)</f>
        <v>0</v>
      </c>
      <c r="N32"/>
      <c r="O32" s="232"/>
      <c r="P32" s="231"/>
      <c r="Q32" s="230">
        <f>SUMIF($B:$B,$B32&amp;"."&amp;"?",Q:Q)</f>
        <v>0</v>
      </c>
      <c r="R32"/>
      <c r="S32" s="232"/>
      <c r="T32" s="230">
        <f>SUMIF($B:$B,$B32&amp;"."&amp;"?",T:T)</f>
        <v>2951.9</v>
      </c>
      <c r="U32"/>
      <c r="V32" s="232"/>
      <c r="W32" s="230">
        <f>SUMIF($B:$B,$B32&amp;"."&amp;"?",W:W)</f>
        <v>1911.7000000000003</v>
      </c>
      <c r="X32"/>
      <c r="Y32"/>
      <c r="Z32" s="232"/>
      <c r="AA32" s="230">
        <f>SUMIF($B:$B,$B32&amp;"."&amp;"?",AA:AA)</f>
        <v>999.95</v>
      </c>
      <c r="AB32"/>
      <c r="AC32" s="232"/>
      <c r="AD32" s="230">
        <f>SUMIF($B:$B,$B32&amp;"."&amp;"?",AD:AD)</f>
        <v>1113.1960000000001</v>
      </c>
      <c r="AE32"/>
      <c r="AF32" s="232"/>
      <c r="AG32" s="230">
        <f>SUMIF($B:$B,$B32&amp;"."&amp;"?",AG:AG)</f>
        <v>98.000000000000014</v>
      </c>
      <c r="AH32"/>
      <c r="AI32" s="232"/>
      <c r="AJ32" s="230">
        <f>SUMIF($B:$B,$B32&amp;"."&amp;"?",AJ:AJ)</f>
        <v>0</v>
      </c>
      <c r="AK32"/>
      <c r="AL32" s="232"/>
      <c r="AM32" s="230">
        <f>SUMIF($B:$B,$B32&amp;"."&amp;"?",AM:AM)</f>
        <v>0</v>
      </c>
      <c r="AN32"/>
      <c r="AO32" s="232"/>
      <c r="AP32" s="230">
        <f>SUMIF($B:$B,$B32&amp;"."&amp;"?",AP:AP)</f>
        <v>0</v>
      </c>
      <c r="AQ32"/>
      <c r="AR32" s="232"/>
      <c r="AS32" s="230" t="e">
        <f>SUMIF($B:$B,$B32&amp;"."&amp;"?",AS:AS)</f>
        <v>#REF!</v>
      </c>
      <c r="AT32"/>
      <c r="AU32" s="232"/>
      <c r="AV32" s="230">
        <f>SUMIF($B:$B,$B32&amp;"."&amp;"?",AV:AV)</f>
        <v>0</v>
      </c>
    </row>
    <row r="33" spans="2:48" s="20" customFormat="1" ht="5" customHeight="1" x14ac:dyDescent="0.35">
      <c r="B33" s="6"/>
      <c r="C33" s="6"/>
      <c r="D33" s="6"/>
      <c r="E33" s="35"/>
      <c r="F33" s="35"/>
      <c r="G33" s="35"/>
      <c r="H33" s="35"/>
      <c r="I33" s="216"/>
      <c r="J33" s="216"/>
      <c r="K33" s="6"/>
      <c r="L33" s="36"/>
      <c r="M33" s="36"/>
      <c r="N33" s="6"/>
      <c r="O33" s="36"/>
      <c r="P33" s="36"/>
      <c r="Q33" s="6"/>
      <c r="R33" s="36"/>
      <c r="S33" s="36"/>
      <c r="T33" s="6"/>
      <c r="U33" s="36"/>
      <c r="V33" s="36"/>
      <c r="W33" s="6"/>
      <c r="X33" s="36"/>
    </row>
    <row r="34" spans="2:48" s="6" customFormat="1" ht="20" customHeight="1" x14ac:dyDescent="0.35">
      <c r="B34" s="90" t="s">
        <v>63</v>
      </c>
      <c r="C34" s="28"/>
      <c r="D34" s="28"/>
      <c r="E34" s="28"/>
      <c r="F34" s="28"/>
      <c r="G34" s="28"/>
      <c r="H34" s="28"/>
      <c r="I34" s="196" t="s">
        <v>64</v>
      </c>
      <c r="J34" s="134"/>
      <c r="L34" s="29"/>
      <c r="M34" s="30">
        <f>SUMIF($B:$B,$B34&amp;"."&amp;"*",M:M)</f>
        <v>0</v>
      </c>
      <c r="O34" s="29"/>
      <c r="P34" s="119"/>
      <c r="Q34" s="30">
        <f>SUMIF($B:$B,$B34&amp;"."&amp;"*",Q:Q)</f>
        <v>0</v>
      </c>
      <c r="S34" s="29"/>
      <c r="T34" s="30">
        <f>SUMIF($B:$B,$B34&amp;"."&amp;"*",T:T)</f>
        <v>0</v>
      </c>
      <c r="V34" s="29"/>
      <c r="W34" s="30">
        <f>SUMIF($B:$B,$B34&amp;"."&amp;"*",W:W)</f>
        <v>0</v>
      </c>
      <c r="Z34" s="29"/>
      <c r="AA34" s="30">
        <f>SUMIF($B:$B,$B34&amp;"."&amp;"*",AA:AA)</f>
        <v>0</v>
      </c>
      <c r="AC34" s="29"/>
      <c r="AD34" s="30">
        <f>SUMIF($B:$B,$B34&amp;"."&amp;"*",AD:AD)</f>
        <v>0</v>
      </c>
      <c r="AF34" s="29"/>
      <c r="AG34" s="30">
        <f>SUMIF($B:$B,$B34&amp;"."&amp;"*",AG:AG)</f>
        <v>0</v>
      </c>
      <c r="AI34" s="29"/>
      <c r="AJ34" s="30">
        <f>SUMIF($B:$B,$B34&amp;"."&amp;"*",AJ:AJ)</f>
        <v>0</v>
      </c>
      <c r="AL34" s="29"/>
      <c r="AM34" s="30">
        <f>SUMIF($B:$B,$B34&amp;"."&amp;"*",AM:AM)</f>
        <v>0</v>
      </c>
      <c r="AO34" s="29"/>
      <c r="AP34" s="30">
        <f>SUMIF($B:$B,$B34&amp;"."&amp;"*",AP:AP)</f>
        <v>0</v>
      </c>
      <c r="AR34" s="29"/>
      <c r="AS34" s="30">
        <f>SUMIF($B:$B,$B34&amp;"."&amp;"*",AS:AS)</f>
        <v>0</v>
      </c>
      <c r="AU34" s="29"/>
      <c r="AV34" s="30">
        <f>SUMIF($B:$B,$B34&amp;"."&amp;"*",AV:AV)</f>
        <v>0</v>
      </c>
    </row>
    <row r="35" spans="2:48" s="44" customFormat="1" ht="20" customHeight="1" x14ac:dyDescent="0.35">
      <c r="B35" s="197" t="s">
        <v>65</v>
      </c>
      <c r="C35" s="140"/>
      <c r="D35" s="140"/>
      <c r="E35" s="140"/>
      <c r="F35" s="140"/>
      <c r="G35" s="140"/>
      <c r="H35" s="140"/>
      <c r="I35" s="198" t="s">
        <v>66</v>
      </c>
      <c r="J35" s="135"/>
      <c r="L35" s="131"/>
      <c r="M35" s="132">
        <f>SUMIF($S$11:$XFD$11,M$11,$S35:$XFD35)</f>
        <v>0</v>
      </c>
      <c r="O35" s="136"/>
      <c r="P35" s="137"/>
      <c r="Q35" s="132">
        <f t="shared" ref="Q35:Q38" si="46">-M35</f>
        <v>0</v>
      </c>
      <c r="S35" s="131"/>
      <c r="T35" s="188"/>
      <c r="V35" s="131"/>
      <c r="W35" s="188"/>
      <c r="Z35" s="131"/>
      <c r="AA35" s="188"/>
      <c r="AC35" s="131"/>
      <c r="AD35" s="188"/>
      <c r="AF35" s="131"/>
      <c r="AG35" s="188"/>
      <c r="AI35" s="131"/>
      <c r="AJ35" s="188"/>
      <c r="AL35" s="131"/>
      <c r="AM35" s="188"/>
      <c r="AO35" s="131"/>
      <c r="AP35" s="188"/>
      <c r="AR35" s="131"/>
      <c r="AS35" s="188"/>
      <c r="AU35" s="131"/>
      <c r="AV35" s="188"/>
    </row>
    <row r="36" spans="2:48" s="44" customFormat="1" ht="20" customHeight="1" x14ac:dyDescent="0.35">
      <c r="B36" s="197" t="s">
        <v>67</v>
      </c>
      <c r="C36" s="140"/>
      <c r="D36" s="140"/>
      <c r="E36" s="140"/>
      <c r="F36" s="140"/>
      <c r="G36" s="140"/>
      <c r="H36" s="140"/>
      <c r="I36" s="198" t="s">
        <v>68</v>
      </c>
      <c r="J36" s="135"/>
      <c r="L36" s="131"/>
      <c r="M36" s="132">
        <f>SUMIF($S$11:$XFD$11,M$11,$S36:$XFD36)</f>
        <v>0</v>
      </c>
      <c r="O36" s="131"/>
      <c r="P36" s="133"/>
      <c r="Q36" s="132">
        <f t="shared" si="46"/>
        <v>0</v>
      </c>
      <c r="S36" s="131"/>
      <c r="T36" s="188"/>
      <c r="V36" s="131"/>
      <c r="W36" s="188"/>
      <c r="Z36" s="131"/>
      <c r="AA36" s="188"/>
      <c r="AC36" s="131"/>
      <c r="AD36" s="188"/>
      <c r="AF36" s="131"/>
      <c r="AG36" s="188"/>
      <c r="AI36" s="131"/>
      <c r="AJ36" s="188"/>
      <c r="AL36" s="131"/>
      <c r="AM36" s="188"/>
      <c r="AO36" s="131"/>
      <c r="AP36" s="188"/>
      <c r="AR36" s="131"/>
      <c r="AS36" s="188"/>
      <c r="AU36" s="131"/>
      <c r="AV36" s="188"/>
    </row>
    <row r="37" spans="2:48" s="44" customFormat="1" ht="20" customHeight="1" x14ac:dyDescent="0.35">
      <c r="B37" s="197" t="s">
        <v>69</v>
      </c>
      <c r="C37" s="140"/>
      <c r="D37" s="140"/>
      <c r="E37" s="140"/>
      <c r="F37" s="140"/>
      <c r="G37" s="140"/>
      <c r="H37" s="140"/>
      <c r="I37" s="198" t="s">
        <v>70</v>
      </c>
      <c r="J37" s="135"/>
      <c r="L37" s="131"/>
      <c r="M37" s="132">
        <f>SUMIF($S$11:$XFD$11,M$11,$S37:$XFD37)</f>
        <v>0</v>
      </c>
      <c r="O37" s="131"/>
      <c r="P37" s="133"/>
      <c r="Q37" s="132">
        <f t="shared" si="46"/>
        <v>0</v>
      </c>
      <c r="S37" s="131"/>
      <c r="T37" s="188"/>
      <c r="V37" s="131"/>
      <c r="W37" s="188"/>
      <c r="Z37" s="131"/>
      <c r="AA37" s="188"/>
      <c r="AC37" s="131"/>
      <c r="AD37" s="188"/>
      <c r="AF37" s="131"/>
      <c r="AG37" s="188"/>
      <c r="AI37" s="131"/>
      <c r="AJ37" s="188"/>
      <c r="AL37" s="131"/>
      <c r="AM37" s="188"/>
      <c r="AO37" s="131"/>
      <c r="AP37" s="188"/>
      <c r="AR37" s="131"/>
      <c r="AS37" s="188"/>
      <c r="AU37" s="131"/>
      <c r="AV37" s="188"/>
    </row>
    <row r="38" spans="2:48" s="44" customFormat="1" ht="20" customHeight="1" x14ac:dyDescent="0.35">
      <c r="B38" s="197" t="s">
        <v>71</v>
      </c>
      <c r="C38" s="140"/>
      <c r="D38" s="140"/>
      <c r="E38" s="140"/>
      <c r="F38" s="140"/>
      <c r="G38" s="140"/>
      <c r="H38" s="140"/>
      <c r="I38" s="198" t="s">
        <v>72</v>
      </c>
      <c r="J38" s="135"/>
      <c r="L38" s="131"/>
      <c r="M38" s="132">
        <f>SUMIF($S$11:$XFD$11,M$11,$S38:$XFD38)</f>
        <v>0</v>
      </c>
      <c r="O38" s="131"/>
      <c r="P38" s="133"/>
      <c r="Q38" s="132">
        <f t="shared" si="46"/>
        <v>0</v>
      </c>
      <c r="S38" s="131"/>
      <c r="T38" s="188"/>
      <c r="V38" s="131"/>
      <c r="W38" s="188"/>
      <c r="Z38" s="131"/>
      <c r="AA38" s="188"/>
      <c r="AC38" s="131"/>
      <c r="AD38" s="188"/>
      <c r="AF38" s="131"/>
      <c r="AG38" s="188">
        <v>0</v>
      </c>
      <c r="AI38" s="131"/>
      <c r="AJ38" s="188"/>
      <c r="AL38" s="131"/>
      <c r="AM38" s="188"/>
      <c r="AO38" s="131"/>
      <c r="AP38" s="188"/>
      <c r="AR38" s="131"/>
      <c r="AS38" s="188"/>
      <c r="AU38" s="131"/>
      <c r="AV38" s="188"/>
    </row>
    <row r="39" spans="2:48" s="31" customFormat="1" ht="5" customHeight="1" x14ac:dyDescent="0.35">
      <c r="I39" s="256"/>
    </row>
    <row r="40" spans="2:48" s="6" customFormat="1" ht="20" customHeight="1" x14ac:dyDescent="0.35">
      <c r="B40" s="90" t="s">
        <v>73</v>
      </c>
      <c r="C40" s="28"/>
      <c r="D40" s="28"/>
      <c r="E40" s="28"/>
      <c r="F40" s="28"/>
      <c r="G40" s="28"/>
      <c r="H40" s="28"/>
      <c r="I40" s="196" t="s">
        <v>74</v>
      </c>
      <c r="J40" s="134"/>
      <c r="L40" s="29"/>
      <c r="M40" s="30">
        <f>SUMIF($B:$B,$B40&amp;"."&amp;"*",M:M)</f>
        <v>0</v>
      </c>
      <c r="O40" s="29"/>
      <c r="P40" s="119"/>
      <c r="Q40" s="30">
        <f>SUMIF($B:$B,$B40&amp;"."&amp;"*",Q:Q)</f>
        <v>0</v>
      </c>
      <c r="S40" s="29"/>
      <c r="T40" s="30">
        <f>SUMIF($B:$B,$B40&amp;"."&amp;"*",T:T)</f>
        <v>2951.9</v>
      </c>
      <c r="V40" s="29"/>
      <c r="W40" s="30">
        <f>SUMIF($B:$B,$B40&amp;"."&amp;"*",W:W)</f>
        <v>1911.7000000000003</v>
      </c>
      <c r="Z40" s="29"/>
      <c r="AA40" s="30">
        <f>SUMIF($B:$B,$B40&amp;"."&amp;"*",AA:AA)</f>
        <v>999.95</v>
      </c>
      <c r="AC40" s="29"/>
      <c r="AD40" s="30">
        <f>SUMIF($B:$B,$B40&amp;"."&amp;"*",AD:AD)</f>
        <v>1113.1960000000001</v>
      </c>
      <c r="AF40" s="29"/>
      <c r="AG40" s="30">
        <f>SUMIF($B:$B,$B40&amp;"."&amp;"*",AG:AG)</f>
        <v>98.000000000000014</v>
      </c>
      <c r="AI40" s="29"/>
      <c r="AJ40" s="30">
        <f>SUMIF($B:$B,$B40&amp;"."&amp;"*",AJ:AJ)</f>
        <v>0</v>
      </c>
      <c r="AL40" s="29"/>
      <c r="AM40" s="30">
        <f>SUMIF($B:$B,$B40&amp;"."&amp;"*",AM:AM)</f>
        <v>0</v>
      </c>
      <c r="AO40" s="29"/>
      <c r="AP40" s="30">
        <f>SUMIF($B:$B,$B40&amp;"."&amp;"*",AP:AP)</f>
        <v>0</v>
      </c>
      <c r="AR40" s="29"/>
      <c r="AS40" s="30" t="e">
        <f>SUMIF($B:$B,$B40&amp;"."&amp;"*",AS:AS)</f>
        <v>#REF!</v>
      </c>
      <c r="AU40" s="29"/>
      <c r="AV40" s="30">
        <f>SUMIF($B:$B,$B40&amp;"."&amp;"*",AV:AV)</f>
        <v>0</v>
      </c>
    </row>
    <row r="41" spans="2:48" s="44" customFormat="1" ht="20" customHeight="1" x14ac:dyDescent="0.35">
      <c r="B41" s="199" t="s">
        <v>75</v>
      </c>
      <c r="C41" s="200"/>
      <c r="D41" s="200"/>
      <c r="E41" s="200"/>
      <c r="F41" s="200"/>
      <c r="G41" s="200"/>
      <c r="H41" s="200"/>
      <c r="I41" s="201" t="s">
        <v>74</v>
      </c>
      <c r="J41" s="132"/>
      <c r="L41" s="131"/>
      <c r="M41" s="132"/>
      <c r="O41" s="131"/>
      <c r="P41" s="133"/>
      <c r="Q41" s="132">
        <f>-M41</f>
        <v>0</v>
      </c>
      <c r="S41" s="131"/>
      <c r="T41" s="132">
        <f>T13*$I$5</f>
        <v>2951.9</v>
      </c>
      <c r="V41" s="131"/>
      <c r="W41" s="132">
        <f>W13*$I$5</f>
        <v>1911.7000000000003</v>
      </c>
      <c r="Z41" s="131"/>
      <c r="AA41" s="132">
        <f>AA13*$I$5</f>
        <v>999.95</v>
      </c>
      <c r="AC41" s="131"/>
      <c r="AD41" s="132">
        <f>AD13*$I$5</f>
        <v>1113.1960000000001</v>
      </c>
      <c r="AF41" s="131"/>
      <c r="AG41" s="132">
        <f>AG13*$I$5</f>
        <v>98.000000000000014</v>
      </c>
      <c r="AI41" s="131"/>
      <c r="AJ41" s="132">
        <f>AJ13*$I$5</f>
        <v>0</v>
      </c>
      <c r="AL41" s="131"/>
      <c r="AM41" s="132">
        <f>AM13*$I$5</f>
        <v>0</v>
      </c>
      <c r="AO41" s="131"/>
      <c r="AP41" s="132">
        <f>AP13*$I$5</f>
        <v>0</v>
      </c>
      <c r="AR41" s="131"/>
      <c r="AS41" s="132" t="e">
        <f>AS13*$I$5</f>
        <v>#REF!</v>
      </c>
      <c r="AU41" s="131"/>
      <c r="AV41" s="132">
        <f>AV13*$I$5</f>
        <v>0</v>
      </c>
    </row>
    <row r="49" spans="4:16" ht="15" customHeight="1" x14ac:dyDescent="0.35">
      <c r="D49" s="401"/>
      <c r="E49" s="401"/>
      <c r="F49" s="401"/>
      <c r="G49" s="401"/>
      <c r="H49" s="401"/>
      <c r="I49" s="402"/>
      <c r="J49" s="401"/>
      <c r="K49" s="401"/>
      <c r="L49" s="401"/>
      <c r="M49" s="401"/>
      <c r="N49" s="401"/>
      <c r="O49" s="401"/>
      <c r="P49" s="401"/>
    </row>
    <row r="108" spans="45:45" ht="15" customHeight="1" x14ac:dyDescent="0.35">
      <c r="AS108" s="401" t="s">
        <v>227</v>
      </c>
    </row>
    <row r="109" spans="45:45" ht="15" customHeight="1" x14ac:dyDescent="0.35">
      <c r="AS109" s="403">
        <f>SUM(F18:F22)</f>
        <v>11754</v>
      </c>
    </row>
  </sheetData>
  <sheetProtection insertColumns="0" insertRows="0" deleteColumns="0" deleteRows="0"/>
  <phoneticPr fontId="6" type="noConversion"/>
  <conditionalFormatting sqref="O18:O22">
    <cfRule type="iconSet" priority="20">
      <iconSet showValue="0">
        <cfvo type="percent" val="0"/>
        <cfvo type="num" val="0.2"/>
        <cfvo type="num" val="0.4"/>
      </iconSet>
    </cfRule>
  </conditionalFormatting>
  <conditionalFormatting sqref="O23:O25">
    <cfRule type="iconSet" priority="21">
      <iconSet showValue="0">
        <cfvo type="percent" val="0"/>
        <cfvo type="num" val="0.2"/>
        <cfvo type="num" val="0.4"/>
      </iconSet>
    </cfRule>
  </conditionalFormatting>
  <conditionalFormatting sqref="O27:O30">
    <cfRule type="iconSet" priority="12">
      <iconSet showValue="0">
        <cfvo type="percent" val="0"/>
        <cfvo type="num" val="0.2"/>
        <cfvo type="num" val="0.4"/>
      </iconSet>
    </cfRule>
  </conditionalFormatting>
  <dataValidations count="4">
    <dataValidation type="whole" allowBlank="1" showInputMessage="1" showErrorMessage="1" sqref="P18:P25" xr:uid="{A9BAF115-E0FB-4778-AC39-85DA2CBAF799}">
      <formula1>0</formula1>
      <formula2>F18</formula2>
    </dataValidation>
    <dataValidation type="custom" allowBlank="1" showInputMessage="1" showErrorMessage="1" errorTitle="SALDO INSUFICIENTE" error="Quantidade medida superior ao saldo disponível" sqref="V18:V25 S18:S25 S27:S30 V27:V30 AU27:AU30 AR27:AR30 Z27:Z30 AF27:AF30 AI27:AI30 AL27:AL30 AO27:AO30 AC27:AC30 Z18:Z25 AI18:AI25 AL18:AL25 AO18:AO25 AR18:AR25 AC18:AC25 AF18:AF25 AU18:AU25" xr:uid="{33EC4269-196F-4BC8-AC7C-D6E66D544EE5}">
      <formula1>SUMIFS($R18:S18,$R$11:S$11,"QUANTIDADE")&lt;=$F18</formula1>
    </dataValidation>
    <dataValidation type="custom" allowBlank="1" showInputMessage="1" showErrorMessage="1" sqref="L18:L22" xr:uid="{6333F521-A36B-4C16-ADE2-13B7F0E2F9AF}">
      <formula1>SUMIFS(R18:XFD18,R11:XFD11,"QUANTIDADE")&lt;=F18</formula1>
    </dataValidation>
    <dataValidation type="custom" allowBlank="1" showInputMessage="1" showErrorMessage="1" sqref="L23:L25" xr:uid="{DA4C4D39-0A0C-4CD4-B69E-4ED31CD9D0C8}">
      <formula1>SUMIFS(R23:XFD23,R15:XFD15,"QUANTIDADE")&lt;=F23</formula1>
    </dataValidation>
  </dataValidations>
  <pageMargins left="0.511811024" right="0.511811024" top="0.78740157499999996" bottom="0.78740157499999996" header="0.31496062000000002" footer="0.31496062000000002"/>
  <pageSetup paperSize="9" scale="22" orientation="landscape" r:id="rId1"/>
  <colBreaks count="2" manualBreakCount="2">
    <brk id="25" max="71" man="1"/>
    <brk id="27" max="71" man="1"/>
  </colBreaks>
  <ignoredErrors>
    <ignoredError sqref="N34 R34:S35 N40 T9:T10 R40:S40 H34:H41 V10:W11 I5 T8:W8 H31 R17:R18 H18 W9" unlockedFormula="1"/>
  </ignoredErrors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A6F6-11C6-4FFE-B4D8-6A3DD8CC5928}">
  <sheetPr codeName="Planilha15">
    <outlinePr summaryBelow="0"/>
  </sheetPr>
  <dimension ref="A1:AW45"/>
  <sheetViews>
    <sheetView showGridLines="0" zoomScale="70" zoomScaleNormal="70" zoomScaleSheetLayoutView="85" zoomScalePageLayoutView="85" workbookViewId="0">
      <selection activeCell="D19" sqref="D19"/>
    </sheetView>
  </sheetViews>
  <sheetFormatPr defaultColWidth="10.6328125" defaultRowHeight="15" customHeight="1" outlineLevelCol="1" x14ac:dyDescent="0.35"/>
  <cols>
    <col min="1" max="1" width="1.54296875" style="1" customWidth="1"/>
    <col min="2" max="2" width="5.453125" style="1" customWidth="1"/>
    <col min="3" max="3" width="18.36328125" style="1" customWidth="1"/>
    <col min="4" max="4" width="52" style="1" customWidth="1"/>
    <col min="5" max="5" width="10.54296875" style="2" customWidth="1"/>
    <col min="6" max="6" width="13.6328125" style="2" customWidth="1"/>
    <col min="7" max="8" width="11" style="2" customWidth="1"/>
    <col min="9" max="9" width="18.6328125" style="1" customWidth="1"/>
    <col min="10" max="11" width="0.90625" style="1" customWidth="1"/>
    <col min="12" max="12" width="19" style="1" customWidth="1"/>
    <col min="13" max="13" width="0.90625" style="1" customWidth="1"/>
    <col min="14" max="14" width="3.54296875" style="1" customWidth="1"/>
    <col min="15" max="15" width="19" style="1" customWidth="1"/>
    <col min="16" max="16" width="0.90625" style="1" customWidth="1"/>
    <col min="17" max="17" width="18.36328125" style="1" customWidth="1"/>
    <col min="18" max="18" width="0.90625" style="1" customWidth="1"/>
    <col min="19" max="19" width="18.36328125" style="1" hidden="1" customWidth="1" outlineLevel="1"/>
    <col min="20" max="20" width="0.90625" style="1" hidden="1" customWidth="1" outlineLevel="1"/>
    <col min="21" max="21" width="18.36328125" style="1" hidden="1" customWidth="1" outlineLevel="1"/>
    <col min="22" max="22" width="0.90625" style="1" hidden="1" customWidth="1" outlineLevel="1"/>
    <col min="23" max="23" width="18.36328125" style="1" hidden="1" customWidth="1" outlineLevel="1"/>
    <col min="24" max="24" width="0.90625" style="1" hidden="1" customWidth="1" outlineLevel="1"/>
    <col min="25" max="25" width="18.36328125" style="1" hidden="1" customWidth="1" outlineLevel="1"/>
    <col min="26" max="26" width="0.90625" style="1" hidden="1" customWidth="1" outlineLevel="1"/>
    <col min="27" max="27" width="18.36328125" style="1" hidden="1" customWidth="1" outlineLevel="1"/>
    <col min="28" max="28" width="0.90625" style="1" hidden="1" customWidth="1" outlineLevel="1"/>
    <col min="29" max="29" width="18.36328125" style="1" hidden="1" customWidth="1" outlineLevel="1"/>
    <col min="30" max="30" width="0.90625" style="1" hidden="1" customWidth="1" outlineLevel="1"/>
    <col min="31" max="31" width="18.36328125" style="1" hidden="1" customWidth="1" outlineLevel="1"/>
    <col min="32" max="32" width="0.90625" style="1" hidden="1" customWidth="1" outlineLevel="1"/>
    <col min="33" max="33" width="18.36328125" style="1" hidden="1" customWidth="1" outlineLevel="1"/>
    <col min="34" max="34" width="0.90625" style="1" hidden="1" customWidth="1" outlineLevel="1"/>
    <col min="35" max="35" width="18.36328125" style="1" hidden="1" customWidth="1" outlineLevel="1"/>
    <col min="36" max="36" width="10.6328125" style="1" collapsed="1"/>
    <col min="37" max="16384" width="10.6328125" style="1"/>
  </cols>
  <sheetData>
    <row r="1" spans="1:49" ht="4.5" customHeight="1" x14ac:dyDescent="0.35"/>
    <row r="2" spans="1:49" s="71" customFormat="1" ht="30" customHeight="1" x14ac:dyDescent="0.35">
      <c r="B2" s="268" t="s">
        <v>90</v>
      </c>
      <c r="C2" s="269"/>
      <c r="D2" s="269"/>
      <c r="E2" s="270"/>
      <c r="F2" s="270"/>
      <c r="G2" s="270"/>
      <c r="H2" s="270"/>
      <c r="I2" s="271"/>
      <c r="J2" s="271"/>
    </row>
    <row r="3" spans="1:49" s="3" customFormat="1" ht="5.15" customHeight="1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5"/>
      <c r="O3" s="5"/>
      <c r="P3" s="4"/>
      <c r="Q3" s="5"/>
      <c r="R3" s="4"/>
      <c r="S3" s="5"/>
      <c r="T3" s="4"/>
      <c r="U3" s="5"/>
      <c r="V3" s="4"/>
      <c r="W3" s="5"/>
      <c r="X3" s="4"/>
      <c r="Y3" s="5"/>
      <c r="Z3" s="4"/>
      <c r="AA3" s="5"/>
      <c r="AB3" s="4"/>
      <c r="AC3" s="5"/>
      <c r="AD3" s="4"/>
      <c r="AE3" s="5"/>
      <c r="AF3" s="4"/>
      <c r="AG3" s="5"/>
      <c r="AH3" s="4"/>
      <c r="AI3" s="5"/>
    </row>
    <row r="4" spans="1:49" s="20" customFormat="1" ht="10.25" customHeight="1" x14ac:dyDescent="0.35">
      <c r="A4" s="31"/>
      <c r="B4" s="15"/>
      <c r="C4" s="16"/>
      <c r="D4" s="17"/>
      <c r="E4" s="17"/>
      <c r="F4" s="17"/>
      <c r="G4" s="17"/>
      <c r="H4" s="17"/>
      <c r="I4" s="57"/>
      <c r="J4" s="18"/>
      <c r="K4" s="32"/>
      <c r="L4" s="33"/>
      <c r="M4" s="32"/>
      <c r="N4" s="33"/>
      <c r="O4" s="33"/>
      <c r="P4" s="32"/>
      <c r="Q4" s="33"/>
      <c r="R4" s="32"/>
      <c r="S4" s="33"/>
      <c r="T4" s="32"/>
      <c r="U4" s="33"/>
      <c r="V4" s="32"/>
      <c r="W4" s="33"/>
      <c r="X4" s="32"/>
      <c r="Y4" s="33"/>
      <c r="Z4" s="32"/>
      <c r="AA4" s="33"/>
      <c r="AB4" s="32"/>
      <c r="AC4" s="33"/>
      <c r="AD4" s="32"/>
      <c r="AE4" s="33"/>
      <c r="AF4" s="32"/>
      <c r="AG4" s="33"/>
      <c r="AH4" s="32"/>
      <c r="AI4" s="33"/>
    </row>
    <row r="5" spans="1:49" s="20" customFormat="1" ht="20" customHeight="1" x14ac:dyDescent="0.35">
      <c r="A5" s="31"/>
      <c r="B5" s="19"/>
      <c r="C5" s="21" t="s">
        <v>1</v>
      </c>
      <c r="D5" s="274" t="str">
        <f>'1. Controle de Contrato'!$D$5</f>
        <v>BELLA VERONA</v>
      </c>
      <c r="E5" s="21"/>
      <c r="F5" s="105"/>
      <c r="I5" s="106"/>
      <c r="J5" s="53"/>
      <c r="K5" s="32"/>
      <c r="L5" s="33"/>
      <c r="M5" s="32"/>
      <c r="N5" s="33"/>
      <c r="O5" s="33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49" s="20" customFormat="1" ht="20" customHeight="1" x14ac:dyDescent="0.35">
      <c r="A6" s="31"/>
      <c r="B6" s="19"/>
      <c r="C6" s="21" t="s">
        <v>5</v>
      </c>
      <c r="D6" s="27" t="str">
        <f>'1. Controle de Contrato'!$D$7</f>
        <v>GIL REVEST</v>
      </c>
      <c r="E6" s="21"/>
      <c r="F6" s="54" t="s">
        <v>40</v>
      </c>
      <c r="G6" s="55"/>
      <c r="H6" s="55"/>
      <c r="I6" s="102">
        <f>'1. Controle de Contrato'!J9+'1. Controle de Contrato'!N9</f>
        <v>0</v>
      </c>
      <c r="J6" s="53"/>
      <c r="K6" s="32"/>
      <c r="L6" s="33"/>
      <c r="M6" s="32"/>
      <c r="N6" s="33"/>
      <c r="O6" s="76" t="s">
        <v>26</v>
      </c>
      <c r="P6"/>
      <c r="Q6" s="77"/>
      <c r="R6"/>
      <c r="S6" s="77">
        <f>IF(_xlfn.XLOOKUP(S$9,'2. Boletim de Medição'!$8:$8,'2. Boletim de Medição'!$6:$6)="","",_xlfn.XLOOKUP(S$9,'2. Boletim de Medição'!$8:$8,'2. Boletim de Medição'!$6:$6))</f>
        <v>45962</v>
      </c>
      <c r="T6"/>
      <c r="U6" s="77">
        <f>IF(_xlfn.XLOOKUP(U$9,'2. Boletim de Medição'!$8:$8,'2. Boletim de Medição'!$6:$6)="","",_xlfn.XLOOKUP(U$9,'2. Boletim de Medição'!$8:$8,'2. Boletim de Medição'!$6:$6))</f>
        <v>45992</v>
      </c>
      <c r="V6"/>
      <c r="W6" s="77">
        <f>IF(_xlfn.XLOOKUP(W$9,'2. Boletim de Medição'!$8:$8,'2. Boletim de Medição'!$6:$6)="","",_xlfn.XLOOKUP(W$9,'2. Boletim de Medição'!$8:$8,'2. Boletim de Medição'!$6:$6))</f>
        <v>46113</v>
      </c>
      <c r="X6"/>
      <c r="Y6" s="77">
        <f>IF(_xlfn.XLOOKUP(Y$9,'2. Boletim de Medição'!$8:$8,'2. Boletim de Medição'!$6:$6)="","",_xlfn.XLOOKUP(Y$9,'2. Boletim de Medição'!$8:$8,'2. Boletim de Medição'!$6:$6))</f>
        <v>46113</v>
      </c>
      <c r="Z6"/>
      <c r="AA6" s="77" t="str">
        <f>IF(_xlfn.XLOOKUP(AA$9,'2. Boletim de Medição'!$8:$8,'2. Boletim de Medição'!$6:$6)="","",_xlfn.XLOOKUP(AA$9,'2. Boletim de Medição'!$8:$8,'2. Boletim de Medição'!$6:$6))</f>
        <v/>
      </c>
      <c r="AB6"/>
      <c r="AC6" s="77" t="str">
        <f>IF(_xlfn.XLOOKUP(AC$9,'2. Boletim de Medição'!$8:$8,'2. Boletim de Medição'!$6:$6)="","",_xlfn.XLOOKUP(AC$9,'2. Boletim de Medição'!$8:$8,'2. Boletim de Medição'!$6:$6))</f>
        <v/>
      </c>
      <c r="AD6"/>
      <c r="AE6" s="77" t="str">
        <f>IF(_xlfn.XLOOKUP(AE$9,'2. Boletim de Medição'!$8:$8,'2. Boletim de Medição'!$6:$6)="","",_xlfn.XLOOKUP(AE$9,'2. Boletim de Medição'!$8:$8,'2. Boletim de Medição'!$6:$6))</f>
        <v/>
      </c>
      <c r="AF6"/>
      <c r="AG6" s="77" t="str">
        <f>IF(_xlfn.XLOOKUP(AG$9,'2. Boletim de Medição'!$8:$8,'2. Boletim de Medição'!$6:$6)="","",_xlfn.XLOOKUP(AG$9,'2. Boletim de Medição'!$8:$8,'2. Boletim de Medição'!$6:$6))</f>
        <v/>
      </c>
      <c r="AH6"/>
      <c r="AI6" s="77" t="str">
        <f>IF(_xlfn.XLOOKUP(AI$9,'2. Boletim de Medição'!$8:$8,'2. Boletim de Medição'!$6:$6)="","",_xlfn.XLOOKUP(AI$9,'2. Boletim de Medição'!$8:$8,'2. Boletim de Medição'!$6:$6))</f>
        <v/>
      </c>
    </row>
    <row r="7" spans="1:49" s="20" customFormat="1" ht="20" customHeight="1" x14ac:dyDescent="0.35">
      <c r="A7" s="31"/>
      <c r="B7" s="19"/>
      <c r="C7" s="21" t="s">
        <v>8</v>
      </c>
      <c r="D7" s="27" t="str">
        <f>'1. Controle de Contrato'!$D$9</f>
        <v>CTF/2681</v>
      </c>
      <c r="E7" s="21"/>
      <c r="F7" s="54" t="s">
        <v>41</v>
      </c>
      <c r="G7" s="56"/>
      <c r="H7" s="56"/>
      <c r="I7" s="102">
        <f>L13</f>
        <v>0</v>
      </c>
      <c r="J7" s="53"/>
      <c r="K7" s="32"/>
      <c r="L7" s="33"/>
      <c r="M7" s="32"/>
      <c r="N7" s="33"/>
      <c r="O7" s="76" t="s">
        <v>27</v>
      </c>
      <c r="P7"/>
      <c r="Q7" s="78"/>
      <c r="R7"/>
      <c r="S7" s="78">
        <f>IF(_xlfn.XLOOKUP(S$9,'2. Boletim de Medição'!$8:$8,'2. Boletim de Medição'!$7:$7)="","",_xlfn.XLOOKUP(S$9,'2. Boletim de Medição'!$8:$8,'2. Boletim de Medição'!$7:$7))</f>
        <v>45985</v>
      </c>
      <c r="T7"/>
      <c r="U7" s="78">
        <f>IF(_xlfn.XLOOKUP(U$9,'2. Boletim de Medição'!$8:$8,'2. Boletim de Medição'!$7:$7)="","",_xlfn.XLOOKUP(U$9,'2. Boletim de Medição'!$8:$8,'2. Boletim de Medição'!$7:$7))</f>
        <v>46014</v>
      </c>
      <c r="V7"/>
      <c r="W7" s="78">
        <f>IF(_xlfn.XLOOKUP(W$9,'2. Boletim de Medição'!$8:$8,'2. Boletim de Medição'!$7:$7)="","",_xlfn.XLOOKUP(W$9,'2. Boletim de Medição'!$8:$8,'2. Boletim de Medição'!$7:$7))</f>
        <v>46134</v>
      </c>
      <c r="X7"/>
      <c r="Y7" s="78">
        <f>IF(_xlfn.XLOOKUP(Y$9,'2. Boletim de Medição'!$8:$8,'2. Boletim de Medição'!$7:$7)="","",_xlfn.XLOOKUP(Y$9,'2. Boletim de Medição'!$8:$8,'2. Boletim de Medição'!$7:$7))</f>
        <v>46139</v>
      </c>
      <c r="Z7"/>
      <c r="AA7" s="78" t="str">
        <f>IF(_xlfn.XLOOKUP(AA$9,'2. Boletim de Medição'!$8:$8,'2. Boletim de Medição'!$7:$7)="","",_xlfn.XLOOKUP(AA$9,'2. Boletim de Medição'!$8:$8,'2. Boletim de Medição'!$7:$7))</f>
        <v/>
      </c>
      <c r="AB7"/>
      <c r="AC7" s="78" t="str">
        <f>IF(_xlfn.XLOOKUP(AC$9,'2. Boletim de Medição'!$8:$8,'2. Boletim de Medição'!$7:$7)="","",_xlfn.XLOOKUP(AC$9,'2. Boletim de Medição'!$8:$8,'2. Boletim de Medição'!$7:$7))</f>
        <v/>
      </c>
      <c r="AD7"/>
      <c r="AE7" s="78" t="str">
        <f>IF(_xlfn.XLOOKUP(AE$9,'2. Boletim de Medição'!$8:$8,'2. Boletim de Medição'!$7:$7)="","",_xlfn.XLOOKUP(AE$9,'2. Boletim de Medição'!$8:$8,'2. Boletim de Medição'!$7:$7))</f>
        <v/>
      </c>
      <c r="AF7"/>
      <c r="AG7" s="78" t="str">
        <f>IF(_xlfn.XLOOKUP(AG$9,'2. Boletim de Medição'!$8:$8,'2. Boletim de Medição'!$7:$7)="","",_xlfn.XLOOKUP(AG$9,'2. Boletim de Medição'!$8:$8,'2. Boletim de Medição'!$7:$7))</f>
        <v/>
      </c>
      <c r="AH7"/>
      <c r="AI7" s="78" t="str">
        <f>IF(_xlfn.XLOOKUP(AI$9,'2. Boletim de Medição'!$8:$8,'2. Boletim de Medição'!$7:$7)="","",_xlfn.XLOOKUP(AI$9,'2. Boletim de Medição'!$8:$8,'2. Boletim de Medição'!$7:$7))</f>
        <v/>
      </c>
    </row>
    <row r="8" spans="1:49" s="20" customFormat="1" ht="20" customHeight="1" x14ac:dyDescent="0.35">
      <c r="A8" s="31"/>
      <c r="B8" s="19"/>
      <c r="C8" s="21" t="s">
        <v>10</v>
      </c>
      <c r="D8" s="27" t="str">
        <f>'1. Controle de Contrato'!$D$11</f>
        <v>M.O EXECUÇÃO PISO E AZULEJO</v>
      </c>
      <c r="E8" s="21"/>
      <c r="F8" s="62" t="s">
        <v>42</v>
      </c>
      <c r="G8" s="60"/>
      <c r="H8" s="60"/>
      <c r="I8" s="61">
        <f>I6-I7</f>
        <v>0</v>
      </c>
      <c r="J8" s="22"/>
      <c r="K8" s="32"/>
    </row>
    <row r="9" spans="1:49" s="20" customFormat="1" ht="20" customHeight="1" x14ac:dyDescent="0.35">
      <c r="A9" s="31"/>
      <c r="B9" s="23"/>
      <c r="C9" s="24"/>
      <c r="D9" s="25"/>
      <c r="E9" s="25"/>
      <c r="F9" s="25"/>
      <c r="G9" s="25"/>
      <c r="H9" s="25"/>
      <c r="I9" s="58"/>
      <c r="J9" s="26"/>
      <c r="K9" s="32"/>
      <c r="L9" s="95" t="s">
        <v>43</v>
      </c>
      <c r="M9" s="32"/>
      <c r="N9" s="67" t="s">
        <v>44</v>
      </c>
      <c r="O9" s="95"/>
      <c r="P9" s="32"/>
      <c r="Q9" s="107">
        <v>1</v>
      </c>
      <c r="R9" s="32"/>
      <c r="S9" s="107">
        <f>Q9+1</f>
        <v>2</v>
      </c>
      <c r="T9" s="32"/>
      <c r="U9" s="107">
        <f>S9+1</f>
        <v>3</v>
      </c>
      <c r="V9" s="32"/>
      <c r="W9" s="107">
        <f>U9+1</f>
        <v>4</v>
      </c>
      <c r="X9" s="32"/>
      <c r="Y9" s="107">
        <f>W9+1</f>
        <v>5</v>
      </c>
      <c r="Z9" s="32"/>
      <c r="AA9" s="107">
        <f>Y9+1</f>
        <v>6</v>
      </c>
      <c r="AB9" s="32"/>
      <c r="AC9" s="107">
        <f>AA9+1</f>
        <v>7</v>
      </c>
      <c r="AD9" s="32"/>
      <c r="AE9" s="107">
        <f>AC9+1</f>
        <v>8</v>
      </c>
      <c r="AF9" s="32"/>
      <c r="AG9" s="107">
        <f>AE9+1</f>
        <v>9</v>
      </c>
      <c r="AH9" s="32"/>
      <c r="AI9" s="107">
        <f>AG9+1</f>
        <v>10</v>
      </c>
    </row>
    <row r="10" spans="1:49" s="20" customFormat="1" ht="5" customHeight="1" x14ac:dyDescent="0.35">
      <c r="E10" s="34"/>
      <c r="F10" s="34"/>
      <c r="G10" s="34"/>
      <c r="H10" s="34"/>
      <c r="Q10" s="79" t="e">
        <f>#REF!</f>
        <v>#REF!</v>
      </c>
      <c r="S10" s="79" t="e">
        <f>#REF!</f>
        <v>#REF!</v>
      </c>
      <c r="U10" s="79" t="e">
        <f>#REF!</f>
        <v>#REF!</v>
      </c>
      <c r="W10" s="79" t="e">
        <f>#REF!</f>
        <v>#REF!</v>
      </c>
      <c r="Y10" s="79" t="e">
        <f>#REF!</f>
        <v>#REF!</v>
      </c>
      <c r="AA10" s="79" t="e">
        <f>#REF!</f>
        <v>#REF!</v>
      </c>
      <c r="AC10" s="79" t="e">
        <f>#REF!</f>
        <v>#REF!</v>
      </c>
      <c r="AE10" s="79" t="e">
        <f>#REF!</f>
        <v>#REF!</v>
      </c>
      <c r="AG10" s="79" t="e">
        <f>#REF!</f>
        <v>#REF!</v>
      </c>
      <c r="AI10" s="79" t="e">
        <f>#REF!</f>
        <v>#REF!</v>
      </c>
    </row>
    <row r="11" spans="1:49" s="20" customFormat="1" ht="20" customHeight="1" x14ac:dyDescent="0.35">
      <c r="B11" s="99" t="s">
        <v>45</v>
      </c>
      <c r="C11" s="100" t="s">
        <v>46</v>
      </c>
      <c r="D11" s="100" t="s">
        <v>47</v>
      </c>
      <c r="E11" s="100"/>
      <c r="F11" s="100"/>
      <c r="G11" s="100"/>
      <c r="H11" s="100" t="s">
        <v>51</v>
      </c>
      <c r="I11" s="100" t="s">
        <v>52</v>
      </c>
      <c r="J11" s="101"/>
      <c r="K11" s="6"/>
      <c r="L11" s="94" t="s">
        <v>53</v>
      </c>
      <c r="M11" s="70"/>
      <c r="N11" s="67" t="s">
        <v>49</v>
      </c>
      <c r="O11" s="95"/>
      <c r="P11" s="6"/>
      <c r="Q11" s="108" t="s">
        <v>53</v>
      </c>
      <c r="R11" s="6"/>
      <c r="S11" s="108" t="s">
        <v>53</v>
      </c>
      <c r="T11" s="6"/>
      <c r="U11" s="108" t="s">
        <v>53</v>
      </c>
      <c r="V11" s="6"/>
      <c r="W11" s="108" t="s">
        <v>53</v>
      </c>
      <c r="X11" s="6"/>
      <c r="Y11" s="108" t="s">
        <v>53</v>
      </c>
      <c r="Z11" s="6"/>
      <c r="AA11" s="108" t="s">
        <v>53</v>
      </c>
      <c r="AB11" s="6"/>
      <c r="AC11" s="108" t="s">
        <v>53</v>
      </c>
      <c r="AD11" s="6"/>
      <c r="AE11" s="108" t="s">
        <v>53</v>
      </c>
      <c r="AF11" s="6"/>
      <c r="AG11" s="108" t="s">
        <v>53</v>
      </c>
      <c r="AH11" s="6"/>
      <c r="AI11" s="108" t="s">
        <v>53</v>
      </c>
    </row>
    <row r="12" spans="1:49" s="20" customFormat="1" ht="5" customHeight="1" x14ac:dyDescent="0.35">
      <c r="B12" s="6"/>
      <c r="C12" s="6"/>
      <c r="D12" s="6"/>
      <c r="E12" s="35"/>
      <c r="F12" s="35"/>
      <c r="G12" s="35"/>
      <c r="H12" s="35"/>
      <c r="I12" s="6"/>
      <c r="J12" s="6"/>
      <c r="K12" s="6"/>
      <c r="L12" s="36"/>
      <c r="M12" s="6"/>
      <c r="N12" s="36"/>
      <c r="O12" s="36"/>
      <c r="P12" s="6"/>
      <c r="Q12" s="36"/>
      <c r="R12" s="6"/>
      <c r="S12" s="36"/>
      <c r="T12" s="6"/>
      <c r="U12" s="36"/>
      <c r="V12" s="6"/>
      <c r="W12" s="36"/>
      <c r="X12" s="6"/>
      <c r="Y12" s="36"/>
      <c r="Z12" s="6"/>
      <c r="AA12" s="36"/>
      <c r="AB12" s="6"/>
      <c r="AC12" s="36"/>
      <c r="AD12" s="6"/>
      <c r="AE12" s="36"/>
      <c r="AF12" s="6"/>
      <c r="AG12" s="36"/>
      <c r="AH12" s="6"/>
      <c r="AI12" s="36"/>
    </row>
    <row r="13" spans="1:49" s="6" customFormat="1" ht="20" customHeight="1" x14ac:dyDescent="0.35">
      <c r="B13" s="7"/>
      <c r="C13" s="8"/>
      <c r="D13" s="9" t="s">
        <v>54</v>
      </c>
      <c r="E13" s="10"/>
      <c r="F13" s="10"/>
      <c r="G13" s="10"/>
      <c r="H13" s="11" t="e">
        <f>SUMIF($B:$B,"&gt;0",H:H)</f>
        <v>#DIV/0!</v>
      </c>
      <c r="I13" s="14">
        <f>SUMIF($B:$B,"&gt;0",I:I)</f>
        <v>0</v>
      </c>
      <c r="J13" s="12"/>
      <c r="L13" s="93">
        <f>SUMIF($B:$B,"&gt;0",L:L)</f>
        <v>0</v>
      </c>
      <c r="N13" s="13"/>
      <c r="O13" s="12">
        <f>SUMIF($B:$B,"&gt;0",O:O)</f>
        <v>0</v>
      </c>
      <c r="Q13" s="93">
        <f>SUMIF($B:$B,"&gt;0",Q:Q)</f>
        <v>0</v>
      </c>
      <c r="S13" s="93">
        <f>SUMIF($B:$B,"&gt;0",S:S)</f>
        <v>0</v>
      </c>
      <c r="U13" s="93">
        <f>SUMIF($B:$B,"&gt;0",U:U)</f>
        <v>0</v>
      </c>
      <c r="W13" s="93">
        <f>SUMIF($B:$B,"&gt;0",W:W)</f>
        <v>0</v>
      </c>
      <c r="Y13" s="93">
        <f>SUMIF($B:$B,"&gt;0",Y:Y)</f>
        <v>0</v>
      </c>
      <c r="AA13" s="93">
        <f>SUMIF($B:$B,"&gt;0",AA:AA)</f>
        <v>0</v>
      </c>
      <c r="AC13" s="93">
        <f>SUMIF($B:$B,"&gt;0",AC:AC)</f>
        <v>0</v>
      </c>
      <c r="AE13" s="93">
        <f>SUMIF($B:$B,"&gt;0",AE:AE)</f>
        <v>0</v>
      </c>
      <c r="AG13" s="93">
        <f>SUMIF($B:$B,"&gt;0",AG:AG)</f>
        <v>0</v>
      </c>
      <c r="AI13" s="93">
        <f>SUMIF($B:$B,"&gt;0",AI:AI)</f>
        <v>0</v>
      </c>
    </row>
    <row r="14" spans="1:49" s="20" customFormat="1" ht="5" customHeight="1" x14ac:dyDescent="0.35">
      <c r="B14" s="6"/>
      <c r="C14" s="6"/>
      <c r="D14" s="6"/>
      <c r="E14" s="35"/>
      <c r="F14" s="35"/>
      <c r="G14" s="35"/>
      <c r="H14" s="169"/>
      <c r="I14" s="89"/>
      <c r="J14" s="89"/>
      <c r="K14" s="89"/>
      <c r="L14" s="118"/>
      <c r="M14" s="118"/>
      <c r="N14" s="89"/>
      <c r="O14" s="118"/>
      <c r="P14" s="118"/>
      <c r="Q14" s="118"/>
      <c r="R14" s="6"/>
      <c r="S14" s="36"/>
      <c r="T14" s="36"/>
      <c r="U14" s="6"/>
      <c r="V14" s="36"/>
      <c r="W14" s="36"/>
      <c r="X14" s="6"/>
      <c r="Y14" s="36"/>
      <c r="Z14" s="36"/>
      <c r="AA14" s="6"/>
      <c r="AB14" s="36"/>
      <c r="AC14" s="36"/>
      <c r="AD14" s="6"/>
      <c r="AE14" s="36"/>
      <c r="AF14" s="36"/>
      <c r="AG14" s="6"/>
      <c r="AH14" s="36"/>
      <c r="AI14" s="36"/>
      <c r="AJ14" s="6"/>
      <c r="AK14" s="36"/>
      <c r="AL14" s="36"/>
      <c r="AM14" s="6"/>
      <c r="AN14" s="36"/>
      <c r="AO14" s="36"/>
      <c r="AP14" s="6"/>
      <c r="AQ14" s="36"/>
      <c r="AR14" s="36"/>
      <c r="AS14" s="6"/>
      <c r="AT14" s="36"/>
      <c r="AU14" s="36"/>
      <c r="AV14" s="6"/>
    </row>
    <row r="15" spans="1:49" s="6" customFormat="1" ht="20" customHeight="1" x14ac:dyDescent="0.35">
      <c r="B15" s="217">
        <v>1</v>
      </c>
      <c r="C15" s="210"/>
      <c r="D15" s="211" t="s">
        <v>55</v>
      </c>
      <c r="E15" s="212"/>
      <c r="F15" s="212"/>
      <c r="G15" s="212"/>
      <c r="H15" s="213" t="e">
        <f>SUMIF($B:$B,$B15&amp;"."&amp;"?",H:H)</f>
        <v>#DIV/0!</v>
      </c>
      <c r="I15" s="214">
        <f>SUMIF($B:$B,$B15&amp;"."&amp;"?",I:I)</f>
        <v>0</v>
      </c>
      <c r="J15" s="215"/>
      <c r="L15" s="239">
        <f>SUMIF($B:$B,$B15&amp;"."&amp;"?",L:L)</f>
        <v>0</v>
      </c>
      <c r="M15"/>
      <c r="N15" s="219"/>
      <c r="O15" s="215">
        <f>SUMIF($B:$B,$B15&amp;"."&amp;"?",O:O)</f>
        <v>0</v>
      </c>
      <c r="P15"/>
      <c r="Q15" s="239">
        <f>SUMIF($B:$B,$B15&amp;"."&amp;"?",Q:Q)</f>
        <v>0</v>
      </c>
      <c r="R15"/>
      <c r="S15" s="239">
        <f>SUMIF($B:$B,$B15&amp;"."&amp;"?",S:S)</f>
        <v>0</v>
      </c>
      <c r="T15"/>
      <c r="U15" s="239">
        <f>SUMIF($B:$B,$B15&amp;"."&amp;"?",U:U)</f>
        <v>0</v>
      </c>
      <c r="V15"/>
      <c r="W15" s="239">
        <f>SUMIF($B:$B,$B15&amp;"."&amp;"?",W:W)</f>
        <v>0</v>
      </c>
      <c r="X15"/>
      <c r="Y15" s="239">
        <f>SUMIF($B:$B,$B15&amp;"."&amp;"?",Y:Y)</f>
        <v>0</v>
      </c>
      <c r="Z15"/>
      <c r="AA15" s="239">
        <f>SUMIF($B:$B,$B15&amp;"."&amp;"?",AA:AA)</f>
        <v>0</v>
      </c>
      <c r="AB15"/>
      <c r="AC15" s="239">
        <f>SUMIF($B:$B,$B15&amp;"."&amp;"?",AC:AC)</f>
        <v>0</v>
      </c>
      <c r="AD15"/>
      <c r="AE15" s="239">
        <f>SUMIF($B:$B,$B15&amp;"."&amp;"?",AE:AE)</f>
        <v>0</v>
      </c>
      <c r="AF15"/>
      <c r="AG15" s="239">
        <f>SUMIF($B:$B,$B15&amp;"."&amp;"?",AG:AG)</f>
        <v>0</v>
      </c>
      <c r="AH15"/>
      <c r="AI15" s="239">
        <f>SUMIF($B:$B,$B15&amp;"."&amp;"?",AI:AI)</f>
        <v>0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</row>
    <row r="16" spans="1:49" s="20" customFormat="1" ht="5" customHeight="1" x14ac:dyDescent="0.35">
      <c r="B16" s="6"/>
      <c r="C16" s="6"/>
      <c r="D16" s="6"/>
      <c r="E16" s="35"/>
      <c r="F16" s="35"/>
      <c r="G16" s="35"/>
      <c r="H16" s="35"/>
      <c r="I16" s="6"/>
      <c r="J16" s="6"/>
      <c r="K16" s="6"/>
      <c r="L16" s="36"/>
      <c r="M16" s="6"/>
      <c r="N16" s="36"/>
      <c r="O16" s="36"/>
      <c r="P16" s="6"/>
      <c r="Q16" s="36"/>
      <c r="R16" s="6"/>
      <c r="S16" s="36"/>
      <c r="T16" s="6"/>
      <c r="U16" s="36"/>
      <c r="V16" s="6"/>
      <c r="W16" s="36"/>
      <c r="X16" s="6"/>
      <c r="Y16" s="36"/>
      <c r="Z16" s="6"/>
      <c r="AA16" s="36"/>
      <c r="AB16" s="6"/>
      <c r="AC16" s="36"/>
      <c r="AD16" s="6"/>
      <c r="AE16" s="36"/>
      <c r="AF16" s="6"/>
      <c r="AG16" s="36"/>
      <c r="AH16" s="6"/>
      <c r="AI16" s="36"/>
    </row>
    <row r="17" spans="2:35" s="6" customFormat="1" ht="20" customHeight="1" x14ac:dyDescent="0.35">
      <c r="B17" s="37" t="s">
        <v>56</v>
      </c>
      <c r="C17" s="38"/>
      <c r="D17" s="39"/>
      <c r="E17" s="40"/>
      <c r="F17" s="40"/>
      <c r="G17" s="40"/>
      <c r="H17" s="41" t="e">
        <f>SUBTOTAL(9,H18:H19)</f>
        <v>#DIV/0!</v>
      </c>
      <c r="I17" s="59">
        <f>SUMIF($B:$B,$B17&amp;"."&amp;"*",I:I)</f>
        <v>0</v>
      </c>
      <c r="J17" s="42"/>
      <c r="L17" s="96">
        <f>SUMIF($B:$B,$B17&amp;"."&amp;"*",L:L)</f>
        <v>0</v>
      </c>
      <c r="N17" s="43"/>
      <c r="O17" s="42">
        <f>SUMIF($B:$B,$B17&amp;"."&amp;"*",O:O)</f>
        <v>0</v>
      </c>
      <c r="Q17" s="96">
        <f>SUMIF($B:$B,$B17&amp;"."&amp;"*",Q:Q)</f>
        <v>0</v>
      </c>
      <c r="S17" s="96">
        <f>SUMIF($B:$B,$B17&amp;"."&amp;"*",S:S)</f>
        <v>0</v>
      </c>
      <c r="U17" s="96">
        <f>SUMIF($B:$B,$B17&amp;"."&amp;"*",U:U)</f>
        <v>0</v>
      </c>
      <c r="W17" s="96">
        <f>SUMIF($B:$B,$B17&amp;"."&amp;"*",W:W)</f>
        <v>0</v>
      </c>
      <c r="Y17" s="96">
        <f>SUMIF($B:$B,$B17&amp;"."&amp;"*",Y:Y)</f>
        <v>0</v>
      </c>
      <c r="AA17" s="96">
        <f>SUMIF($B:$B,$B17&amp;"."&amp;"*",AA:AA)</f>
        <v>0</v>
      </c>
      <c r="AC17" s="96">
        <f>SUMIF($B:$B,$B17&amp;"."&amp;"*",AC:AC)</f>
        <v>0</v>
      </c>
      <c r="AE17" s="96">
        <f>SUMIF($B:$B,$B17&amp;"."&amp;"*",AE:AE)</f>
        <v>0</v>
      </c>
      <c r="AG17" s="96">
        <f>SUMIF($B:$B,$B17&amp;"."&amp;"*",AG:AG)</f>
        <v>0</v>
      </c>
      <c r="AI17" s="96">
        <f>SUMIF($B:$B,$B17&amp;"."&amp;"*",AI:AI)</f>
        <v>0</v>
      </c>
    </row>
    <row r="18" spans="2:35" s="44" customFormat="1" ht="20" customHeight="1" x14ac:dyDescent="0.35">
      <c r="B18" s="45" t="s">
        <v>57</v>
      </c>
      <c r="C18" s="46"/>
      <c r="D18" s="47"/>
      <c r="E18" s="48"/>
      <c r="F18" s="49"/>
      <c r="G18" s="49"/>
      <c r="H18" s="50" t="e">
        <f>I18/$I$13</f>
        <v>#DIV/0!</v>
      </c>
      <c r="I18" s="103"/>
      <c r="J18" s="51"/>
      <c r="L18" s="97">
        <f>SUMIF($Q$11:$XFD$11,L$11,$Q18:$XFD18)</f>
        <v>0</v>
      </c>
      <c r="N18" s="120" t="e">
        <f>O18/I18</f>
        <v>#DIV/0!</v>
      </c>
      <c r="O18" s="63">
        <f>I18-L18</f>
        <v>0</v>
      </c>
      <c r="Q18" s="203"/>
      <c r="S18" s="203"/>
      <c r="U18" s="203"/>
      <c r="W18" s="203"/>
      <c r="Y18" s="203"/>
      <c r="AA18" s="203"/>
      <c r="AC18" s="203"/>
      <c r="AE18" s="203"/>
      <c r="AG18" s="203"/>
      <c r="AI18" s="203"/>
    </row>
    <row r="19" spans="2:35" s="44" customFormat="1" ht="20" customHeight="1" x14ac:dyDescent="0.35">
      <c r="B19" s="45" t="s">
        <v>58</v>
      </c>
      <c r="C19" s="46"/>
      <c r="D19" s="47"/>
      <c r="E19" s="48"/>
      <c r="F19" s="49"/>
      <c r="G19" s="49"/>
      <c r="H19" s="50" t="e">
        <f t="shared" ref="H19" si="0">I19/$I$13</f>
        <v>#DIV/0!</v>
      </c>
      <c r="I19" s="103"/>
      <c r="J19" s="51"/>
      <c r="L19" s="98">
        <f>SUMIF($Q$11:$XFD$11,L$11,$Q19:$XFD19)</f>
        <v>0</v>
      </c>
      <c r="N19" s="120" t="e">
        <f>O19/I19</f>
        <v>#DIV/0!</v>
      </c>
      <c r="O19" s="64">
        <f>I19-L19</f>
        <v>0</v>
      </c>
      <c r="Q19" s="203"/>
      <c r="S19" s="203"/>
      <c r="U19" s="203"/>
      <c r="W19" s="203"/>
      <c r="Y19" s="203"/>
      <c r="AA19" s="203"/>
      <c r="AC19" s="203"/>
      <c r="AE19" s="203"/>
      <c r="AG19" s="203"/>
      <c r="AI19" s="203"/>
    </row>
    <row r="20" spans="2:35" s="6" customFormat="1" ht="20" customHeight="1" x14ac:dyDescent="0.35">
      <c r="B20" s="37" t="s">
        <v>59</v>
      </c>
      <c r="C20" s="38"/>
      <c r="D20" s="39"/>
      <c r="E20" s="40"/>
      <c r="F20" s="40"/>
      <c r="G20" s="40"/>
      <c r="H20" s="41" t="e">
        <f>SUBTOTAL(9,H21:H22)</f>
        <v>#DIV/0!</v>
      </c>
      <c r="I20" s="59">
        <f>SUMIF($B:$B,$B20&amp;"."&amp;"*",I:I)</f>
        <v>0</v>
      </c>
      <c r="J20" s="42"/>
      <c r="L20" s="96">
        <f>SUMIF($B:$B,$B20&amp;"."&amp;"*",L:L)</f>
        <v>0</v>
      </c>
      <c r="N20" s="43"/>
      <c r="O20" s="42">
        <f>SUMIF($B:$B,$B20&amp;"."&amp;"*",O:O)</f>
        <v>0</v>
      </c>
      <c r="Q20" s="96">
        <f>SUMIF($B:$B,$B20&amp;"."&amp;"*",Q:Q)</f>
        <v>0</v>
      </c>
      <c r="S20" s="96">
        <f>SUMIF($B:$B,$B20&amp;"."&amp;"*",S:S)</f>
        <v>0</v>
      </c>
      <c r="U20" s="96">
        <f>SUMIF($B:$B,$B20&amp;"."&amp;"*",U:U)</f>
        <v>0</v>
      </c>
      <c r="W20" s="96">
        <f>SUMIF($B:$B,$B20&amp;"."&amp;"*",W:W)</f>
        <v>0</v>
      </c>
      <c r="Y20" s="96">
        <f>SUMIF($B:$B,$B20&amp;"."&amp;"*",Y:Y)</f>
        <v>0</v>
      </c>
      <c r="AA20" s="96">
        <f>SUMIF($B:$B,$B20&amp;"."&amp;"*",AA:AA)</f>
        <v>0</v>
      </c>
      <c r="AC20" s="96">
        <f>SUMIF($B:$B,$B20&amp;"."&amp;"*",AC:AC)</f>
        <v>0</v>
      </c>
      <c r="AE20" s="96">
        <f>SUMIF($B:$B,$B20&amp;"."&amp;"*",AE:AE)</f>
        <v>0</v>
      </c>
      <c r="AG20" s="96">
        <f>SUMIF($B:$B,$B20&amp;"."&amp;"*",AG:AG)</f>
        <v>0</v>
      </c>
      <c r="AI20" s="96">
        <f>SUMIF($B:$B,$B20&amp;"."&amp;"*",AI:AI)</f>
        <v>0</v>
      </c>
    </row>
    <row r="21" spans="2:35" s="44" customFormat="1" ht="20" customHeight="1" x14ac:dyDescent="0.35">
      <c r="B21" s="45" t="s">
        <v>60</v>
      </c>
      <c r="C21" s="46"/>
      <c r="D21" s="52"/>
      <c r="E21" s="48"/>
      <c r="F21" s="49"/>
      <c r="G21" s="49"/>
      <c r="H21" s="50" t="e">
        <f t="shared" ref="H21" si="1">I21/$I$13</f>
        <v>#DIV/0!</v>
      </c>
      <c r="I21" s="103"/>
      <c r="J21" s="51"/>
      <c r="L21" s="98">
        <f>SUMIF($Q$11:$XFD$11,L$11,$Q21:$XFD21)</f>
        <v>0</v>
      </c>
      <c r="N21" s="120" t="e">
        <f>O21/I21</f>
        <v>#DIV/0!</v>
      </c>
      <c r="O21" s="64">
        <f>I21-L21</f>
        <v>0</v>
      </c>
      <c r="Q21" s="203"/>
      <c r="S21" s="203"/>
      <c r="U21" s="203"/>
      <c r="W21" s="203"/>
      <c r="Y21" s="203"/>
      <c r="AA21" s="203"/>
      <c r="AC21" s="203"/>
      <c r="AE21" s="203"/>
      <c r="AG21" s="203"/>
      <c r="AI21" s="203"/>
    </row>
    <row r="22" spans="2:35" customFormat="1" ht="5" customHeight="1" x14ac:dyDescent="0.35"/>
    <row r="23" spans="2:35" ht="15" customHeight="1" x14ac:dyDescent="0.35">
      <c r="M23"/>
      <c r="N23"/>
    </row>
    <row r="24" spans="2:35" ht="15" customHeight="1" x14ac:dyDescent="0.35">
      <c r="M24"/>
      <c r="N24"/>
    </row>
    <row r="25" spans="2:35" ht="15" customHeight="1" x14ac:dyDescent="0.35">
      <c r="M25"/>
      <c r="N25"/>
    </row>
    <row r="26" spans="2:35" ht="15" customHeight="1" x14ac:dyDescent="0.35">
      <c r="M26"/>
      <c r="N26"/>
    </row>
    <row r="27" spans="2:35" ht="15" customHeight="1" x14ac:dyDescent="0.35">
      <c r="M27"/>
      <c r="N27"/>
    </row>
    <row r="28" spans="2:35" ht="15" customHeight="1" x14ac:dyDescent="0.35">
      <c r="M28"/>
      <c r="N28"/>
    </row>
    <row r="29" spans="2:35" ht="15" customHeight="1" x14ac:dyDescent="0.35">
      <c r="M29"/>
      <c r="N29"/>
    </row>
    <row r="30" spans="2:35" ht="15" customHeight="1" x14ac:dyDescent="0.35">
      <c r="M30"/>
      <c r="N30"/>
    </row>
    <row r="31" spans="2:35" ht="15" customHeight="1" x14ac:dyDescent="0.35">
      <c r="M31"/>
      <c r="N31"/>
    </row>
    <row r="32" spans="2:35" ht="15" customHeight="1" x14ac:dyDescent="0.35">
      <c r="M32"/>
      <c r="N32"/>
    </row>
    <row r="33" spans="13:14" ht="15" customHeight="1" x14ac:dyDescent="0.35">
      <c r="M33"/>
      <c r="N33"/>
    </row>
    <row r="34" spans="13:14" ht="15" customHeight="1" x14ac:dyDescent="0.35">
      <c r="M34"/>
      <c r="N34"/>
    </row>
    <row r="35" spans="13:14" ht="15" customHeight="1" x14ac:dyDescent="0.35">
      <c r="M35"/>
      <c r="N35"/>
    </row>
    <row r="36" spans="13:14" ht="15" customHeight="1" x14ac:dyDescent="0.35">
      <c r="M36"/>
      <c r="N36"/>
    </row>
    <row r="37" spans="13:14" ht="15" customHeight="1" x14ac:dyDescent="0.35">
      <c r="M37"/>
      <c r="N37"/>
    </row>
    <row r="38" spans="13:14" ht="15" customHeight="1" x14ac:dyDescent="0.35">
      <c r="M38"/>
      <c r="N38"/>
    </row>
    <row r="39" spans="13:14" ht="15" customHeight="1" x14ac:dyDescent="0.35">
      <c r="M39"/>
      <c r="N39"/>
    </row>
    <row r="40" spans="13:14" ht="15" customHeight="1" x14ac:dyDescent="0.35">
      <c r="M40"/>
      <c r="N40"/>
    </row>
    <row r="41" spans="13:14" ht="15" customHeight="1" x14ac:dyDescent="0.35">
      <c r="M41"/>
      <c r="N41"/>
    </row>
    <row r="42" spans="13:14" ht="15" customHeight="1" x14ac:dyDescent="0.35">
      <c r="M42"/>
      <c r="N42"/>
    </row>
    <row r="43" spans="13:14" ht="15" customHeight="1" x14ac:dyDescent="0.35">
      <c r="M43"/>
      <c r="N43"/>
    </row>
    <row r="44" spans="13:14" ht="15" customHeight="1" x14ac:dyDescent="0.35">
      <c r="M44"/>
      <c r="N44"/>
    </row>
    <row r="45" spans="13:14" ht="15" customHeight="1" x14ac:dyDescent="0.35">
      <c r="M45"/>
      <c r="N45"/>
    </row>
  </sheetData>
  <sheetProtection formatCells="0" formatColumns="0" formatRows="0"/>
  <phoneticPr fontId="6" type="noConversion"/>
  <conditionalFormatting sqref="N18:N19 N21">
    <cfRule type="iconSet" priority="4">
      <iconSet showValue="0">
        <cfvo type="percent" val="0"/>
        <cfvo type="num" val="0.2"/>
        <cfvo type="num" val="0.4"/>
      </iconSet>
    </cfRule>
  </conditionalFormatting>
  <dataValidations disablePrompts="1" count="1">
    <dataValidation type="custom" allowBlank="1" showInputMessage="1" showErrorMessage="1" errorTitle="SALDO INSUFICIENTE" error="Quantidade medida superior ao saldo disponível" sqref="Q18:Q19 Q21 S18:S19 S21 U18:U19 U21 W18:W19 W21 Y18:Y19 Y21 AA18:AA19 AA21 AC18:AC19 AC21 AE18:AE19 AE21 AG18:AG19 AG21 AI18:AI19 AI21" xr:uid="{F1A4D114-5681-49EC-ACAA-9C72FFBD03B7}">
      <formula1>SUMIFS($P18:Q18,$P$11:Q$11,"VALOR")&lt;=$I18</formula1>
    </dataValidation>
  </dataValidations>
  <pageMargins left="0.511811024" right="0.511811024" top="0.78740157499999996" bottom="0.78740157499999996" header="0.31496062000000002" footer="0.31496062000000002"/>
  <pageSetup paperSize="9" scale="30" orientation="portrait" r:id="rId1"/>
  <ignoredErrors>
    <ignoredError sqref="D5:D8" unlocked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D645-3FCA-4DB3-B4B8-2721CD5D2979}">
  <sheetPr codeName="Planilha16">
    <pageSetUpPr fitToPage="1"/>
  </sheetPr>
  <dimension ref="A1:LR24"/>
  <sheetViews>
    <sheetView showGridLines="0" view="pageBreakPreview" topLeftCell="GX4" zoomScale="70" zoomScaleNormal="25" zoomScaleSheetLayoutView="70" workbookViewId="0">
      <selection activeCell="JE22" sqref="JE22"/>
    </sheetView>
  </sheetViews>
  <sheetFormatPr defaultColWidth="8.90625" defaultRowHeight="14.5" x14ac:dyDescent="0.35"/>
  <cols>
    <col min="1" max="1" width="5.6328125" style="242" bestFit="1" customWidth="1"/>
    <col min="2" max="2" width="40.36328125" style="241" customWidth="1"/>
    <col min="3" max="3" width="1.36328125" style="110" customWidth="1"/>
    <col min="4" max="4" width="5.6328125" style="242" bestFit="1" customWidth="1"/>
    <col min="5" max="17" width="4.36328125" style="242" customWidth="1"/>
    <col min="18" max="41" width="4.36328125" style="242" hidden="1" customWidth="1"/>
    <col min="42" max="53" width="4.1796875" style="109" hidden="1" customWidth="1"/>
    <col min="54" max="54" width="2.36328125" style="109" hidden="1" customWidth="1"/>
    <col min="55" max="66" width="4.1796875" style="109" hidden="1" customWidth="1"/>
    <col min="67" max="68" width="2.36328125" style="109" customWidth="1"/>
    <col min="69" max="69" width="6" style="109" customWidth="1"/>
    <col min="70" max="70" width="38.54296875" style="109" bestFit="1" customWidth="1"/>
    <col min="71" max="71" width="2.36328125" style="109" customWidth="1"/>
    <col min="72" max="73" width="5.6328125" style="109" bestFit="1" customWidth="1"/>
    <col min="74" max="83" width="5.1796875" style="242" bestFit="1" customWidth="1"/>
    <col min="84" max="106" width="4.36328125" style="242" hidden="1" customWidth="1"/>
    <col min="107" max="118" width="4.1796875" style="109" hidden="1" customWidth="1"/>
    <col min="119" max="119" width="2.36328125" style="109" hidden="1" customWidth="1"/>
    <col min="120" max="131" width="4.1796875" style="109" hidden="1" customWidth="1"/>
    <col min="132" max="133" width="2.36328125" style="109" customWidth="1"/>
    <col min="134" max="134" width="3.81640625" style="109" customWidth="1"/>
    <col min="135" max="135" width="37" style="109" bestFit="1" customWidth="1"/>
    <col min="136" max="136" width="1.08984375" style="110" customWidth="1"/>
    <col min="137" max="137" width="8.90625" style="110"/>
    <col min="138" max="138" width="4.453125" style="110" bestFit="1" customWidth="1"/>
    <col min="139" max="139" width="4.1796875" style="110" customWidth="1"/>
    <col min="140" max="149" width="4.36328125" style="242" customWidth="1"/>
    <col min="150" max="172" width="4.36328125" style="242" hidden="1" customWidth="1"/>
    <col min="173" max="184" width="4.1796875" style="109" hidden="1" customWidth="1"/>
    <col min="185" max="185" width="2.36328125" style="109" hidden="1" customWidth="1"/>
    <col min="186" max="197" width="4.1796875" style="109" hidden="1" customWidth="1"/>
    <col min="198" max="198" width="4.6328125" style="110" customWidth="1"/>
    <col min="199" max="199" width="3.81640625" style="109" customWidth="1"/>
    <col min="200" max="200" width="27.90625" style="109" bestFit="1" customWidth="1"/>
    <col min="201" max="201" width="1.08984375" style="110" customWidth="1"/>
    <col min="202" max="202" width="8.90625" style="110"/>
    <col min="203" max="203" width="4.453125" style="110" bestFit="1" customWidth="1"/>
    <col min="204" max="204" width="4.6328125" style="110" bestFit="1" customWidth="1"/>
    <col min="205" max="215" width="4.36328125" style="242" customWidth="1"/>
    <col min="216" max="237" width="4.36328125" style="242" hidden="1" customWidth="1"/>
    <col min="238" max="249" width="4.1796875" style="109" hidden="1" customWidth="1"/>
    <col min="250" max="250" width="2.36328125" style="109" hidden="1" customWidth="1"/>
    <col min="251" max="262" width="4.1796875" style="109" hidden="1" customWidth="1"/>
    <col min="263" max="263" width="4.1796875" style="109" customWidth="1"/>
    <col min="264" max="264" width="4.08984375" style="110" customWidth="1"/>
    <col min="265" max="265" width="50.26953125" style="110" bestFit="1" customWidth="1"/>
    <col min="266" max="266" width="4.6328125" style="110" bestFit="1" customWidth="1"/>
    <col min="267" max="267" width="4.453125" style="110" bestFit="1" customWidth="1"/>
    <col min="268" max="268" width="4.08984375" style="110" customWidth="1"/>
    <col min="269" max="278" width="5.1796875" style="242" bestFit="1" customWidth="1"/>
    <col min="279" max="301" width="4.36328125" style="242" hidden="1" customWidth="1"/>
    <col min="302" max="313" width="4.1796875" style="109" hidden="1" customWidth="1"/>
    <col min="314" max="314" width="2.36328125" style="109" hidden="1" customWidth="1"/>
    <col min="315" max="326" width="4.1796875" style="109" hidden="1" customWidth="1"/>
    <col min="327" max="327" width="4.08984375" style="110" customWidth="1"/>
    <col min="328" max="328" width="16.36328125" style="110" bestFit="1" customWidth="1"/>
    <col min="329" max="329" width="8.90625" style="110"/>
    <col min="330" max="330" width="14.90625" style="110" customWidth="1"/>
    <col min="331" max="16384" width="8.90625" style="110"/>
  </cols>
  <sheetData>
    <row r="1" spans="1:330" x14ac:dyDescent="0.35"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DC1" s="110"/>
      <c r="DD1" s="110"/>
      <c r="DE1" s="110"/>
      <c r="DF1" s="110"/>
      <c r="DG1" s="110"/>
      <c r="DH1" s="110"/>
      <c r="DI1" s="110"/>
      <c r="DJ1" s="110"/>
      <c r="DK1" s="110"/>
      <c r="DL1" s="110"/>
      <c r="DM1" s="110"/>
      <c r="DN1" s="110"/>
      <c r="DO1" s="110"/>
      <c r="DP1" s="110"/>
      <c r="DQ1" s="110"/>
      <c r="DR1" s="110"/>
      <c r="DS1" s="110"/>
      <c r="DT1" s="110"/>
      <c r="DU1" s="110"/>
      <c r="DV1" s="110"/>
      <c r="DW1" s="110"/>
      <c r="DX1" s="110"/>
      <c r="DY1" s="110"/>
      <c r="DZ1" s="110"/>
      <c r="EA1" s="110"/>
      <c r="EB1" s="110"/>
      <c r="EC1" s="110"/>
      <c r="ED1" s="110"/>
      <c r="EE1" s="110"/>
      <c r="FQ1" s="110"/>
      <c r="FR1" s="110"/>
      <c r="FS1" s="110"/>
      <c r="FT1" s="110"/>
      <c r="FU1" s="110"/>
      <c r="FV1" s="110"/>
      <c r="FW1" s="110"/>
      <c r="FX1" s="110"/>
      <c r="FY1" s="110"/>
      <c r="FZ1" s="110"/>
      <c r="GA1" s="110"/>
      <c r="GB1" s="110"/>
      <c r="GC1" s="110"/>
      <c r="GD1" s="110"/>
      <c r="GE1" s="110"/>
      <c r="GF1" s="110"/>
      <c r="GG1" s="110"/>
      <c r="GH1" s="110"/>
      <c r="GI1" s="110"/>
      <c r="GJ1" s="110"/>
      <c r="GK1" s="110"/>
      <c r="GL1" s="110"/>
      <c r="GM1" s="110"/>
      <c r="GN1" s="110"/>
      <c r="GO1" s="110"/>
      <c r="GQ1" s="110"/>
      <c r="GR1" s="110"/>
      <c r="ID1" s="110"/>
      <c r="IE1" s="110"/>
      <c r="IF1" s="110"/>
      <c r="IG1" s="110"/>
      <c r="IH1" s="110"/>
      <c r="II1" s="110"/>
      <c r="IJ1" s="110"/>
      <c r="IK1" s="110"/>
      <c r="IL1" s="110"/>
      <c r="IM1" s="110"/>
      <c r="IN1" s="110"/>
      <c r="IO1" s="110"/>
      <c r="IP1" s="110"/>
      <c r="IQ1" s="110"/>
      <c r="IR1" s="110"/>
      <c r="IS1" s="110"/>
      <c r="IT1" s="110"/>
      <c r="IU1" s="110"/>
      <c r="IV1" s="110"/>
      <c r="IW1" s="110"/>
      <c r="IX1" s="110"/>
      <c r="IY1" s="110"/>
      <c r="IZ1" s="110"/>
      <c r="JA1" s="110"/>
      <c r="JB1" s="110"/>
      <c r="JC1" s="110"/>
      <c r="KP1" s="110"/>
      <c r="KQ1" s="110"/>
      <c r="KR1" s="110"/>
      <c r="KS1" s="110"/>
      <c r="KT1" s="110"/>
      <c r="KU1" s="110"/>
      <c r="KV1" s="110"/>
      <c r="KW1" s="110"/>
      <c r="KX1" s="110"/>
      <c r="KY1" s="110"/>
      <c r="KZ1" s="110"/>
      <c r="LA1" s="110"/>
      <c r="LB1" s="110"/>
      <c r="LC1" s="110"/>
      <c r="LD1" s="110"/>
      <c r="LE1" s="110"/>
      <c r="LF1" s="110"/>
      <c r="LG1" s="110"/>
      <c r="LH1" s="110"/>
      <c r="LI1" s="110"/>
      <c r="LJ1" s="110"/>
      <c r="LK1" s="110"/>
      <c r="LL1" s="110"/>
      <c r="LM1" s="110"/>
      <c r="LN1" s="110"/>
    </row>
    <row r="2" spans="1:330" x14ac:dyDescent="0.35"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DC2" s="110"/>
      <c r="DD2" s="110"/>
      <c r="DE2" s="110"/>
      <c r="DF2" s="110"/>
      <c r="DG2" s="110"/>
      <c r="DH2" s="110"/>
      <c r="DI2" s="110"/>
      <c r="DJ2" s="110"/>
      <c r="DK2" s="110"/>
      <c r="DL2" s="110"/>
      <c r="DM2" s="110"/>
      <c r="DN2" s="110"/>
      <c r="DO2" s="110"/>
      <c r="DP2" s="110"/>
      <c r="DQ2" s="110"/>
      <c r="DR2" s="110"/>
      <c r="DS2" s="110"/>
      <c r="DT2" s="110"/>
      <c r="DU2" s="110"/>
      <c r="DV2" s="110"/>
      <c r="DW2" s="110"/>
      <c r="DX2" s="110"/>
      <c r="DY2" s="110"/>
      <c r="DZ2" s="110"/>
      <c r="EA2" s="110"/>
      <c r="EB2" s="110"/>
      <c r="EC2" s="110"/>
      <c r="ED2" s="110"/>
      <c r="EE2" s="110"/>
      <c r="FQ2" s="110"/>
      <c r="FR2" s="110"/>
      <c r="FS2" s="110"/>
      <c r="FT2" s="110"/>
      <c r="FU2" s="110"/>
      <c r="FV2" s="110"/>
      <c r="FW2" s="110"/>
      <c r="FX2" s="110"/>
      <c r="FY2" s="110"/>
      <c r="FZ2" s="110"/>
      <c r="GA2" s="110"/>
      <c r="GB2" s="110"/>
      <c r="GC2" s="110"/>
      <c r="GD2" s="110"/>
      <c r="GE2" s="110"/>
      <c r="GF2" s="110"/>
      <c r="GG2" s="110"/>
      <c r="GH2" s="110"/>
      <c r="GI2" s="110"/>
      <c r="GJ2" s="110"/>
      <c r="GK2" s="110"/>
      <c r="GL2" s="110"/>
      <c r="GM2" s="110"/>
      <c r="GN2" s="110"/>
      <c r="GO2" s="110"/>
      <c r="GQ2" s="110"/>
      <c r="GR2" s="110"/>
      <c r="ID2" s="110"/>
      <c r="IE2" s="110"/>
      <c r="IF2" s="110"/>
      <c r="IG2" s="110"/>
      <c r="IH2" s="110"/>
      <c r="II2" s="110"/>
      <c r="IJ2" s="110"/>
      <c r="IK2" s="110"/>
      <c r="IL2" s="110"/>
      <c r="IM2" s="110"/>
      <c r="IN2" s="110"/>
      <c r="IO2" s="110"/>
      <c r="IP2" s="110"/>
      <c r="IQ2" s="110"/>
      <c r="IR2" s="110"/>
      <c r="IS2" s="110"/>
      <c r="IT2" s="110"/>
      <c r="IU2" s="110"/>
      <c r="IV2" s="110"/>
      <c r="IW2" s="110"/>
      <c r="IX2" s="110"/>
      <c r="IY2" s="110"/>
      <c r="IZ2" s="110"/>
      <c r="JA2" s="110"/>
      <c r="JB2" s="110"/>
      <c r="JC2" s="110"/>
      <c r="KP2" s="110"/>
      <c r="KQ2" s="110"/>
      <c r="KR2" s="110"/>
      <c r="KS2" s="110"/>
      <c r="KT2" s="110"/>
      <c r="KU2" s="110"/>
      <c r="KV2" s="110"/>
      <c r="KW2" s="110"/>
      <c r="KX2" s="110"/>
      <c r="KY2" s="110"/>
      <c r="KZ2" s="110"/>
      <c r="LA2" s="110"/>
      <c r="LB2" s="110"/>
      <c r="LC2" s="110"/>
      <c r="LD2" s="110"/>
      <c r="LE2" s="110"/>
      <c r="LF2" s="110"/>
      <c r="LG2" s="110"/>
      <c r="LH2" s="110"/>
      <c r="LI2" s="110"/>
      <c r="LJ2" s="110"/>
      <c r="LK2" s="110"/>
      <c r="LL2" s="110"/>
      <c r="LM2" s="110"/>
      <c r="LN2" s="110"/>
    </row>
    <row r="3" spans="1:330" ht="28.75" customHeight="1" x14ac:dyDescent="0.35">
      <c r="B3" s="386" t="str">
        <f>'1. Controle de Contrato'!D11</f>
        <v>M.O EXECUÇÃO PISO E AZULEJO</v>
      </c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  <c r="AM3" s="387"/>
      <c r="AN3" s="387"/>
      <c r="AO3" s="387"/>
      <c r="AP3" s="387"/>
      <c r="AQ3" s="387"/>
      <c r="AR3" s="387"/>
      <c r="AS3" s="387"/>
      <c r="AT3" s="387"/>
      <c r="AU3" s="387"/>
      <c r="AV3" s="387"/>
      <c r="AW3" s="387"/>
      <c r="AX3" s="387"/>
      <c r="AY3" s="387"/>
      <c r="AZ3" s="387"/>
      <c r="BA3" s="387"/>
      <c r="BB3" s="387"/>
      <c r="BC3" s="387"/>
      <c r="BD3" s="387"/>
      <c r="BE3" s="387"/>
      <c r="BF3" s="387"/>
      <c r="BG3" s="387"/>
      <c r="BH3" s="387"/>
      <c r="BI3" s="387"/>
      <c r="BJ3" s="387"/>
      <c r="BK3" s="387"/>
      <c r="BL3" s="387"/>
      <c r="BM3" s="387"/>
      <c r="BN3" s="387"/>
      <c r="BO3" s="387"/>
      <c r="BP3" s="387"/>
      <c r="BQ3" s="387"/>
      <c r="BR3" s="387"/>
      <c r="BS3" s="387"/>
      <c r="BT3" s="387"/>
      <c r="BU3" s="387"/>
      <c r="BV3" s="387"/>
      <c r="BW3" s="387"/>
      <c r="BX3" s="387"/>
      <c r="BY3" s="387"/>
      <c r="BZ3" s="387"/>
      <c r="CA3" s="387"/>
      <c r="CB3" s="387"/>
      <c r="CC3" s="387"/>
      <c r="CD3" s="387"/>
      <c r="CE3" s="387"/>
      <c r="CF3" s="387"/>
      <c r="CG3" s="387"/>
      <c r="CH3" s="387"/>
      <c r="CI3" s="387"/>
      <c r="CJ3" s="387"/>
      <c r="CK3" s="387"/>
      <c r="CL3" s="387"/>
      <c r="CM3" s="387"/>
      <c r="CN3" s="387"/>
      <c r="CO3" s="387"/>
      <c r="CP3" s="387"/>
      <c r="CQ3" s="387"/>
      <c r="CR3" s="387"/>
      <c r="CS3" s="387"/>
      <c r="CT3" s="387"/>
      <c r="CU3" s="387"/>
      <c r="CV3" s="387"/>
      <c r="CW3" s="387"/>
      <c r="CX3" s="387"/>
      <c r="CY3" s="387"/>
      <c r="CZ3" s="387"/>
      <c r="DA3" s="387"/>
      <c r="DB3" s="387"/>
      <c r="DC3" s="387"/>
      <c r="DD3" s="387"/>
      <c r="DE3" s="387"/>
      <c r="DF3" s="387"/>
      <c r="DG3" s="387"/>
      <c r="DH3" s="387"/>
      <c r="DI3" s="387"/>
      <c r="DJ3" s="387"/>
      <c r="DK3" s="387"/>
      <c r="DL3" s="387"/>
      <c r="DM3" s="387"/>
      <c r="DN3" s="387"/>
      <c r="DO3" s="387"/>
      <c r="DP3" s="387"/>
      <c r="DQ3" s="387"/>
      <c r="DR3" s="387"/>
      <c r="DS3" s="387"/>
      <c r="DT3" s="387"/>
      <c r="DU3" s="387"/>
      <c r="DV3" s="387"/>
      <c r="DW3" s="387"/>
      <c r="DX3" s="387"/>
      <c r="DY3" s="387"/>
      <c r="DZ3" s="387"/>
      <c r="EA3" s="387"/>
      <c r="EB3" s="387"/>
      <c r="EC3" s="387"/>
      <c r="ED3" s="387"/>
      <c r="EE3" s="387"/>
      <c r="EF3" s="387"/>
      <c r="EG3" s="387"/>
      <c r="EH3" s="387"/>
      <c r="EI3" s="387"/>
      <c r="EJ3" s="387"/>
      <c r="EK3" s="387"/>
      <c r="EL3" s="387"/>
      <c r="EM3" s="387"/>
      <c r="EN3" s="387"/>
      <c r="EO3" s="387"/>
      <c r="EP3" s="387"/>
      <c r="EQ3" s="387"/>
      <c r="ER3" s="387"/>
      <c r="ES3" s="387"/>
      <c r="ET3" s="387"/>
      <c r="EU3" s="387"/>
      <c r="EV3" s="387"/>
      <c r="EW3" s="387"/>
      <c r="EX3" s="387"/>
      <c r="EY3" s="387"/>
      <c r="EZ3" s="387"/>
      <c r="FA3" s="387"/>
      <c r="FB3" s="387"/>
      <c r="FC3" s="387"/>
      <c r="FD3" s="387"/>
      <c r="FE3" s="387"/>
      <c r="FF3" s="387"/>
      <c r="FG3" s="387"/>
      <c r="FH3" s="387"/>
      <c r="FI3" s="387"/>
      <c r="FJ3" s="387"/>
      <c r="FK3" s="387"/>
      <c r="FL3" s="387"/>
      <c r="FM3" s="387"/>
      <c r="FN3" s="387"/>
      <c r="FO3" s="387"/>
      <c r="FP3" s="387"/>
      <c r="FQ3" s="387"/>
      <c r="FR3" s="387"/>
      <c r="FS3" s="387"/>
      <c r="FT3" s="387"/>
      <c r="FU3" s="387"/>
      <c r="FV3" s="387"/>
      <c r="FW3" s="387"/>
      <c r="FX3" s="387"/>
      <c r="FY3" s="387"/>
      <c r="FZ3" s="387"/>
      <c r="GA3" s="387"/>
      <c r="GB3" s="387"/>
      <c r="GC3" s="387"/>
      <c r="GD3" s="387"/>
      <c r="GE3" s="387"/>
      <c r="GF3" s="387"/>
      <c r="GG3" s="387"/>
      <c r="GH3" s="387"/>
      <c r="GI3" s="387"/>
      <c r="GJ3" s="387"/>
      <c r="GK3" s="387"/>
      <c r="GL3" s="387"/>
      <c r="GM3" s="387"/>
      <c r="GN3" s="387"/>
      <c r="GO3" s="387"/>
      <c r="GP3" s="387"/>
      <c r="GQ3" s="387"/>
      <c r="GR3" s="387"/>
      <c r="GS3" s="387"/>
      <c r="GT3" s="387"/>
      <c r="GU3" s="387"/>
      <c r="GV3" s="387"/>
      <c r="GW3" s="387"/>
      <c r="GX3" s="387"/>
      <c r="GY3" s="387"/>
      <c r="GZ3" s="387"/>
      <c r="HA3" s="387"/>
      <c r="HB3" s="387"/>
      <c r="HC3" s="387"/>
      <c r="HD3" s="387"/>
      <c r="HE3" s="387"/>
      <c r="HF3" s="387"/>
      <c r="HG3" s="387"/>
      <c r="HH3" s="387"/>
      <c r="HI3" s="387"/>
      <c r="HJ3" s="387"/>
      <c r="HK3" s="387"/>
      <c r="HL3" s="387"/>
      <c r="HM3" s="387"/>
      <c r="HN3" s="387"/>
      <c r="HO3" s="387"/>
      <c r="HP3" s="387"/>
      <c r="HQ3" s="387"/>
      <c r="HR3" s="387"/>
      <c r="HS3" s="387"/>
      <c r="HT3" s="387"/>
      <c r="HU3" s="387"/>
      <c r="HV3" s="387"/>
      <c r="HW3" s="387"/>
      <c r="HX3" s="387"/>
      <c r="HY3" s="387"/>
      <c r="HZ3" s="387"/>
      <c r="IA3" s="387"/>
      <c r="IB3" s="387"/>
      <c r="IC3" s="387"/>
      <c r="ID3" s="387"/>
      <c r="IE3" s="387"/>
      <c r="IF3" s="387"/>
      <c r="IG3" s="387"/>
      <c r="IH3" s="387"/>
      <c r="II3" s="387"/>
      <c r="IJ3" s="387"/>
      <c r="IK3" s="387"/>
      <c r="IL3" s="387"/>
      <c r="IM3" s="387"/>
      <c r="IN3" s="387"/>
      <c r="IO3" s="387"/>
      <c r="IP3" s="387"/>
      <c r="IQ3" s="387"/>
      <c r="IR3" s="387"/>
      <c r="IS3" s="387"/>
      <c r="IT3" s="387"/>
      <c r="IU3" s="387"/>
      <c r="IV3" s="387"/>
      <c r="IW3" s="387"/>
      <c r="IX3" s="387"/>
      <c r="IY3" s="387"/>
      <c r="IZ3" s="387"/>
      <c r="JA3" s="387"/>
      <c r="JB3" s="387"/>
      <c r="JC3" s="387"/>
      <c r="JD3" s="387"/>
      <c r="JE3" s="387"/>
      <c r="JF3" s="387"/>
      <c r="JG3" s="387"/>
      <c r="JH3" s="387"/>
      <c r="JI3" s="387"/>
      <c r="JJ3" s="387"/>
      <c r="JK3" s="387"/>
      <c r="JL3" s="387"/>
      <c r="JM3" s="387"/>
      <c r="JN3" s="387"/>
      <c r="JO3" s="387"/>
      <c r="JP3" s="387"/>
      <c r="JQ3" s="387"/>
      <c r="JR3" s="387"/>
      <c r="JS3" s="387"/>
      <c r="JT3" s="387"/>
      <c r="JU3" s="387"/>
      <c r="JV3" s="387"/>
      <c r="JW3" s="387"/>
      <c r="JX3" s="387"/>
      <c r="JY3" s="387"/>
      <c r="JZ3" s="387"/>
      <c r="KA3" s="387"/>
      <c r="KB3" s="387"/>
      <c r="KC3" s="387"/>
      <c r="KD3" s="387"/>
      <c r="KE3" s="387"/>
      <c r="KF3" s="387"/>
      <c r="KG3" s="387"/>
      <c r="KH3" s="387"/>
      <c r="KI3" s="387"/>
      <c r="KJ3" s="387"/>
      <c r="KK3" s="387"/>
      <c r="KL3" s="387"/>
      <c r="KM3" s="387"/>
      <c r="KN3" s="387"/>
      <c r="KO3" s="387"/>
      <c r="KP3" s="387"/>
      <c r="KQ3" s="387"/>
      <c r="KR3" s="387"/>
      <c r="KS3" s="387"/>
      <c r="KT3" s="387"/>
      <c r="KU3" s="387"/>
      <c r="KV3" s="387"/>
      <c r="KW3" s="387"/>
      <c r="KX3" s="387"/>
      <c r="KY3" s="387"/>
      <c r="KZ3" s="387"/>
      <c r="LA3" s="387"/>
      <c r="LB3" s="387"/>
      <c r="LC3" s="387"/>
      <c r="LD3" s="387"/>
      <c r="LE3" s="387"/>
      <c r="LF3" s="387"/>
      <c r="LG3" s="387"/>
      <c r="LH3" s="387"/>
      <c r="LI3" s="387"/>
      <c r="LJ3" s="387"/>
      <c r="LK3" s="387"/>
      <c r="LL3" s="387"/>
      <c r="LM3" s="387"/>
      <c r="LN3" s="387"/>
      <c r="LO3" s="387"/>
    </row>
    <row r="4" spans="1:330" x14ac:dyDescent="0.35"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DC4" s="110"/>
      <c r="DD4" s="110"/>
      <c r="DE4" s="110"/>
      <c r="DF4" s="110"/>
      <c r="DG4" s="110"/>
      <c r="DH4" s="110"/>
      <c r="DI4" s="110"/>
      <c r="DJ4" s="110"/>
      <c r="DK4" s="110"/>
      <c r="DL4" s="110"/>
      <c r="DM4" s="110"/>
      <c r="DN4" s="110"/>
      <c r="DO4" s="110"/>
      <c r="DP4" s="110"/>
      <c r="DQ4" s="110"/>
      <c r="DR4" s="110"/>
      <c r="DS4" s="110"/>
      <c r="DT4" s="110"/>
      <c r="DU4" s="110"/>
      <c r="DV4" s="110"/>
      <c r="DW4" s="110"/>
      <c r="DX4" s="110"/>
      <c r="DY4" s="110"/>
      <c r="DZ4" s="110"/>
      <c r="EA4" s="110"/>
      <c r="EB4" s="110"/>
      <c r="EC4" s="110"/>
      <c r="ED4" s="110"/>
      <c r="EE4" s="110"/>
      <c r="FQ4" s="110"/>
      <c r="FR4" s="110"/>
      <c r="FS4" s="110"/>
      <c r="FT4" s="110"/>
      <c r="FU4" s="110"/>
      <c r="FV4" s="110"/>
      <c r="FW4" s="110"/>
      <c r="FX4" s="110"/>
      <c r="FY4" s="110"/>
      <c r="FZ4" s="110"/>
      <c r="GA4" s="110"/>
      <c r="GB4" s="110"/>
      <c r="GC4" s="110"/>
      <c r="GD4" s="110"/>
      <c r="GE4" s="110"/>
      <c r="GF4" s="110"/>
      <c r="GG4" s="110"/>
      <c r="GH4" s="110"/>
      <c r="GI4" s="110"/>
      <c r="GJ4" s="110"/>
      <c r="GK4" s="110"/>
      <c r="GL4" s="110"/>
      <c r="GM4" s="110"/>
      <c r="GN4" s="110"/>
      <c r="GO4" s="110"/>
      <c r="GQ4" s="110"/>
      <c r="GR4" s="110"/>
      <c r="ID4" s="110"/>
      <c r="IE4" s="110"/>
      <c r="IF4" s="110"/>
      <c r="IG4" s="110"/>
      <c r="IH4" s="110"/>
      <c r="II4" s="110"/>
      <c r="IJ4" s="110"/>
      <c r="IK4" s="110"/>
      <c r="IL4" s="110"/>
      <c r="IM4" s="110"/>
      <c r="IN4" s="110"/>
      <c r="IO4" s="110"/>
      <c r="IP4" s="110"/>
      <c r="IQ4" s="110"/>
      <c r="IR4" s="110"/>
      <c r="IS4" s="110"/>
      <c r="IT4" s="110"/>
      <c r="IU4" s="110"/>
      <c r="IV4" s="110"/>
      <c r="IW4" s="110"/>
      <c r="IX4" s="110"/>
      <c r="IY4" s="110"/>
      <c r="IZ4" s="110"/>
      <c r="JA4" s="110"/>
      <c r="JB4" s="110"/>
      <c r="JC4" s="110"/>
      <c r="KP4" s="110"/>
      <c r="KQ4" s="110"/>
      <c r="KR4" s="110"/>
      <c r="KS4" s="110"/>
      <c r="KT4" s="110"/>
      <c r="KU4" s="110"/>
      <c r="KV4" s="110"/>
      <c r="KW4" s="110"/>
      <c r="KX4" s="110"/>
      <c r="KY4" s="110"/>
      <c r="KZ4" s="110"/>
      <c r="LA4" s="110"/>
      <c r="LB4" s="110"/>
      <c r="LC4" s="110"/>
      <c r="LD4" s="110"/>
      <c r="LE4" s="110"/>
      <c r="LF4" s="110"/>
      <c r="LG4" s="110"/>
      <c r="LH4" s="110"/>
      <c r="LI4" s="110"/>
      <c r="LJ4" s="110"/>
      <c r="LK4" s="110"/>
      <c r="LL4" s="110"/>
      <c r="LM4" s="110"/>
      <c r="LN4" s="110"/>
    </row>
    <row r="5" spans="1:330" ht="10.25" customHeight="1" x14ac:dyDescent="0.35"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DC5" s="110"/>
      <c r="DD5" s="110"/>
      <c r="DE5" s="110"/>
      <c r="DF5" s="110"/>
      <c r="DG5" s="110"/>
      <c r="DH5" s="110"/>
      <c r="DI5" s="110"/>
      <c r="DJ5" s="110"/>
      <c r="DK5" s="110"/>
      <c r="DL5" s="110"/>
      <c r="DM5" s="110"/>
      <c r="DN5" s="110"/>
      <c r="DO5" s="110"/>
      <c r="DP5" s="110"/>
      <c r="DQ5" s="110"/>
      <c r="DR5" s="110"/>
      <c r="DS5" s="110"/>
      <c r="DT5" s="110"/>
      <c r="DU5" s="110"/>
      <c r="DV5" s="110"/>
      <c r="DW5" s="110"/>
      <c r="DX5" s="110"/>
      <c r="DY5" s="110"/>
      <c r="DZ5" s="110"/>
      <c r="EA5" s="110"/>
      <c r="EB5" s="110"/>
      <c r="EC5" s="110"/>
      <c r="ED5" s="110"/>
      <c r="EE5" s="110"/>
      <c r="FQ5" s="110"/>
      <c r="FR5" s="110"/>
      <c r="FS5" s="110"/>
      <c r="FT5" s="110"/>
      <c r="FU5" s="110"/>
      <c r="FV5" s="110"/>
      <c r="FW5" s="110"/>
      <c r="FX5" s="110"/>
      <c r="FY5" s="110"/>
      <c r="FZ5" s="110"/>
      <c r="GA5" s="110"/>
      <c r="GB5" s="110"/>
      <c r="GC5" s="110"/>
      <c r="GD5" s="110"/>
      <c r="GE5" s="110"/>
      <c r="GF5" s="110"/>
      <c r="GG5" s="110"/>
      <c r="GH5" s="110"/>
      <c r="GI5" s="110"/>
      <c r="GJ5" s="110"/>
      <c r="GK5" s="110"/>
      <c r="GL5" s="110"/>
      <c r="GM5" s="110"/>
      <c r="GN5" s="110"/>
      <c r="GO5" s="110"/>
      <c r="GQ5" s="110"/>
      <c r="GR5" s="110"/>
      <c r="ID5" s="110"/>
      <c r="IE5" s="110"/>
      <c r="IF5" s="110"/>
      <c r="IG5" s="110"/>
      <c r="IH5" s="110"/>
      <c r="II5" s="110"/>
      <c r="IJ5" s="110"/>
      <c r="IK5" s="110"/>
      <c r="IL5" s="110"/>
      <c r="IM5" s="110"/>
      <c r="IN5" s="110"/>
      <c r="IO5" s="110"/>
      <c r="IP5" s="110"/>
      <c r="IQ5" s="110"/>
      <c r="IR5" s="110"/>
      <c r="IS5" s="110"/>
      <c r="IT5" s="110"/>
      <c r="IU5" s="110"/>
      <c r="IV5" s="110"/>
      <c r="IW5" s="110"/>
      <c r="IX5" s="110"/>
      <c r="IY5" s="110"/>
      <c r="IZ5" s="110"/>
      <c r="JA5" s="110"/>
      <c r="JB5" s="110"/>
      <c r="JC5" s="110"/>
      <c r="KP5" s="110"/>
      <c r="KQ5" s="110"/>
      <c r="KR5" s="110"/>
      <c r="KS5" s="110"/>
      <c r="KT5" s="110"/>
      <c r="KU5" s="110"/>
      <c r="KV5" s="110"/>
      <c r="KW5" s="110"/>
      <c r="KX5" s="110"/>
      <c r="KY5" s="110"/>
      <c r="KZ5" s="110"/>
      <c r="LA5" s="110"/>
      <c r="LB5" s="110"/>
      <c r="LC5" s="110"/>
      <c r="LD5" s="110"/>
      <c r="LE5" s="110"/>
      <c r="LF5" s="110"/>
      <c r="LG5" s="110"/>
      <c r="LH5" s="110"/>
      <c r="LI5" s="110"/>
      <c r="LJ5" s="110"/>
      <c r="LK5" s="110"/>
      <c r="LL5" s="110"/>
      <c r="LM5" s="110"/>
      <c r="LN5" s="110"/>
    </row>
    <row r="6" spans="1:330" s="118" customFormat="1" x14ac:dyDescent="0.35">
      <c r="A6" s="240"/>
      <c r="B6" s="244"/>
      <c r="D6" s="240"/>
      <c r="E6" s="240"/>
      <c r="F6" s="240"/>
      <c r="G6" s="385" t="s">
        <v>165</v>
      </c>
      <c r="H6" s="385"/>
      <c r="I6" s="385"/>
      <c r="J6" s="385"/>
      <c r="K6" s="385"/>
      <c r="L6" s="385"/>
      <c r="M6" s="385"/>
      <c r="N6" s="385"/>
      <c r="O6" s="385"/>
      <c r="P6" s="385"/>
      <c r="R6" s="385" t="s">
        <v>166</v>
      </c>
      <c r="S6" s="385"/>
      <c r="T6" s="385"/>
      <c r="U6" s="385"/>
      <c r="V6" s="385"/>
      <c r="W6" s="385"/>
      <c r="X6" s="385"/>
      <c r="Y6" s="385"/>
      <c r="Z6" s="385"/>
      <c r="AA6" s="385"/>
      <c r="AB6" s="240"/>
      <c r="AC6" s="385" t="s">
        <v>167</v>
      </c>
      <c r="AD6" s="385"/>
      <c r="AE6" s="385"/>
      <c r="AF6" s="385"/>
      <c r="AG6" s="385"/>
      <c r="AH6" s="385"/>
      <c r="AI6" s="385"/>
      <c r="AJ6" s="385"/>
      <c r="AK6" s="385"/>
      <c r="AL6" s="385"/>
      <c r="AM6" s="385"/>
      <c r="AN6" s="385"/>
      <c r="AO6" s="240"/>
      <c r="AP6" s="385" t="s">
        <v>168</v>
      </c>
      <c r="AQ6" s="385"/>
      <c r="AR6" s="385"/>
      <c r="AS6" s="385"/>
      <c r="AT6" s="385"/>
      <c r="AU6" s="385"/>
      <c r="AV6" s="385"/>
      <c r="AW6" s="385"/>
      <c r="AX6" s="385"/>
      <c r="AY6" s="385"/>
      <c r="AZ6" s="385"/>
      <c r="BA6" s="385"/>
      <c r="BC6" s="385" t="s">
        <v>169</v>
      </c>
      <c r="BD6" s="385"/>
      <c r="BE6" s="385"/>
      <c r="BF6" s="385"/>
      <c r="BG6" s="385"/>
      <c r="BH6" s="385"/>
      <c r="BI6" s="385"/>
      <c r="BJ6" s="385"/>
      <c r="BK6" s="385"/>
      <c r="BL6" s="385"/>
      <c r="BM6" s="385"/>
      <c r="BN6" s="385"/>
      <c r="BV6" s="385" t="s">
        <v>165</v>
      </c>
      <c r="BW6" s="385"/>
      <c r="BX6" s="385"/>
      <c r="BY6" s="385"/>
      <c r="BZ6" s="385"/>
      <c r="CA6" s="385"/>
      <c r="CB6" s="385"/>
      <c r="CC6" s="385"/>
      <c r="CD6" s="385"/>
      <c r="CE6" s="385"/>
      <c r="CG6" s="385" t="s">
        <v>166</v>
      </c>
      <c r="CH6" s="385"/>
      <c r="CI6" s="385"/>
      <c r="CJ6" s="385"/>
      <c r="CK6" s="385"/>
      <c r="CL6" s="385"/>
      <c r="CM6" s="385"/>
      <c r="CN6" s="385"/>
      <c r="CO6" s="385"/>
      <c r="CP6" s="385"/>
      <c r="CQ6" s="240"/>
      <c r="CR6" s="385" t="s">
        <v>167</v>
      </c>
      <c r="CS6" s="385"/>
      <c r="CT6" s="385"/>
      <c r="CU6" s="385"/>
      <c r="CV6" s="385"/>
      <c r="CW6" s="385"/>
      <c r="CX6" s="385"/>
      <c r="CY6" s="385"/>
      <c r="CZ6" s="385"/>
      <c r="DA6" s="385"/>
      <c r="DB6" s="240"/>
      <c r="DC6" s="385" t="s">
        <v>168</v>
      </c>
      <c r="DD6" s="385"/>
      <c r="DE6" s="385"/>
      <c r="DF6" s="385"/>
      <c r="DG6" s="385"/>
      <c r="DH6" s="385"/>
      <c r="DI6" s="385"/>
      <c r="DJ6" s="385"/>
      <c r="DK6" s="385"/>
      <c r="DL6" s="385"/>
      <c r="DM6" s="385"/>
      <c r="DN6" s="385"/>
      <c r="DP6" s="385" t="s">
        <v>169</v>
      </c>
      <c r="DQ6" s="385"/>
      <c r="DR6" s="385"/>
      <c r="DS6" s="385"/>
      <c r="DT6" s="385"/>
      <c r="DU6" s="385"/>
      <c r="DV6" s="385"/>
      <c r="DW6" s="385"/>
      <c r="DX6" s="385"/>
      <c r="DY6" s="385"/>
      <c r="DZ6" s="385"/>
      <c r="EA6" s="385"/>
      <c r="EJ6" s="385" t="s">
        <v>165</v>
      </c>
      <c r="EK6" s="385"/>
      <c r="EL6" s="385"/>
      <c r="EM6" s="385"/>
      <c r="EN6" s="385"/>
      <c r="EO6" s="385"/>
      <c r="EP6" s="385"/>
      <c r="EQ6" s="385"/>
      <c r="ER6" s="385"/>
      <c r="ES6" s="385"/>
      <c r="EU6" s="385" t="s">
        <v>166</v>
      </c>
      <c r="EV6" s="385"/>
      <c r="EW6" s="385"/>
      <c r="EX6" s="385"/>
      <c r="EY6" s="385"/>
      <c r="EZ6" s="385"/>
      <c r="FA6" s="385"/>
      <c r="FB6" s="385"/>
      <c r="FC6" s="385"/>
      <c r="FD6" s="385"/>
      <c r="FE6" s="240"/>
      <c r="FF6" s="385" t="s">
        <v>167</v>
      </c>
      <c r="FG6" s="385"/>
      <c r="FH6" s="385"/>
      <c r="FI6" s="385"/>
      <c r="FJ6" s="385"/>
      <c r="FK6" s="385"/>
      <c r="FL6" s="385"/>
      <c r="FM6" s="385"/>
      <c r="FN6" s="385"/>
      <c r="FO6" s="385"/>
      <c r="FP6" s="240"/>
      <c r="FQ6" s="385" t="s">
        <v>168</v>
      </c>
      <c r="FR6" s="385"/>
      <c r="FS6" s="385"/>
      <c r="FT6" s="385"/>
      <c r="FU6" s="385"/>
      <c r="FV6" s="385"/>
      <c r="FW6" s="385"/>
      <c r="FX6" s="385"/>
      <c r="FY6" s="385"/>
      <c r="FZ6" s="385"/>
      <c r="GA6" s="385"/>
      <c r="GB6" s="385"/>
      <c r="GD6" s="385" t="s">
        <v>169</v>
      </c>
      <c r="GE6" s="385"/>
      <c r="GF6" s="385"/>
      <c r="GG6" s="385"/>
      <c r="GH6" s="385"/>
      <c r="GI6" s="385"/>
      <c r="GJ6" s="385"/>
      <c r="GK6" s="385"/>
      <c r="GL6" s="385"/>
      <c r="GM6" s="385"/>
      <c r="GN6" s="385"/>
      <c r="GO6" s="385"/>
      <c r="GW6" s="385" t="s">
        <v>165</v>
      </c>
      <c r="GX6" s="385"/>
      <c r="GY6" s="385"/>
      <c r="GZ6" s="385"/>
      <c r="HA6" s="385"/>
      <c r="HB6" s="385"/>
      <c r="HC6" s="385"/>
      <c r="HD6" s="385"/>
      <c r="HE6" s="385"/>
      <c r="HF6" s="385"/>
      <c r="HH6" s="385" t="s">
        <v>166</v>
      </c>
      <c r="HI6" s="385"/>
      <c r="HJ6" s="385"/>
      <c r="HK6" s="385"/>
      <c r="HL6" s="385"/>
      <c r="HM6" s="385"/>
      <c r="HN6" s="385"/>
      <c r="HO6" s="385"/>
      <c r="HP6" s="385"/>
      <c r="HQ6" s="385"/>
      <c r="HR6" s="240"/>
      <c r="HS6" s="385" t="s">
        <v>167</v>
      </c>
      <c r="HT6" s="385"/>
      <c r="HU6" s="385"/>
      <c r="HV6" s="385"/>
      <c r="HW6" s="385"/>
      <c r="HX6" s="385"/>
      <c r="HY6" s="385"/>
      <c r="HZ6" s="385"/>
      <c r="IA6" s="385"/>
      <c r="IB6" s="385"/>
      <c r="IC6" s="240"/>
      <c r="ID6" s="385" t="s">
        <v>168</v>
      </c>
      <c r="IE6" s="385"/>
      <c r="IF6" s="385"/>
      <c r="IG6" s="385"/>
      <c r="IH6" s="385"/>
      <c r="II6" s="385"/>
      <c r="IJ6" s="385"/>
      <c r="IK6" s="385"/>
      <c r="IL6" s="385"/>
      <c r="IM6" s="385"/>
      <c r="IN6" s="385"/>
      <c r="IO6" s="385"/>
      <c r="IQ6" s="385" t="s">
        <v>169</v>
      </c>
      <c r="IR6" s="385"/>
      <c r="IS6" s="385"/>
      <c r="IT6" s="385"/>
      <c r="IU6" s="385"/>
      <c r="IV6" s="385"/>
      <c r="IW6" s="385"/>
      <c r="IX6" s="385"/>
      <c r="IY6" s="385"/>
      <c r="IZ6" s="385"/>
      <c r="JA6" s="385"/>
      <c r="JB6" s="385"/>
      <c r="JC6" s="320"/>
      <c r="JI6" s="385" t="s">
        <v>165</v>
      </c>
      <c r="JJ6" s="385"/>
      <c r="JK6" s="385"/>
      <c r="JL6" s="385"/>
      <c r="JM6" s="385"/>
      <c r="JN6" s="385"/>
      <c r="JO6" s="385"/>
      <c r="JP6" s="385"/>
      <c r="JQ6" s="385"/>
      <c r="JR6" s="385"/>
      <c r="JT6" s="385" t="s">
        <v>166</v>
      </c>
      <c r="JU6" s="385"/>
      <c r="JV6" s="385"/>
      <c r="JW6" s="385"/>
      <c r="JX6" s="385"/>
      <c r="JY6" s="385"/>
      <c r="JZ6" s="385"/>
      <c r="KA6" s="385"/>
      <c r="KB6" s="385"/>
      <c r="KC6" s="385"/>
      <c r="KD6" s="240"/>
      <c r="KE6" s="385" t="s">
        <v>167</v>
      </c>
      <c r="KF6" s="385"/>
      <c r="KG6" s="385"/>
      <c r="KH6" s="385"/>
      <c r="KI6" s="385"/>
      <c r="KJ6" s="385"/>
      <c r="KK6" s="385"/>
      <c r="KL6" s="385"/>
      <c r="KM6" s="385"/>
      <c r="KN6" s="385"/>
      <c r="KO6" s="240"/>
      <c r="KP6" s="385" t="s">
        <v>168</v>
      </c>
      <c r="KQ6" s="385"/>
      <c r="KR6" s="385"/>
      <c r="KS6" s="385"/>
      <c r="KT6" s="385"/>
      <c r="KU6" s="385"/>
      <c r="KV6" s="385"/>
      <c r="KW6" s="385"/>
      <c r="KX6" s="385"/>
      <c r="KY6" s="385"/>
      <c r="KZ6" s="385"/>
      <c r="LA6" s="385"/>
      <c r="LC6" s="385" t="s">
        <v>169</v>
      </c>
      <c r="LD6" s="385"/>
      <c r="LE6" s="385"/>
      <c r="LF6" s="385"/>
      <c r="LG6" s="385"/>
      <c r="LH6" s="385"/>
      <c r="LI6" s="385"/>
      <c r="LJ6" s="385"/>
      <c r="LK6" s="385"/>
      <c r="LL6" s="385"/>
      <c r="LM6" s="385"/>
      <c r="LN6" s="385"/>
    </row>
    <row r="7" spans="1:330" ht="10.25" customHeight="1" x14ac:dyDescent="0.35"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275"/>
      <c r="BR7" s="275"/>
      <c r="BS7" s="275"/>
      <c r="BT7" s="275"/>
      <c r="BU7" s="275"/>
      <c r="BV7" s="115"/>
      <c r="BW7" s="115"/>
      <c r="BX7" s="115"/>
      <c r="BY7" s="115"/>
      <c r="BZ7" s="115"/>
      <c r="CA7" s="115"/>
      <c r="CB7" s="115"/>
      <c r="CC7" s="115"/>
      <c r="CD7" s="115"/>
      <c r="CE7" s="115"/>
      <c r="CF7" s="115"/>
      <c r="CG7" s="115"/>
      <c r="CH7" s="115"/>
      <c r="CI7" s="115"/>
      <c r="CJ7" s="115"/>
      <c r="CK7" s="115"/>
      <c r="CL7" s="115"/>
      <c r="CM7" s="115"/>
      <c r="CN7" s="115"/>
      <c r="CO7" s="115"/>
      <c r="CP7" s="115"/>
      <c r="CR7" s="115"/>
      <c r="CS7" s="115"/>
      <c r="CT7" s="115"/>
      <c r="CU7" s="115"/>
      <c r="CV7" s="115"/>
      <c r="CW7" s="115"/>
      <c r="CX7" s="115"/>
      <c r="CY7" s="115"/>
      <c r="CZ7" s="115"/>
      <c r="DA7" s="115"/>
      <c r="DC7" s="115"/>
      <c r="DD7" s="115"/>
      <c r="DE7" s="115"/>
      <c r="DF7" s="115"/>
      <c r="DG7" s="115"/>
      <c r="DH7" s="115"/>
      <c r="DI7" s="115"/>
      <c r="DJ7" s="115"/>
      <c r="DK7" s="115"/>
      <c r="DL7" s="115"/>
      <c r="DM7" s="115"/>
      <c r="DN7" s="115"/>
      <c r="DO7" s="115"/>
      <c r="DP7" s="115"/>
      <c r="DQ7" s="115"/>
      <c r="DR7" s="115"/>
      <c r="DS7" s="115"/>
      <c r="DT7" s="115"/>
      <c r="DU7" s="115"/>
      <c r="DV7" s="115"/>
      <c r="DW7" s="115"/>
      <c r="DX7" s="115"/>
      <c r="DY7" s="115"/>
      <c r="DZ7" s="115"/>
      <c r="EA7" s="115"/>
      <c r="EB7" s="115"/>
      <c r="EC7" s="115"/>
      <c r="ED7" s="275"/>
      <c r="EE7" s="275"/>
      <c r="EF7" s="275"/>
      <c r="EG7" s="275"/>
      <c r="EH7" s="275"/>
      <c r="EI7" s="115"/>
      <c r="EJ7" s="115"/>
      <c r="EK7" s="115"/>
      <c r="EL7" s="115"/>
      <c r="EM7" s="115"/>
      <c r="EN7" s="115"/>
      <c r="EO7" s="115"/>
      <c r="EP7" s="115"/>
      <c r="EQ7" s="115"/>
      <c r="ER7" s="115"/>
      <c r="ES7" s="115"/>
      <c r="ET7" s="115"/>
      <c r="EU7" s="115"/>
      <c r="EV7" s="115"/>
      <c r="EW7" s="115"/>
      <c r="EX7" s="115"/>
      <c r="EY7" s="115"/>
      <c r="EZ7" s="115"/>
      <c r="FA7" s="115"/>
      <c r="FB7" s="115"/>
      <c r="FC7" s="115"/>
      <c r="FD7" s="115"/>
      <c r="FF7" s="115"/>
      <c r="FG7" s="115"/>
      <c r="FH7" s="115"/>
      <c r="FI7" s="115"/>
      <c r="FJ7" s="115"/>
      <c r="FK7" s="115"/>
      <c r="FL7" s="115"/>
      <c r="FM7" s="115"/>
      <c r="FN7" s="115"/>
      <c r="FO7" s="115"/>
      <c r="FQ7" s="115"/>
      <c r="FR7" s="115"/>
      <c r="FS7" s="115"/>
      <c r="FT7" s="115"/>
      <c r="FU7" s="115"/>
      <c r="FV7" s="115"/>
      <c r="FW7" s="115"/>
      <c r="FX7" s="115"/>
      <c r="FY7" s="115"/>
      <c r="FZ7" s="115"/>
      <c r="GA7" s="115"/>
      <c r="GB7" s="115"/>
      <c r="GC7" s="115"/>
      <c r="GD7" s="115"/>
      <c r="GE7" s="115"/>
      <c r="GF7" s="115"/>
      <c r="GG7" s="115"/>
      <c r="GH7" s="115"/>
      <c r="GI7" s="115"/>
      <c r="GJ7" s="115"/>
      <c r="GK7" s="115"/>
      <c r="GL7" s="115"/>
      <c r="GM7" s="115"/>
      <c r="GN7" s="115"/>
      <c r="GO7" s="115"/>
      <c r="GQ7" s="275"/>
      <c r="GR7" s="275"/>
      <c r="GS7" s="275"/>
      <c r="GT7" s="275"/>
      <c r="GU7" s="275"/>
      <c r="GV7" s="115"/>
      <c r="GW7" s="115"/>
      <c r="GX7" s="115"/>
      <c r="GY7" s="115"/>
      <c r="GZ7" s="115"/>
      <c r="HA7" s="115"/>
      <c r="HB7" s="115"/>
      <c r="HC7" s="115"/>
      <c r="HD7" s="115"/>
      <c r="HE7" s="115"/>
      <c r="HF7" s="115"/>
      <c r="HG7" s="115"/>
      <c r="HH7" s="115"/>
      <c r="HI7" s="115"/>
      <c r="HJ7" s="115"/>
      <c r="HK7" s="115"/>
      <c r="HL7" s="115"/>
      <c r="HM7" s="115"/>
      <c r="HN7" s="115"/>
      <c r="HO7" s="115"/>
      <c r="HP7" s="115"/>
      <c r="HQ7" s="115"/>
      <c r="HS7" s="115"/>
      <c r="HT7" s="115"/>
      <c r="HU7" s="115"/>
      <c r="HV7" s="115"/>
      <c r="HW7" s="115"/>
      <c r="HX7" s="115"/>
      <c r="HY7" s="115"/>
      <c r="HZ7" s="115"/>
      <c r="IA7" s="115"/>
      <c r="IB7" s="115"/>
      <c r="ID7" s="115"/>
      <c r="IE7" s="115"/>
      <c r="IF7" s="115"/>
      <c r="IG7" s="115"/>
      <c r="IH7" s="115"/>
      <c r="II7" s="115"/>
      <c r="IJ7" s="115"/>
      <c r="IK7" s="115"/>
      <c r="IL7" s="115"/>
      <c r="IM7" s="115"/>
      <c r="IN7" s="115"/>
      <c r="IO7" s="115"/>
      <c r="IP7" s="115"/>
      <c r="IQ7" s="115"/>
      <c r="IR7" s="115"/>
      <c r="IS7" s="115"/>
      <c r="IT7" s="115"/>
      <c r="IU7" s="115"/>
      <c r="IV7" s="115"/>
      <c r="IW7" s="115"/>
      <c r="IX7" s="115"/>
      <c r="IY7" s="115"/>
      <c r="IZ7" s="115"/>
      <c r="JA7" s="115"/>
      <c r="JB7" s="115"/>
      <c r="JC7" s="115"/>
      <c r="JF7" s="115"/>
      <c r="JG7" s="115"/>
      <c r="JH7" s="115"/>
      <c r="JI7" s="115"/>
      <c r="JJ7" s="115"/>
      <c r="JK7" s="115"/>
      <c r="JL7" s="115"/>
      <c r="JM7" s="115"/>
      <c r="JN7" s="115"/>
      <c r="JO7" s="115"/>
      <c r="JP7" s="115"/>
      <c r="JQ7" s="115"/>
      <c r="JR7" s="115"/>
      <c r="JS7" s="115"/>
      <c r="JT7" s="115"/>
      <c r="JU7" s="115"/>
      <c r="JV7" s="115"/>
      <c r="JW7" s="115"/>
      <c r="JX7" s="115"/>
      <c r="JY7" s="115"/>
      <c r="JZ7" s="115"/>
      <c r="KA7" s="115"/>
      <c r="KB7" s="115"/>
      <c r="KC7" s="115"/>
      <c r="KE7" s="115"/>
      <c r="KF7" s="115"/>
      <c r="KG7" s="115"/>
      <c r="KH7" s="115"/>
      <c r="KI7" s="115"/>
      <c r="KJ7" s="115"/>
      <c r="KK7" s="115"/>
      <c r="KL7" s="115"/>
      <c r="KM7" s="115"/>
      <c r="KN7" s="115"/>
      <c r="KP7" s="115"/>
      <c r="KQ7" s="115"/>
      <c r="KR7" s="115"/>
      <c r="KS7" s="115"/>
      <c r="KT7" s="115"/>
      <c r="KU7" s="115"/>
      <c r="KV7" s="115"/>
      <c r="KW7" s="115"/>
      <c r="KX7" s="115"/>
      <c r="KY7" s="115"/>
      <c r="KZ7" s="115"/>
      <c r="LA7" s="115"/>
      <c r="LB7" s="115"/>
      <c r="LC7" s="115"/>
      <c r="LD7" s="115"/>
      <c r="LE7" s="115"/>
      <c r="LF7" s="115"/>
      <c r="LG7" s="115"/>
      <c r="LH7" s="115"/>
      <c r="LI7" s="115"/>
      <c r="LJ7" s="115"/>
      <c r="LK7" s="115"/>
      <c r="LL7" s="115"/>
      <c r="LM7" s="115"/>
      <c r="LN7" s="115"/>
      <c r="LO7" s="115"/>
    </row>
    <row r="8" spans="1:330" ht="24" customHeight="1" x14ac:dyDescent="0.35">
      <c r="A8" s="242" t="str">
        <f>'2. Boletim de Medição'!B18</f>
        <v>1.1.1</v>
      </c>
      <c r="B8" s="241" t="s">
        <v>199</v>
      </c>
      <c r="D8" s="242" t="str">
        <f>_xlfn.XLOOKUP(A8,'2. Boletim de Medição'!B:B,'2. Boletim de Medição'!E:E)</f>
        <v>M²</v>
      </c>
      <c r="E8" s="242" t="s">
        <v>76</v>
      </c>
      <c r="G8" s="115"/>
      <c r="H8" s="381"/>
      <c r="I8" s="382"/>
      <c r="J8" s="382"/>
      <c r="K8" s="382"/>
      <c r="L8" s="382"/>
      <c r="M8" s="382"/>
      <c r="N8" s="382"/>
      <c r="O8" s="383"/>
      <c r="P8" s="115"/>
      <c r="Q8" s="115"/>
      <c r="R8" s="115"/>
      <c r="S8" s="384"/>
      <c r="T8" s="384"/>
      <c r="U8" s="384"/>
      <c r="V8" s="384"/>
      <c r="W8" s="384"/>
      <c r="X8" s="384"/>
      <c r="Y8" s="384"/>
      <c r="Z8" s="384"/>
      <c r="AA8" s="115"/>
      <c r="AC8" s="115"/>
      <c r="AD8" s="384"/>
      <c r="AE8" s="384"/>
      <c r="AF8" s="384"/>
      <c r="AG8" s="384"/>
      <c r="AH8" s="384"/>
      <c r="AI8" s="384"/>
      <c r="AJ8" s="384"/>
      <c r="AK8" s="384"/>
      <c r="AL8" s="384"/>
      <c r="AM8" s="384"/>
      <c r="AN8" s="115"/>
      <c r="AP8" s="115"/>
      <c r="AQ8" s="381"/>
      <c r="AR8" s="382"/>
      <c r="AS8" s="382"/>
      <c r="AT8" s="382"/>
      <c r="AU8" s="382"/>
      <c r="AV8" s="382"/>
      <c r="AW8" s="382"/>
      <c r="AX8" s="382"/>
      <c r="AY8" s="382"/>
      <c r="AZ8" s="383"/>
      <c r="BA8" s="115"/>
      <c r="BB8" s="115"/>
      <c r="BC8" s="115"/>
      <c r="BD8" s="384"/>
      <c r="BE8" s="384"/>
      <c r="BF8" s="384"/>
      <c r="BG8" s="384"/>
      <c r="BH8" s="384"/>
      <c r="BI8" s="384"/>
      <c r="BJ8" s="384"/>
      <c r="BK8" s="384"/>
      <c r="BL8" s="384"/>
      <c r="BM8" s="384"/>
      <c r="BN8" s="115"/>
      <c r="BO8" s="115"/>
      <c r="BP8" s="115"/>
      <c r="BQ8" s="275" t="str">
        <f>'2. Boletim de Medição'!B19</f>
        <v>1.1.2</v>
      </c>
      <c r="BR8" s="241" t="str">
        <f>_xlfn.XLOOKUP(BQ8,'2. Boletim de Medição'!B:B,'2. Boletim de Medição'!D:D)</f>
        <v>Mao de Obra Colocacao Piso Ceramico</v>
      </c>
      <c r="BS8" s="275"/>
      <c r="BT8" s="275" t="s">
        <v>96</v>
      </c>
      <c r="BU8" s="275" t="s">
        <v>76</v>
      </c>
      <c r="BV8" s="115"/>
      <c r="BW8" s="381"/>
      <c r="BX8" s="382"/>
      <c r="BY8" s="382"/>
      <c r="BZ8" s="382"/>
      <c r="CA8" s="382"/>
      <c r="CB8" s="382"/>
      <c r="CC8" s="382"/>
      <c r="CD8" s="383"/>
      <c r="CE8" s="115"/>
      <c r="CF8" s="115"/>
      <c r="CG8" s="115"/>
      <c r="CH8" s="384"/>
      <c r="CI8" s="384"/>
      <c r="CJ8" s="384"/>
      <c r="CK8" s="384"/>
      <c r="CL8" s="384"/>
      <c r="CM8" s="384"/>
      <c r="CN8" s="384"/>
      <c r="CO8" s="384"/>
      <c r="CP8" s="115"/>
      <c r="CR8" s="115"/>
      <c r="CS8" s="384"/>
      <c r="CT8" s="384"/>
      <c r="CU8" s="384"/>
      <c r="CV8" s="384"/>
      <c r="CW8" s="384"/>
      <c r="CX8" s="384"/>
      <c r="CY8" s="384"/>
      <c r="CZ8" s="384"/>
      <c r="DA8" s="115"/>
      <c r="DC8" s="115"/>
      <c r="DD8" s="381"/>
      <c r="DE8" s="382"/>
      <c r="DF8" s="382"/>
      <c r="DG8" s="382"/>
      <c r="DH8" s="382"/>
      <c r="DI8" s="382"/>
      <c r="DJ8" s="382"/>
      <c r="DK8" s="382"/>
      <c r="DL8" s="382"/>
      <c r="DM8" s="383"/>
      <c r="DN8" s="115"/>
      <c r="DO8" s="115"/>
      <c r="DP8" s="115"/>
      <c r="DQ8" s="384"/>
      <c r="DR8" s="384"/>
      <c r="DS8" s="384"/>
      <c r="DT8" s="384"/>
      <c r="DU8" s="384"/>
      <c r="DV8" s="384"/>
      <c r="DW8" s="384"/>
      <c r="DX8" s="384"/>
      <c r="DY8" s="384"/>
      <c r="DZ8" s="384"/>
      <c r="EA8" s="115"/>
      <c r="EB8" s="115"/>
      <c r="EC8" s="115"/>
      <c r="ED8" s="275" t="str">
        <f>'2. Boletim de Medição'!B20</f>
        <v>1.1.3</v>
      </c>
      <c r="EE8" s="241" t="str">
        <f>_xlfn.XLOOKUP(ED8,'2. Boletim de Medição'!B:B,'2. Boletim de Medição'!D:D)</f>
        <v>M.O para colocação de soleiras</v>
      </c>
      <c r="EF8" s="275"/>
      <c r="EG8" s="275" t="s">
        <v>96</v>
      </c>
      <c r="EH8" s="275" t="s">
        <v>76</v>
      </c>
      <c r="EI8" s="115"/>
      <c r="EJ8" s="115"/>
      <c r="EK8" s="381"/>
      <c r="EL8" s="382"/>
      <c r="EM8" s="382"/>
      <c r="EN8" s="382"/>
      <c r="EO8" s="382"/>
      <c r="EP8" s="382"/>
      <c r="EQ8" s="382"/>
      <c r="ER8" s="383"/>
      <c r="ES8" s="115"/>
      <c r="ET8" s="115"/>
      <c r="EU8" s="115"/>
      <c r="EV8" s="384"/>
      <c r="EW8" s="384"/>
      <c r="EX8" s="384"/>
      <c r="EY8" s="384"/>
      <c r="EZ8" s="384"/>
      <c r="FA8" s="384"/>
      <c r="FB8" s="384"/>
      <c r="FC8" s="384"/>
      <c r="FD8" s="115"/>
      <c r="FF8" s="115"/>
      <c r="FG8" s="384"/>
      <c r="FH8" s="384"/>
      <c r="FI8" s="384"/>
      <c r="FJ8" s="384"/>
      <c r="FK8" s="384"/>
      <c r="FL8" s="384"/>
      <c r="FM8" s="384"/>
      <c r="FN8" s="384"/>
      <c r="FO8" s="115"/>
      <c r="FQ8" s="115"/>
      <c r="FR8" s="381"/>
      <c r="FS8" s="382"/>
      <c r="FT8" s="382"/>
      <c r="FU8" s="382"/>
      <c r="FV8" s="382"/>
      <c r="FW8" s="382"/>
      <c r="FX8" s="382"/>
      <c r="FY8" s="382"/>
      <c r="FZ8" s="382"/>
      <c r="GA8" s="383"/>
      <c r="GB8" s="115"/>
      <c r="GC8" s="115"/>
      <c r="GD8" s="115"/>
      <c r="GE8" s="384"/>
      <c r="GF8" s="384"/>
      <c r="GG8" s="384"/>
      <c r="GH8" s="384"/>
      <c r="GI8" s="384"/>
      <c r="GJ8" s="384"/>
      <c r="GK8" s="384"/>
      <c r="GL8" s="384"/>
      <c r="GM8" s="384"/>
      <c r="GN8" s="384"/>
      <c r="GO8" s="115"/>
      <c r="GQ8" s="275" t="str">
        <f>'2. Boletim de Medição'!B21</f>
        <v>1.1.4</v>
      </c>
      <c r="GR8" s="241" t="str">
        <f>_xlfn.XLOOKUP(GQ8,'2. Boletim de Medição'!B:B,'2. Boletim de Medição'!D:D)</f>
        <v>M.O. para colocação de baguetes</v>
      </c>
      <c r="GS8" s="275"/>
      <c r="GT8" s="275" t="s">
        <v>96</v>
      </c>
      <c r="GU8" s="275" t="s">
        <v>76</v>
      </c>
      <c r="GV8" s="115"/>
      <c r="GW8" s="115"/>
      <c r="GX8" s="381"/>
      <c r="GY8" s="382"/>
      <c r="GZ8" s="382"/>
      <c r="HA8" s="382"/>
      <c r="HB8" s="382"/>
      <c r="HC8" s="382"/>
      <c r="HD8" s="382"/>
      <c r="HE8" s="383"/>
      <c r="HF8" s="115"/>
      <c r="HG8" s="115"/>
      <c r="HH8" s="115"/>
      <c r="HI8" s="384"/>
      <c r="HJ8" s="384"/>
      <c r="HK8" s="384"/>
      <c r="HL8" s="384"/>
      <c r="HM8" s="384"/>
      <c r="HN8" s="384"/>
      <c r="HO8" s="384"/>
      <c r="HP8" s="384"/>
      <c r="HQ8" s="115"/>
      <c r="HS8" s="115"/>
      <c r="HT8" s="384"/>
      <c r="HU8" s="384"/>
      <c r="HV8" s="384"/>
      <c r="HW8" s="384"/>
      <c r="HX8" s="384"/>
      <c r="HY8" s="384"/>
      <c r="HZ8" s="384"/>
      <c r="IA8" s="384"/>
      <c r="IB8" s="115"/>
      <c r="ID8" s="115"/>
      <c r="IE8" s="381"/>
      <c r="IF8" s="382"/>
      <c r="IG8" s="382"/>
      <c r="IH8" s="382"/>
      <c r="II8" s="382"/>
      <c r="IJ8" s="382"/>
      <c r="IK8" s="382"/>
      <c r="IL8" s="382"/>
      <c r="IM8" s="382"/>
      <c r="IN8" s="383"/>
      <c r="IO8" s="115"/>
      <c r="IP8" s="115"/>
      <c r="IQ8" s="115"/>
      <c r="IR8" s="384"/>
      <c r="IS8" s="384"/>
      <c r="IT8" s="384"/>
      <c r="IU8" s="384"/>
      <c r="IV8" s="384"/>
      <c r="IW8" s="384"/>
      <c r="IX8" s="384"/>
      <c r="IY8" s="384"/>
      <c r="IZ8" s="384"/>
      <c r="JA8" s="384"/>
      <c r="JB8" s="115"/>
      <c r="JC8" s="115"/>
      <c r="JD8" s="275" t="str">
        <f>'2. Boletim de Medição'!B22</f>
        <v>1.1.5</v>
      </c>
      <c r="JE8" s="110" t="str">
        <f>_xlfn.XLOOKUP(JD8,'2. Boletim de Medição'!B:B,'2. Boletim de Medição'!D:D)</f>
        <v xml:space="preserve">	Rodapé Cerâmico | Porcelanato - Serviço M.O Subcontrato</v>
      </c>
      <c r="JF8" s="275"/>
      <c r="JG8" s="275"/>
      <c r="JI8" s="115"/>
      <c r="JJ8" s="381"/>
      <c r="JK8" s="382"/>
      <c r="JL8" s="382"/>
      <c r="JM8" s="382"/>
      <c r="JN8" s="382"/>
      <c r="JO8" s="382"/>
      <c r="JP8" s="382"/>
      <c r="JQ8" s="383"/>
      <c r="JR8" s="115"/>
      <c r="JS8" s="115"/>
      <c r="JT8" s="115"/>
      <c r="JU8" s="384"/>
      <c r="JV8" s="384"/>
      <c r="JW8" s="384"/>
      <c r="JX8" s="384"/>
      <c r="JY8" s="384"/>
      <c r="JZ8" s="384"/>
      <c r="KA8" s="384"/>
      <c r="KB8" s="384"/>
      <c r="KC8" s="115"/>
      <c r="KE8" s="115"/>
      <c r="KF8" s="384"/>
      <c r="KG8" s="384"/>
      <c r="KH8" s="384"/>
      <c r="KI8" s="384"/>
      <c r="KJ8" s="384"/>
      <c r="KK8" s="384"/>
      <c r="KL8" s="384"/>
      <c r="KM8" s="384"/>
      <c r="KN8" s="115"/>
      <c r="KP8" s="115"/>
      <c r="KQ8" s="381"/>
      <c r="KR8" s="382"/>
      <c r="KS8" s="382"/>
      <c r="KT8" s="382"/>
      <c r="KU8" s="382"/>
      <c r="KV8" s="382"/>
      <c r="KW8" s="382"/>
      <c r="KX8" s="382"/>
      <c r="KY8" s="382"/>
      <c r="KZ8" s="383"/>
      <c r="LA8" s="115"/>
      <c r="LB8" s="115"/>
      <c r="LC8" s="115"/>
      <c r="LD8" s="384"/>
      <c r="LE8" s="384"/>
      <c r="LF8" s="384"/>
      <c r="LG8" s="384"/>
      <c r="LH8" s="384"/>
      <c r="LI8" s="384"/>
      <c r="LJ8" s="384"/>
      <c r="LK8" s="384"/>
      <c r="LL8" s="384"/>
      <c r="LM8" s="384"/>
      <c r="LN8" s="115"/>
    </row>
    <row r="9" spans="1:330" ht="24" customHeight="1" x14ac:dyDescent="0.35">
      <c r="A9" s="242" t="s">
        <v>57</v>
      </c>
      <c r="B9" s="241" t="str">
        <f>_xlfn.XLOOKUP(A9,'2. Boletim de Medição'!B:B,'2. Boletim de Medição'!D:D)</f>
        <v>Mao de Obra Colocacao de Azulejo</v>
      </c>
      <c r="D9" s="242" t="str">
        <f>_xlfn.XLOOKUP(A9,'2. Boletim de Medição'!B:B,'2. Boletim de Medição'!E:E)</f>
        <v>M²</v>
      </c>
      <c r="E9" s="242" t="s">
        <v>100</v>
      </c>
      <c r="G9" s="115"/>
      <c r="H9" s="381"/>
      <c r="I9" s="382"/>
      <c r="J9" s="382"/>
      <c r="K9" s="382"/>
      <c r="L9" s="382"/>
      <c r="M9" s="382"/>
      <c r="N9" s="382"/>
      <c r="O9" s="383"/>
      <c r="P9" s="115"/>
      <c r="Q9" s="115"/>
      <c r="R9" s="115"/>
      <c r="S9" s="384"/>
      <c r="T9" s="384"/>
      <c r="U9" s="384"/>
      <c r="V9" s="384"/>
      <c r="W9" s="384"/>
      <c r="X9" s="384"/>
      <c r="Y9" s="384"/>
      <c r="Z9" s="384"/>
      <c r="AA9" s="115"/>
      <c r="AC9" s="115"/>
      <c r="AD9" s="384"/>
      <c r="AE9" s="384"/>
      <c r="AF9" s="384"/>
      <c r="AG9" s="384"/>
      <c r="AH9" s="384"/>
      <c r="AI9" s="384"/>
      <c r="AJ9" s="384"/>
      <c r="AK9" s="384"/>
      <c r="AL9" s="384"/>
      <c r="AM9" s="384"/>
      <c r="AN9" s="115"/>
      <c r="AP9" s="115"/>
      <c r="AQ9" s="381"/>
      <c r="AR9" s="382"/>
      <c r="AS9" s="382"/>
      <c r="AT9" s="382"/>
      <c r="AU9" s="382"/>
      <c r="AV9" s="382"/>
      <c r="AW9" s="382"/>
      <c r="AX9" s="382"/>
      <c r="AY9" s="382"/>
      <c r="AZ9" s="383"/>
      <c r="BA9" s="115"/>
      <c r="BB9" s="115"/>
      <c r="BC9" s="115"/>
      <c r="BD9" s="384"/>
      <c r="BE9" s="384"/>
      <c r="BF9" s="384"/>
      <c r="BG9" s="384"/>
      <c r="BH9" s="384"/>
      <c r="BI9" s="384"/>
      <c r="BJ9" s="384"/>
      <c r="BK9" s="384"/>
      <c r="BL9" s="384"/>
      <c r="BM9" s="384"/>
      <c r="BN9" s="115"/>
      <c r="BO9" s="115"/>
      <c r="BP9" s="115"/>
      <c r="BQ9" s="275" t="str">
        <f>'2. Boletim de Medição'!B19</f>
        <v>1.1.2</v>
      </c>
      <c r="BR9" s="241" t="str">
        <f>_xlfn.XLOOKUP(BQ9,'2. Boletim de Medição'!B:B,'2. Boletim de Medição'!D:D)</f>
        <v>Mao de Obra Colocacao Piso Ceramico</v>
      </c>
      <c r="BS9" s="275"/>
      <c r="BT9" s="275" t="s">
        <v>96</v>
      </c>
      <c r="BU9" s="275" t="s">
        <v>100</v>
      </c>
      <c r="BV9" s="115"/>
      <c r="BW9" s="381"/>
      <c r="BX9" s="382"/>
      <c r="BY9" s="382"/>
      <c r="BZ9" s="382"/>
      <c r="CA9" s="382"/>
      <c r="CB9" s="382"/>
      <c r="CC9" s="382"/>
      <c r="CD9" s="383"/>
      <c r="CE9" s="115"/>
      <c r="CF9" s="115"/>
      <c r="CG9" s="115"/>
      <c r="CH9" s="384"/>
      <c r="CI9" s="384"/>
      <c r="CJ9" s="384"/>
      <c r="CK9" s="384"/>
      <c r="CL9" s="384"/>
      <c r="CM9" s="384"/>
      <c r="CN9" s="384"/>
      <c r="CO9" s="384"/>
      <c r="CP9" s="115"/>
      <c r="CR9" s="115"/>
      <c r="CS9" s="384"/>
      <c r="CT9" s="384"/>
      <c r="CU9" s="384"/>
      <c r="CV9" s="384"/>
      <c r="CW9" s="384"/>
      <c r="CX9" s="384"/>
      <c r="CY9" s="384"/>
      <c r="CZ9" s="384"/>
      <c r="DA9" s="115"/>
      <c r="DC9" s="115"/>
      <c r="DD9" s="381"/>
      <c r="DE9" s="382"/>
      <c r="DF9" s="382"/>
      <c r="DG9" s="382"/>
      <c r="DH9" s="382"/>
      <c r="DI9" s="382"/>
      <c r="DJ9" s="382"/>
      <c r="DK9" s="382"/>
      <c r="DL9" s="382"/>
      <c r="DM9" s="383"/>
      <c r="DN9" s="115"/>
      <c r="DO9" s="115"/>
      <c r="DP9" s="115"/>
      <c r="DQ9" s="384"/>
      <c r="DR9" s="384"/>
      <c r="DS9" s="384"/>
      <c r="DT9" s="384"/>
      <c r="DU9" s="384"/>
      <c r="DV9" s="384"/>
      <c r="DW9" s="384"/>
      <c r="DX9" s="384"/>
      <c r="DY9" s="384"/>
      <c r="DZ9" s="384"/>
      <c r="EA9" s="115"/>
      <c r="EB9" s="115"/>
      <c r="EC9" s="115"/>
      <c r="ED9" s="275" t="str">
        <f>'2. Boletim de Medição'!B20</f>
        <v>1.1.3</v>
      </c>
      <c r="EE9" s="241" t="str">
        <f>_xlfn.XLOOKUP(ED9,'2. Boletim de Medição'!B:B,'2. Boletim de Medição'!D:D)</f>
        <v>M.O para colocação de soleiras</v>
      </c>
      <c r="EF9" s="275"/>
      <c r="EG9" s="275" t="s">
        <v>96</v>
      </c>
      <c r="EH9" s="275" t="s">
        <v>100</v>
      </c>
      <c r="EI9" s="115"/>
      <c r="EJ9" s="115"/>
      <c r="EK9" s="381"/>
      <c r="EL9" s="382"/>
      <c r="EM9" s="382"/>
      <c r="EN9" s="382"/>
      <c r="EO9" s="382"/>
      <c r="EP9" s="382"/>
      <c r="EQ9" s="382"/>
      <c r="ER9" s="383"/>
      <c r="ES9" s="115"/>
      <c r="ET9" s="115"/>
      <c r="EU9" s="115"/>
      <c r="EV9" s="384"/>
      <c r="EW9" s="384"/>
      <c r="EX9" s="384"/>
      <c r="EY9" s="384"/>
      <c r="EZ9" s="384"/>
      <c r="FA9" s="384"/>
      <c r="FB9" s="384"/>
      <c r="FC9" s="384"/>
      <c r="FD9" s="115"/>
      <c r="FF9" s="115"/>
      <c r="FG9" s="384"/>
      <c r="FH9" s="384"/>
      <c r="FI9" s="384"/>
      <c r="FJ9" s="384"/>
      <c r="FK9" s="384"/>
      <c r="FL9" s="384"/>
      <c r="FM9" s="384"/>
      <c r="FN9" s="384"/>
      <c r="FO9" s="115"/>
      <c r="FQ9" s="115"/>
      <c r="FR9" s="381"/>
      <c r="FS9" s="382"/>
      <c r="FT9" s="382"/>
      <c r="FU9" s="382"/>
      <c r="FV9" s="382"/>
      <c r="FW9" s="382"/>
      <c r="FX9" s="382"/>
      <c r="FY9" s="382"/>
      <c r="FZ9" s="382"/>
      <c r="GA9" s="383"/>
      <c r="GB9" s="115"/>
      <c r="GC9" s="115"/>
      <c r="GD9" s="115"/>
      <c r="GE9" s="384"/>
      <c r="GF9" s="384"/>
      <c r="GG9" s="384"/>
      <c r="GH9" s="384"/>
      <c r="GI9" s="384"/>
      <c r="GJ9" s="384"/>
      <c r="GK9" s="384"/>
      <c r="GL9" s="384"/>
      <c r="GM9" s="384"/>
      <c r="GN9" s="384"/>
      <c r="GO9" s="115"/>
      <c r="GQ9" s="275" t="s">
        <v>92</v>
      </c>
      <c r="GR9" s="241" t="str">
        <f>_xlfn.XLOOKUP(GQ9,'2. Boletim de Medição'!B:B,'2. Boletim de Medição'!D:D)</f>
        <v>M.O. para colocação de baguetes</v>
      </c>
      <c r="GS9" s="275"/>
      <c r="GT9" s="275" t="s">
        <v>96</v>
      </c>
      <c r="GU9" s="275" t="s">
        <v>100</v>
      </c>
      <c r="GV9" s="115"/>
      <c r="GW9" s="115"/>
      <c r="GX9" s="381"/>
      <c r="GY9" s="382"/>
      <c r="GZ9" s="382"/>
      <c r="HA9" s="382"/>
      <c r="HB9" s="382"/>
      <c r="HC9" s="382"/>
      <c r="HD9" s="382"/>
      <c r="HE9" s="383"/>
      <c r="HF9" s="115"/>
      <c r="HG9" s="115"/>
      <c r="HH9" s="115"/>
      <c r="HI9" s="384"/>
      <c r="HJ9" s="384"/>
      <c r="HK9" s="384"/>
      <c r="HL9" s="384"/>
      <c r="HM9" s="384"/>
      <c r="HN9" s="384"/>
      <c r="HO9" s="384"/>
      <c r="HP9" s="384"/>
      <c r="HQ9" s="115"/>
      <c r="HS9" s="115"/>
      <c r="HT9" s="384"/>
      <c r="HU9" s="384"/>
      <c r="HV9" s="384"/>
      <c r="HW9" s="384"/>
      <c r="HX9" s="384"/>
      <c r="HY9" s="384"/>
      <c r="HZ9" s="384"/>
      <c r="IA9" s="384"/>
      <c r="IB9" s="115"/>
      <c r="ID9" s="115"/>
      <c r="IE9" s="381"/>
      <c r="IF9" s="382"/>
      <c r="IG9" s="382"/>
      <c r="IH9" s="382"/>
      <c r="II9" s="382"/>
      <c r="IJ9" s="382"/>
      <c r="IK9" s="382"/>
      <c r="IL9" s="382"/>
      <c r="IM9" s="382"/>
      <c r="IN9" s="383"/>
      <c r="IO9" s="115"/>
      <c r="IP9" s="115"/>
      <c r="IQ9" s="115"/>
      <c r="IR9" s="384"/>
      <c r="IS9" s="384"/>
      <c r="IT9" s="384"/>
      <c r="IU9" s="384"/>
      <c r="IV9" s="384"/>
      <c r="IW9" s="384"/>
      <c r="IX9" s="384"/>
      <c r="IY9" s="384"/>
      <c r="IZ9" s="384"/>
      <c r="JA9" s="384"/>
      <c r="JB9" s="115"/>
      <c r="JC9" s="115"/>
      <c r="JD9" s="275" t="str">
        <f>'2. Boletim de Medição'!B22</f>
        <v>1.1.5</v>
      </c>
      <c r="JE9" s="110" t="str">
        <f>_xlfn.XLOOKUP(JD8,'2. Boletim de Medição'!B:B,'2. Boletim de Medição'!D:D)</f>
        <v xml:space="preserve">	Rodapé Cerâmico | Porcelanato - Serviço M.O Subcontrato</v>
      </c>
      <c r="JF9" s="275"/>
      <c r="JG9" s="275"/>
      <c r="JI9" s="115"/>
      <c r="JJ9" s="381"/>
      <c r="JK9" s="382"/>
      <c r="JL9" s="382"/>
      <c r="JM9" s="382"/>
      <c r="JN9" s="382"/>
      <c r="JO9" s="382"/>
      <c r="JP9" s="382"/>
      <c r="JQ9" s="383"/>
      <c r="JR9" s="115"/>
      <c r="JS9" s="115"/>
      <c r="JT9" s="115"/>
      <c r="JU9" s="384"/>
      <c r="JV9" s="384"/>
      <c r="JW9" s="384"/>
      <c r="JX9" s="384"/>
      <c r="JY9" s="384"/>
      <c r="JZ9" s="384"/>
      <c r="KA9" s="384"/>
      <c r="KB9" s="384"/>
      <c r="KC9" s="115"/>
      <c r="KE9" s="115"/>
      <c r="KF9" s="384"/>
      <c r="KG9" s="384"/>
      <c r="KH9" s="384"/>
      <c r="KI9" s="384"/>
      <c r="KJ9" s="384"/>
      <c r="KK9" s="384"/>
      <c r="KL9" s="384"/>
      <c r="KM9" s="384"/>
      <c r="KN9" s="115"/>
      <c r="KP9" s="115"/>
      <c r="KQ9" s="381"/>
      <c r="KR9" s="382"/>
      <c r="KS9" s="382"/>
      <c r="KT9" s="382"/>
      <c r="KU9" s="382"/>
      <c r="KV9" s="382"/>
      <c r="KW9" s="382"/>
      <c r="KX9" s="382"/>
      <c r="KY9" s="382"/>
      <c r="KZ9" s="383"/>
      <c r="LA9" s="115"/>
      <c r="LB9" s="115"/>
      <c r="LC9" s="115"/>
      <c r="LD9" s="384"/>
      <c r="LE9" s="384"/>
      <c r="LF9" s="384"/>
      <c r="LG9" s="384"/>
      <c r="LH9" s="384"/>
      <c r="LI9" s="384"/>
      <c r="LJ9" s="384"/>
      <c r="LK9" s="384"/>
      <c r="LL9" s="384"/>
      <c r="LM9" s="384"/>
      <c r="LN9" s="115"/>
    </row>
    <row r="10" spans="1:330" ht="24" customHeight="1" x14ac:dyDescent="0.45">
      <c r="A10" s="242" t="s">
        <v>57</v>
      </c>
      <c r="B10" s="241" t="str">
        <f>_xlfn.XLOOKUP(A10,'2. Boletim de Medição'!B:B,'2. Boletim de Medição'!D:D)</f>
        <v>Mao de Obra Colocacao de Azulejo</v>
      </c>
      <c r="D10" s="242" t="str">
        <f>_xlfn.XLOOKUP(A10,'2. Boletim de Medição'!B:B,'2. Boletim de Medição'!E:E)</f>
        <v>M²</v>
      </c>
      <c r="E10" s="242" t="s">
        <v>78</v>
      </c>
      <c r="G10" s="321">
        <v>7.29</v>
      </c>
      <c r="H10" s="321">
        <v>7.29</v>
      </c>
      <c r="I10" s="321">
        <v>7.29</v>
      </c>
      <c r="J10" s="321">
        <v>7.29</v>
      </c>
      <c r="K10" s="321">
        <v>7.29</v>
      </c>
      <c r="L10" s="321">
        <v>7.29</v>
      </c>
      <c r="M10" s="321">
        <v>7.29</v>
      </c>
      <c r="N10" s="321">
        <v>7.29</v>
      </c>
      <c r="O10" s="321">
        <v>7.29</v>
      </c>
      <c r="P10" s="321">
        <v>7.29</v>
      </c>
      <c r="Q10" s="115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P10" s="318"/>
      <c r="AQ10" s="318"/>
      <c r="AR10" s="318"/>
      <c r="AS10" s="318"/>
      <c r="AT10" s="379"/>
      <c r="AU10" s="380"/>
      <c r="AV10" s="318"/>
      <c r="AW10" s="318"/>
      <c r="AX10" s="318"/>
      <c r="AY10" s="318"/>
      <c r="AZ10" s="318"/>
      <c r="BA10" s="318"/>
      <c r="BB10" s="115"/>
      <c r="BC10" s="318"/>
      <c r="BD10" s="318"/>
      <c r="BE10" s="318"/>
      <c r="BF10" s="318"/>
      <c r="BG10" s="379"/>
      <c r="BH10" s="380"/>
      <c r="BI10" s="318"/>
      <c r="BJ10" s="318"/>
      <c r="BK10" s="318"/>
      <c r="BL10" s="318"/>
      <c r="BM10" s="318"/>
      <c r="BN10" s="318"/>
      <c r="BO10" s="115"/>
      <c r="BP10" s="115"/>
      <c r="BQ10" s="275" t="str">
        <f>'2. Boletim de Medição'!B19</f>
        <v>1.1.2</v>
      </c>
      <c r="BR10" s="241" t="str">
        <f>_xlfn.XLOOKUP(BQ10,'2. Boletim de Medição'!B:B,'2. Boletim de Medição'!D:D)</f>
        <v>Mao de Obra Colocacao Piso Ceramico</v>
      </c>
      <c r="BS10" s="275"/>
      <c r="BT10" s="275" t="s">
        <v>96</v>
      </c>
      <c r="BU10" s="275" t="s">
        <v>78</v>
      </c>
      <c r="BV10" s="318">
        <v>7.05</v>
      </c>
      <c r="BW10" s="318">
        <v>5.07</v>
      </c>
      <c r="BX10" s="318">
        <v>5.07</v>
      </c>
      <c r="BY10" s="318">
        <v>5.07</v>
      </c>
      <c r="BZ10" s="318">
        <v>7.05</v>
      </c>
      <c r="CA10" s="318">
        <v>7.05</v>
      </c>
      <c r="CB10" s="318">
        <v>5.07</v>
      </c>
      <c r="CC10" s="318">
        <v>5.07</v>
      </c>
      <c r="CD10" s="318">
        <v>5.07</v>
      </c>
      <c r="CE10" s="318">
        <v>7.05</v>
      </c>
      <c r="CF10" s="115"/>
      <c r="CG10" s="318"/>
      <c r="CH10" s="318"/>
      <c r="CI10" s="318"/>
      <c r="CJ10" s="318"/>
      <c r="CK10" s="318"/>
      <c r="CL10" s="318"/>
      <c r="CM10" s="318"/>
      <c r="CN10" s="318"/>
      <c r="CO10" s="318"/>
      <c r="CP10" s="318"/>
      <c r="CR10" s="318"/>
      <c r="CS10" s="318"/>
      <c r="CT10" s="318"/>
      <c r="CU10" s="318"/>
      <c r="CV10" s="318"/>
      <c r="CW10" s="318"/>
      <c r="CX10" s="318"/>
      <c r="CY10" s="318"/>
      <c r="CZ10" s="318"/>
      <c r="DA10" s="318"/>
      <c r="DC10" s="318"/>
      <c r="DD10" s="318"/>
      <c r="DE10" s="318"/>
      <c r="DF10" s="318"/>
      <c r="DG10" s="379"/>
      <c r="DH10" s="380"/>
      <c r="DI10" s="318"/>
      <c r="DJ10" s="318"/>
      <c r="DK10" s="318"/>
      <c r="DL10" s="318"/>
      <c r="DM10" s="318"/>
      <c r="DN10" s="318"/>
      <c r="DO10" s="115"/>
      <c r="DP10" s="318"/>
      <c r="DQ10" s="318"/>
      <c r="DR10" s="318"/>
      <c r="DS10" s="318"/>
      <c r="DT10" s="379"/>
      <c r="DU10" s="380"/>
      <c r="DV10" s="318"/>
      <c r="DW10" s="318"/>
      <c r="DX10" s="318"/>
      <c r="DY10" s="318"/>
      <c r="DZ10" s="318"/>
      <c r="EA10" s="318"/>
      <c r="EB10" s="115"/>
      <c r="EC10" s="115"/>
      <c r="ED10" s="275" t="s">
        <v>91</v>
      </c>
      <c r="EE10" s="241" t="str">
        <f>_xlfn.XLOOKUP(ED10,'2. Boletim de Medição'!B:B,'2. Boletim de Medição'!D:D)</f>
        <v>M.O para colocação de soleiras</v>
      </c>
      <c r="EF10" s="275"/>
      <c r="EG10" s="275" t="s">
        <v>96</v>
      </c>
      <c r="EH10" s="275" t="s">
        <v>78</v>
      </c>
      <c r="EI10" s="115"/>
      <c r="EJ10" s="318"/>
      <c r="EK10" s="318"/>
      <c r="EL10" s="318"/>
      <c r="EM10" s="318"/>
      <c r="EN10" s="318"/>
      <c r="EO10" s="318"/>
      <c r="EP10" s="318"/>
      <c r="EQ10" s="318"/>
      <c r="ER10" s="318"/>
      <c r="ES10" s="318"/>
      <c r="ET10" s="115"/>
      <c r="EU10" s="318"/>
      <c r="EV10" s="318"/>
      <c r="EW10" s="318"/>
      <c r="EX10" s="318"/>
      <c r="EY10" s="318"/>
      <c r="EZ10" s="318"/>
      <c r="FA10" s="318"/>
      <c r="FB10" s="318"/>
      <c r="FC10" s="318"/>
      <c r="FD10" s="318"/>
      <c r="FF10" s="318"/>
      <c r="FG10" s="318"/>
      <c r="FH10" s="318"/>
      <c r="FI10" s="318"/>
      <c r="FJ10" s="318"/>
      <c r="FK10" s="318"/>
      <c r="FL10" s="318"/>
      <c r="FM10" s="318"/>
      <c r="FN10" s="318"/>
      <c r="FO10" s="318"/>
      <c r="FQ10" s="318"/>
      <c r="FR10" s="318"/>
      <c r="FS10" s="318"/>
      <c r="FT10" s="318"/>
      <c r="FU10" s="379"/>
      <c r="FV10" s="380"/>
      <c r="FW10" s="318"/>
      <c r="FX10" s="318"/>
      <c r="FY10" s="318"/>
      <c r="FZ10" s="318"/>
      <c r="GA10" s="318"/>
      <c r="GB10" s="318"/>
      <c r="GC10" s="115"/>
      <c r="GD10" s="318"/>
      <c r="GE10" s="318"/>
      <c r="GF10" s="318"/>
      <c r="GG10" s="318"/>
      <c r="GH10" s="379"/>
      <c r="GI10" s="380"/>
      <c r="GJ10" s="318"/>
      <c r="GK10" s="318"/>
      <c r="GL10" s="318"/>
      <c r="GM10" s="318"/>
      <c r="GN10" s="318"/>
      <c r="GO10" s="318"/>
      <c r="GQ10" s="275" t="s">
        <v>92</v>
      </c>
      <c r="GR10" s="241" t="str">
        <f>_xlfn.XLOOKUP(GQ10,'2. Boletim de Medição'!B:B,'2. Boletim de Medição'!D:D)</f>
        <v>M.O. para colocação de baguetes</v>
      </c>
      <c r="GS10" s="275"/>
      <c r="GT10" s="275" t="s">
        <v>96</v>
      </c>
      <c r="GU10" s="275" t="s">
        <v>78</v>
      </c>
      <c r="GV10" s="115"/>
      <c r="GW10" s="318"/>
      <c r="GX10" s="318"/>
      <c r="GY10" s="318"/>
      <c r="GZ10" s="318"/>
      <c r="HA10" s="318"/>
      <c r="HB10" s="318"/>
      <c r="HC10" s="318"/>
      <c r="HD10" s="318"/>
      <c r="HE10" s="318"/>
      <c r="HF10" s="318"/>
      <c r="HG10" s="115"/>
      <c r="HH10" s="318"/>
      <c r="HI10" s="318"/>
      <c r="HJ10" s="318"/>
      <c r="HK10" s="318"/>
      <c r="HL10" s="318"/>
      <c r="HM10" s="318"/>
      <c r="HN10" s="318"/>
      <c r="HO10" s="318"/>
      <c r="HP10" s="318"/>
      <c r="HQ10" s="318"/>
      <c r="HS10" s="318"/>
      <c r="HT10" s="318"/>
      <c r="HU10" s="318"/>
      <c r="HV10" s="318"/>
      <c r="HW10" s="318"/>
      <c r="HX10" s="318"/>
      <c r="HY10" s="318"/>
      <c r="HZ10" s="318"/>
      <c r="IA10" s="318"/>
      <c r="IB10" s="318"/>
      <c r="ID10" s="318"/>
      <c r="IE10" s="318"/>
      <c r="IF10" s="318"/>
      <c r="IG10" s="318"/>
      <c r="IH10" s="379"/>
      <c r="II10" s="380"/>
      <c r="IJ10" s="318"/>
      <c r="IK10" s="318"/>
      <c r="IL10" s="318"/>
      <c r="IM10" s="318"/>
      <c r="IN10" s="318"/>
      <c r="IO10" s="318"/>
      <c r="IP10" s="115"/>
      <c r="IQ10" s="318"/>
      <c r="IR10" s="318"/>
      <c r="IS10" s="318"/>
      <c r="IT10" s="318"/>
      <c r="IU10" s="379"/>
      <c r="IV10" s="380"/>
      <c r="IW10" s="318"/>
      <c r="IX10" s="318"/>
      <c r="IY10" s="318"/>
      <c r="IZ10" s="318"/>
      <c r="JA10" s="318"/>
      <c r="JB10" s="318"/>
      <c r="JC10" s="319"/>
      <c r="JD10" s="275" t="str">
        <f>'2. Boletim de Medição'!B22</f>
        <v>1.1.5</v>
      </c>
      <c r="JE10" s="110" t="str">
        <f>_xlfn.XLOOKUP(JD8,'2. Boletim de Medição'!B:B,'2. Boletim de Medição'!D:D)</f>
        <v xml:space="preserve">	Rodapé Cerâmico | Porcelanato - Serviço M.O Subcontrato</v>
      </c>
      <c r="JF10" s="275" t="s">
        <v>96</v>
      </c>
      <c r="JG10" s="275" t="s">
        <v>78</v>
      </c>
      <c r="JI10" s="321">
        <v>11.8</v>
      </c>
      <c r="JJ10" s="321">
        <v>8.1999999999999993</v>
      </c>
      <c r="JK10" s="321">
        <v>8.1999999999999993</v>
      </c>
      <c r="JL10" s="321">
        <v>8.1999999999999993</v>
      </c>
      <c r="JM10" s="321">
        <v>11.8</v>
      </c>
      <c r="JN10" s="321">
        <v>11.8</v>
      </c>
      <c r="JO10" s="321">
        <v>8.1999999999999993</v>
      </c>
      <c r="JP10" s="321">
        <v>8.1999999999999993</v>
      </c>
      <c r="JQ10" s="321">
        <v>8.1999999999999993</v>
      </c>
      <c r="JR10" s="321">
        <v>11.8</v>
      </c>
      <c r="JS10" s="115"/>
      <c r="JT10" s="318"/>
      <c r="JU10" s="318"/>
      <c r="JV10" s="318"/>
      <c r="JW10" s="318"/>
      <c r="JX10" s="318"/>
      <c r="JY10" s="318"/>
      <c r="JZ10" s="318"/>
      <c r="KA10" s="318"/>
      <c r="KB10" s="318"/>
      <c r="KC10" s="318"/>
      <c r="KE10" s="318"/>
      <c r="KF10" s="318"/>
      <c r="KG10" s="318"/>
      <c r="KH10" s="318"/>
      <c r="KI10" s="318"/>
      <c r="KJ10" s="318"/>
      <c r="KK10" s="318"/>
      <c r="KL10" s="318"/>
      <c r="KM10" s="318"/>
      <c r="KN10" s="318"/>
      <c r="KP10" s="318"/>
      <c r="KQ10" s="318"/>
      <c r="KR10" s="318"/>
      <c r="KS10" s="318"/>
      <c r="KT10" s="379"/>
      <c r="KU10" s="380"/>
      <c r="KV10" s="318"/>
      <c r="KW10" s="318"/>
      <c r="KX10" s="318"/>
      <c r="KY10" s="318"/>
      <c r="KZ10" s="318"/>
      <c r="LA10" s="318"/>
      <c r="LB10" s="115"/>
      <c r="LC10" s="318"/>
      <c r="LD10" s="318"/>
      <c r="LE10" s="318"/>
      <c r="LF10" s="318"/>
      <c r="LG10" s="379"/>
      <c r="LH10" s="380"/>
      <c r="LI10" s="318"/>
      <c r="LJ10" s="318"/>
      <c r="LK10" s="318"/>
      <c r="LL10" s="318"/>
      <c r="LM10" s="318"/>
      <c r="LN10" s="318"/>
      <c r="LP10" s="276" t="s">
        <v>112</v>
      </c>
      <c r="LQ10" s="277"/>
      <c r="LR10" s="278">
        <f>'1. Controle de Contrato'!E24</f>
        <v>45951</v>
      </c>
    </row>
    <row r="11" spans="1:330" ht="24" customHeight="1" x14ac:dyDescent="0.45">
      <c r="A11" s="242" t="s">
        <v>57</v>
      </c>
      <c r="B11" s="241" t="str">
        <f>_xlfn.XLOOKUP(A11,'2. Boletim de Medição'!B:B,'2. Boletim de Medição'!D:D)</f>
        <v>Mao de Obra Colocacao de Azulejo</v>
      </c>
      <c r="D11" s="242" t="str">
        <f>_xlfn.XLOOKUP(A11,'2. Boletim de Medição'!B:B,'2. Boletim de Medição'!E:E)</f>
        <v>M²</v>
      </c>
      <c r="E11" s="242" t="s">
        <v>79</v>
      </c>
      <c r="G11" s="321">
        <v>7.29</v>
      </c>
      <c r="H11" s="321">
        <v>7.29</v>
      </c>
      <c r="I11" s="321">
        <v>7.29</v>
      </c>
      <c r="J11" s="321">
        <v>7.29</v>
      </c>
      <c r="K11" s="321">
        <v>7.29</v>
      </c>
      <c r="L11" s="321">
        <v>7.29</v>
      </c>
      <c r="M11" s="321">
        <v>7.29</v>
      </c>
      <c r="N11" s="321">
        <v>7.29</v>
      </c>
      <c r="O11" s="321">
        <v>7.29</v>
      </c>
      <c r="P11" s="321">
        <v>7.29</v>
      </c>
      <c r="Q11" s="115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P11" s="318"/>
      <c r="AQ11" s="318"/>
      <c r="AR11" s="318"/>
      <c r="AS11" s="318"/>
      <c r="AT11" s="379"/>
      <c r="AU11" s="380"/>
      <c r="AV11" s="318"/>
      <c r="AW11" s="318"/>
      <c r="AX11" s="318"/>
      <c r="AY11" s="318"/>
      <c r="AZ11" s="318"/>
      <c r="BA11" s="318"/>
      <c r="BB11" s="115"/>
      <c r="BC11" s="318"/>
      <c r="BD11" s="318"/>
      <c r="BE11" s="318"/>
      <c r="BF11" s="318"/>
      <c r="BG11" s="379"/>
      <c r="BH11" s="380"/>
      <c r="BI11" s="318"/>
      <c r="BJ11" s="318"/>
      <c r="BK11" s="318"/>
      <c r="BL11" s="318"/>
      <c r="BM11" s="318"/>
      <c r="BN11" s="318"/>
      <c r="BO11" s="115"/>
      <c r="BP11" s="115"/>
      <c r="BQ11" s="275" t="str">
        <f>'2. Boletim de Medição'!B19</f>
        <v>1.1.2</v>
      </c>
      <c r="BR11" s="241" t="str">
        <f>_xlfn.XLOOKUP(BQ11,'2. Boletim de Medição'!B:B,'2. Boletim de Medição'!D:D)</f>
        <v>Mao de Obra Colocacao Piso Ceramico</v>
      </c>
      <c r="BS11" s="275"/>
      <c r="BT11" s="275" t="s">
        <v>96</v>
      </c>
      <c r="BU11" s="275" t="s">
        <v>79</v>
      </c>
      <c r="BV11" s="318">
        <v>7.05</v>
      </c>
      <c r="BW11" s="318">
        <v>5.07</v>
      </c>
      <c r="BX11" s="318">
        <v>5.07</v>
      </c>
      <c r="BY11" s="318">
        <v>5.07</v>
      </c>
      <c r="BZ11" s="318">
        <v>7.05</v>
      </c>
      <c r="CA11" s="318">
        <v>7.05</v>
      </c>
      <c r="CB11" s="318">
        <v>5.07</v>
      </c>
      <c r="CC11" s="318">
        <v>5.07</v>
      </c>
      <c r="CD11" s="318">
        <v>5.07</v>
      </c>
      <c r="CE11" s="318">
        <v>7.05</v>
      </c>
      <c r="CF11" s="115"/>
      <c r="CG11" s="318"/>
      <c r="CH11" s="318"/>
      <c r="CI11" s="318"/>
      <c r="CJ11" s="318"/>
      <c r="CK11" s="318"/>
      <c r="CL11" s="318"/>
      <c r="CM11" s="318"/>
      <c r="CN11" s="318"/>
      <c r="CO11" s="318"/>
      <c r="CP11" s="318"/>
      <c r="CR11" s="318"/>
      <c r="CS11" s="318"/>
      <c r="CT11" s="318"/>
      <c r="CU11" s="318"/>
      <c r="CV11" s="318"/>
      <c r="CW11" s="318"/>
      <c r="CX11" s="318"/>
      <c r="CY11" s="318"/>
      <c r="CZ11" s="318"/>
      <c r="DA11" s="318"/>
      <c r="DC11" s="318"/>
      <c r="DD11" s="318"/>
      <c r="DE11" s="318"/>
      <c r="DF11" s="318"/>
      <c r="DG11" s="379"/>
      <c r="DH11" s="380"/>
      <c r="DI11" s="318"/>
      <c r="DJ11" s="318"/>
      <c r="DK11" s="318"/>
      <c r="DL11" s="318"/>
      <c r="DM11" s="318"/>
      <c r="DN11" s="318"/>
      <c r="DO11" s="115"/>
      <c r="DP11" s="318"/>
      <c r="DQ11" s="318"/>
      <c r="DR11" s="318"/>
      <c r="DS11" s="318"/>
      <c r="DT11" s="379"/>
      <c r="DU11" s="380"/>
      <c r="DV11" s="318"/>
      <c r="DW11" s="318"/>
      <c r="DX11" s="318"/>
      <c r="DY11" s="318"/>
      <c r="DZ11" s="318"/>
      <c r="EA11" s="318"/>
      <c r="EB11" s="115"/>
      <c r="EC11" s="115"/>
      <c r="ED11" s="275" t="s">
        <v>91</v>
      </c>
      <c r="EE11" s="241" t="str">
        <f>_xlfn.XLOOKUP(ED11,'2. Boletim de Medição'!B:B,'2. Boletim de Medição'!D:D)</f>
        <v>M.O para colocação de soleiras</v>
      </c>
      <c r="EF11" s="275"/>
      <c r="EG11" s="275" t="s">
        <v>96</v>
      </c>
      <c r="EH11" s="275" t="s">
        <v>79</v>
      </c>
      <c r="EI11" s="115"/>
      <c r="EJ11" s="318"/>
      <c r="EK11" s="318"/>
      <c r="EL11" s="318"/>
      <c r="EM11" s="318"/>
      <c r="EN11" s="318"/>
      <c r="EO11" s="318"/>
      <c r="EP11" s="318"/>
      <c r="EQ11" s="318"/>
      <c r="ER11" s="318"/>
      <c r="ES11" s="318"/>
      <c r="ET11" s="115"/>
      <c r="EU11" s="318"/>
      <c r="EV11" s="318"/>
      <c r="EW11" s="318"/>
      <c r="EX11" s="318"/>
      <c r="EY11" s="318"/>
      <c r="EZ11" s="318"/>
      <c r="FA11" s="318"/>
      <c r="FB11" s="318"/>
      <c r="FC11" s="318"/>
      <c r="FD11" s="318"/>
      <c r="FF11" s="318"/>
      <c r="FG11" s="318"/>
      <c r="FH11" s="318"/>
      <c r="FI11" s="318"/>
      <c r="FJ11" s="318"/>
      <c r="FK11" s="318"/>
      <c r="FL11" s="318"/>
      <c r="FM11" s="318"/>
      <c r="FN11" s="318"/>
      <c r="FO11" s="318"/>
      <c r="FQ11" s="318"/>
      <c r="FR11" s="318"/>
      <c r="FS11" s="318"/>
      <c r="FT11" s="318"/>
      <c r="FU11" s="379"/>
      <c r="FV11" s="380"/>
      <c r="FW11" s="318"/>
      <c r="FX11" s="318"/>
      <c r="FY11" s="318"/>
      <c r="FZ11" s="318"/>
      <c r="GA11" s="318"/>
      <c r="GB11" s="318"/>
      <c r="GC11" s="115"/>
      <c r="GD11" s="318"/>
      <c r="GE11" s="318"/>
      <c r="GF11" s="318"/>
      <c r="GG11" s="318"/>
      <c r="GH11" s="379"/>
      <c r="GI11" s="380"/>
      <c r="GJ11" s="318"/>
      <c r="GK11" s="318"/>
      <c r="GL11" s="318"/>
      <c r="GM11" s="318"/>
      <c r="GN11" s="318"/>
      <c r="GO11" s="318"/>
      <c r="GQ11" s="275" t="s">
        <v>92</v>
      </c>
      <c r="GR11" s="241" t="str">
        <f>_xlfn.XLOOKUP(GQ11,'2. Boletim de Medição'!B:B,'2. Boletim de Medição'!D:D)</f>
        <v>M.O. para colocação de baguetes</v>
      </c>
      <c r="GS11" s="275"/>
      <c r="GT11" s="275" t="s">
        <v>96</v>
      </c>
      <c r="GU11" s="275" t="s">
        <v>79</v>
      </c>
      <c r="GV11" s="115"/>
      <c r="GW11" s="318"/>
      <c r="GX11" s="318"/>
      <c r="GY11" s="318"/>
      <c r="GZ11" s="318"/>
      <c r="HA11" s="318"/>
      <c r="HB11" s="318"/>
      <c r="HC11" s="318"/>
      <c r="HD11" s="318"/>
      <c r="HE11" s="318"/>
      <c r="HF11" s="318"/>
      <c r="HG11" s="115"/>
      <c r="HH11" s="318"/>
      <c r="HI11" s="318"/>
      <c r="HJ11" s="318"/>
      <c r="HK11" s="318"/>
      <c r="HL11" s="318"/>
      <c r="HM11" s="318"/>
      <c r="HN11" s="318"/>
      <c r="HO11" s="318"/>
      <c r="HP11" s="318"/>
      <c r="HQ11" s="318"/>
      <c r="HS11" s="318"/>
      <c r="HT11" s="318"/>
      <c r="HU11" s="318"/>
      <c r="HV11" s="318"/>
      <c r="HW11" s="318"/>
      <c r="HX11" s="318"/>
      <c r="HY11" s="318"/>
      <c r="HZ11" s="318"/>
      <c r="IA11" s="318"/>
      <c r="IB11" s="318"/>
      <c r="ID11" s="318"/>
      <c r="IE11" s="318"/>
      <c r="IF11" s="318"/>
      <c r="IG11" s="318"/>
      <c r="IH11" s="379"/>
      <c r="II11" s="380"/>
      <c r="IJ11" s="318"/>
      <c r="IK11" s="318"/>
      <c r="IL11" s="318"/>
      <c r="IM11" s="318"/>
      <c r="IN11" s="318"/>
      <c r="IO11" s="318"/>
      <c r="IP11" s="115"/>
      <c r="IQ11" s="318"/>
      <c r="IR11" s="318"/>
      <c r="IS11" s="318"/>
      <c r="IT11" s="318"/>
      <c r="IU11" s="379"/>
      <c r="IV11" s="380"/>
      <c r="IW11" s="318"/>
      <c r="IX11" s="318"/>
      <c r="IY11" s="318"/>
      <c r="IZ11" s="318"/>
      <c r="JA11" s="318"/>
      <c r="JB11" s="318"/>
      <c r="JC11" s="319"/>
      <c r="JD11" s="275" t="str">
        <f>'2. Boletim de Medição'!B22</f>
        <v>1.1.5</v>
      </c>
      <c r="JE11" s="110" t="str">
        <f>_xlfn.XLOOKUP(JD8,'2. Boletim de Medição'!B:B,'2. Boletim de Medição'!D:D)</f>
        <v xml:space="preserve">	Rodapé Cerâmico | Porcelanato - Serviço M.O Subcontrato</v>
      </c>
      <c r="JF11" s="275" t="s">
        <v>96</v>
      </c>
      <c r="JG11" s="275" t="s">
        <v>79</v>
      </c>
      <c r="JI11" s="321">
        <v>11.8</v>
      </c>
      <c r="JJ11" s="321">
        <v>8.1999999999999993</v>
      </c>
      <c r="JK11" s="321">
        <v>8.1999999999999993</v>
      </c>
      <c r="JL11" s="321">
        <v>8.1999999999999993</v>
      </c>
      <c r="JM11" s="321">
        <v>11.8</v>
      </c>
      <c r="JN11" s="321">
        <v>11.8</v>
      </c>
      <c r="JO11" s="321">
        <v>8.1999999999999993</v>
      </c>
      <c r="JP11" s="321">
        <v>8.1999999999999993</v>
      </c>
      <c r="JQ11" s="321">
        <v>8.1999999999999993</v>
      </c>
      <c r="JR11" s="321">
        <v>11.8</v>
      </c>
      <c r="JS11" s="115"/>
      <c r="JT11" s="318"/>
      <c r="JU11" s="318"/>
      <c r="JV11" s="318"/>
      <c r="JW11" s="318"/>
      <c r="JX11" s="318"/>
      <c r="JY11" s="318"/>
      <c r="JZ11" s="318"/>
      <c r="KA11" s="318"/>
      <c r="KB11" s="318"/>
      <c r="KC11" s="318"/>
      <c r="KE11" s="318"/>
      <c r="KF11" s="318"/>
      <c r="KG11" s="318"/>
      <c r="KH11" s="318"/>
      <c r="KI11" s="318"/>
      <c r="KJ11" s="318"/>
      <c r="KK11" s="318"/>
      <c r="KL11" s="318"/>
      <c r="KM11" s="318"/>
      <c r="KN11" s="318"/>
      <c r="KP11" s="318"/>
      <c r="KQ11" s="318"/>
      <c r="KR11" s="318"/>
      <c r="KS11" s="318"/>
      <c r="KT11" s="379"/>
      <c r="KU11" s="380"/>
      <c r="KV11" s="318"/>
      <c r="KW11" s="318"/>
      <c r="KX11" s="318"/>
      <c r="KY11" s="318"/>
      <c r="KZ11" s="318"/>
      <c r="LA11" s="318"/>
      <c r="LB11" s="115"/>
      <c r="LC11" s="318"/>
      <c r="LD11" s="318"/>
      <c r="LE11" s="318"/>
      <c r="LF11" s="318"/>
      <c r="LG11" s="379"/>
      <c r="LH11" s="380"/>
      <c r="LI11" s="318"/>
      <c r="LJ11" s="318"/>
      <c r="LK11" s="318"/>
      <c r="LL11" s="318"/>
      <c r="LM11" s="318"/>
      <c r="LN11" s="318"/>
      <c r="LP11" s="276" t="s">
        <v>113</v>
      </c>
      <c r="LQ11" s="279"/>
      <c r="LR11" s="278">
        <f>'1. Controle de Contrato'!E25</f>
        <v>45985</v>
      </c>
    </row>
    <row r="12" spans="1:330" ht="24" customHeight="1" x14ac:dyDescent="0.45">
      <c r="A12" s="242" t="s">
        <v>57</v>
      </c>
      <c r="B12" s="241" t="str">
        <f>_xlfn.XLOOKUP(A12,'2. Boletim de Medição'!B:B,'2. Boletim de Medição'!D:D)</f>
        <v>Mao de Obra Colocacao de Azulejo</v>
      </c>
      <c r="D12" s="242" t="str">
        <f>_xlfn.XLOOKUP(A12,'2. Boletim de Medição'!B:B,'2. Boletim de Medição'!E:E)</f>
        <v>M²</v>
      </c>
      <c r="E12" s="242" t="s">
        <v>80</v>
      </c>
      <c r="G12" s="321">
        <v>7.29</v>
      </c>
      <c r="H12" s="321">
        <v>7.29</v>
      </c>
      <c r="I12" s="321">
        <v>7.29</v>
      </c>
      <c r="J12" s="321">
        <v>7.29</v>
      </c>
      <c r="K12" s="321">
        <v>7.29</v>
      </c>
      <c r="L12" s="321">
        <v>7.29</v>
      </c>
      <c r="M12" s="321">
        <v>7.29</v>
      </c>
      <c r="N12" s="321">
        <v>7.29</v>
      </c>
      <c r="O12" s="321">
        <v>7.29</v>
      </c>
      <c r="P12" s="321">
        <v>7.29</v>
      </c>
      <c r="Q12" s="115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P12" s="318"/>
      <c r="AQ12" s="318"/>
      <c r="AR12" s="318"/>
      <c r="AS12" s="318"/>
      <c r="AT12" s="379"/>
      <c r="AU12" s="380"/>
      <c r="AV12" s="318"/>
      <c r="AW12" s="318"/>
      <c r="AX12" s="318"/>
      <c r="AY12" s="318"/>
      <c r="AZ12" s="318"/>
      <c r="BA12" s="318"/>
      <c r="BB12" s="115"/>
      <c r="BC12" s="318"/>
      <c r="BD12" s="318"/>
      <c r="BE12" s="318"/>
      <c r="BF12" s="318"/>
      <c r="BG12" s="379"/>
      <c r="BH12" s="380"/>
      <c r="BI12" s="318"/>
      <c r="BJ12" s="318"/>
      <c r="BK12" s="318"/>
      <c r="BL12" s="318"/>
      <c r="BM12" s="318"/>
      <c r="BN12" s="318"/>
      <c r="BO12" s="115"/>
      <c r="BP12" s="115"/>
      <c r="BQ12" s="275" t="str">
        <f>'2. Boletim de Medição'!B19</f>
        <v>1.1.2</v>
      </c>
      <c r="BR12" s="241" t="str">
        <f>_xlfn.XLOOKUP(BQ12,'2. Boletim de Medição'!B:B,'2. Boletim de Medição'!D:D)</f>
        <v>Mao de Obra Colocacao Piso Ceramico</v>
      </c>
      <c r="BS12" s="275"/>
      <c r="BT12" s="275" t="s">
        <v>96</v>
      </c>
      <c r="BU12" s="275" t="s">
        <v>80</v>
      </c>
      <c r="BV12" s="318">
        <v>7.05</v>
      </c>
      <c r="BW12" s="318">
        <v>5.07</v>
      </c>
      <c r="BX12" s="318">
        <v>5.07</v>
      </c>
      <c r="BY12" s="318">
        <v>5.07</v>
      </c>
      <c r="BZ12" s="318">
        <v>7.05</v>
      </c>
      <c r="CA12" s="318">
        <v>7.05</v>
      </c>
      <c r="CB12" s="318">
        <v>5.07</v>
      </c>
      <c r="CC12" s="318">
        <v>5.07</v>
      </c>
      <c r="CD12" s="318">
        <v>5.07</v>
      </c>
      <c r="CE12" s="318">
        <v>7.05</v>
      </c>
      <c r="CF12" s="115"/>
      <c r="CG12" s="318"/>
      <c r="CH12" s="318"/>
      <c r="CI12" s="318"/>
      <c r="CJ12" s="318"/>
      <c r="CK12" s="318"/>
      <c r="CL12" s="318"/>
      <c r="CM12" s="318"/>
      <c r="CN12" s="318"/>
      <c r="CO12" s="318"/>
      <c r="CP12" s="318"/>
      <c r="CR12" s="318"/>
      <c r="CS12" s="318"/>
      <c r="CT12" s="318"/>
      <c r="CU12" s="318"/>
      <c r="CV12" s="318"/>
      <c r="CW12" s="318"/>
      <c r="CX12" s="318"/>
      <c r="CY12" s="318"/>
      <c r="CZ12" s="318"/>
      <c r="DA12" s="318"/>
      <c r="DC12" s="318"/>
      <c r="DD12" s="318"/>
      <c r="DE12" s="318"/>
      <c r="DF12" s="318"/>
      <c r="DG12" s="379"/>
      <c r="DH12" s="380"/>
      <c r="DI12" s="318"/>
      <c r="DJ12" s="318"/>
      <c r="DK12" s="318"/>
      <c r="DL12" s="318"/>
      <c r="DM12" s="318"/>
      <c r="DN12" s="318"/>
      <c r="DO12" s="115"/>
      <c r="DP12" s="318"/>
      <c r="DQ12" s="318"/>
      <c r="DR12" s="318"/>
      <c r="DS12" s="318"/>
      <c r="DT12" s="379"/>
      <c r="DU12" s="380"/>
      <c r="DV12" s="318"/>
      <c r="DW12" s="318"/>
      <c r="DX12" s="318"/>
      <c r="DY12" s="318"/>
      <c r="DZ12" s="318"/>
      <c r="EA12" s="318"/>
      <c r="EB12" s="115"/>
      <c r="EC12" s="115"/>
      <c r="ED12" s="275" t="s">
        <v>91</v>
      </c>
      <c r="EE12" s="241" t="str">
        <f>_xlfn.XLOOKUP(ED12,'2. Boletim de Medição'!B:B,'2. Boletim de Medição'!D:D)</f>
        <v>M.O para colocação de soleiras</v>
      </c>
      <c r="EF12" s="275"/>
      <c r="EG12" s="275" t="s">
        <v>96</v>
      </c>
      <c r="EH12" s="275" t="s">
        <v>80</v>
      </c>
      <c r="EI12" s="115"/>
      <c r="EJ12" s="318"/>
      <c r="EK12" s="318"/>
      <c r="EL12" s="318"/>
      <c r="EM12" s="318"/>
      <c r="EN12" s="318"/>
      <c r="EO12" s="318"/>
      <c r="EP12" s="318"/>
      <c r="EQ12" s="318"/>
      <c r="ER12" s="318"/>
      <c r="ES12" s="318"/>
      <c r="ET12" s="115"/>
      <c r="EU12" s="318"/>
      <c r="EV12" s="318"/>
      <c r="EW12" s="318"/>
      <c r="EX12" s="318"/>
      <c r="EY12" s="318"/>
      <c r="EZ12" s="318"/>
      <c r="FA12" s="318"/>
      <c r="FB12" s="318"/>
      <c r="FC12" s="318"/>
      <c r="FD12" s="318"/>
      <c r="FF12" s="318"/>
      <c r="FG12" s="318"/>
      <c r="FH12" s="318"/>
      <c r="FI12" s="318"/>
      <c r="FJ12" s="318"/>
      <c r="FK12" s="318"/>
      <c r="FL12" s="318"/>
      <c r="FM12" s="318"/>
      <c r="FN12" s="318"/>
      <c r="FO12" s="318"/>
      <c r="FQ12" s="318"/>
      <c r="FR12" s="318"/>
      <c r="FS12" s="318"/>
      <c r="FT12" s="318"/>
      <c r="FU12" s="379"/>
      <c r="FV12" s="380"/>
      <c r="FW12" s="318"/>
      <c r="FX12" s="318"/>
      <c r="FY12" s="318"/>
      <c r="FZ12" s="318"/>
      <c r="GA12" s="318"/>
      <c r="GB12" s="318"/>
      <c r="GC12" s="115"/>
      <c r="GD12" s="318"/>
      <c r="GE12" s="318"/>
      <c r="GF12" s="318"/>
      <c r="GG12" s="318"/>
      <c r="GH12" s="379"/>
      <c r="GI12" s="380"/>
      <c r="GJ12" s="318"/>
      <c r="GK12" s="318"/>
      <c r="GL12" s="318"/>
      <c r="GM12" s="318"/>
      <c r="GN12" s="318"/>
      <c r="GO12" s="318"/>
      <c r="GQ12" s="275" t="s">
        <v>92</v>
      </c>
      <c r="GR12" s="241" t="str">
        <f>_xlfn.XLOOKUP(GQ12,'2. Boletim de Medição'!B:B,'2. Boletim de Medição'!D:D)</f>
        <v>M.O. para colocação de baguetes</v>
      </c>
      <c r="GS12" s="275"/>
      <c r="GT12" s="275" t="s">
        <v>96</v>
      </c>
      <c r="GU12" s="275" t="s">
        <v>80</v>
      </c>
      <c r="GV12" s="115"/>
      <c r="GW12" s="318"/>
      <c r="GX12" s="318"/>
      <c r="GY12" s="318"/>
      <c r="GZ12" s="318"/>
      <c r="HA12" s="318"/>
      <c r="HB12" s="318"/>
      <c r="HC12" s="318"/>
      <c r="HD12" s="318"/>
      <c r="HE12" s="318"/>
      <c r="HF12" s="318"/>
      <c r="HG12" s="115"/>
      <c r="HH12" s="318"/>
      <c r="HI12" s="318"/>
      <c r="HJ12" s="318"/>
      <c r="HK12" s="318"/>
      <c r="HL12" s="318"/>
      <c r="HM12" s="318"/>
      <c r="HN12" s="318"/>
      <c r="HO12" s="318"/>
      <c r="HP12" s="318"/>
      <c r="HQ12" s="318"/>
      <c r="HS12" s="318"/>
      <c r="HT12" s="318"/>
      <c r="HU12" s="318"/>
      <c r="HV12" s="318"/>
      <c r="HW12" s="318"/>
      <c r="HX12" s="318"/>
      <c r="HY12" s="318"/>
      <c r="HZ12" s="318"/>
      <c r="IA12" s="318"/>
      <c r="IB12" s="318"/>
      <c r="ID12" s="318"/>
      <c r="IE12" s="318"/>
      <c r="IF12" s="318"/>
      <c r="IG12" s="318"/>
      <c r="IH12" s="379"/>
      <c r="II12" s="380"/>
      <c r="IJ12" s="318"/>
      <c r="IK12" s="318"/>
      <c r="IL12" s="318"/>
      <c r="IM12" s="318"/>
      <c r="IN12" s="318"/>
      <c r="IO12" s="318"/>
      <c r="IP12" s="115"/>
      <c r="IQ12" s="318"/>
      <c r="IR12" s="318"/>
      <c r="IS12" s="318"/>
      <c r="IT12" s="318"/>
      <c r="IU12" s="379"/>
      <c r="IV12" s="380"/>
      <c r="IW12" s="318"/>
      <c r="IX12" s="318"/>
      <c r="IY12" s="318"/>
      <c r="IZ12" s="318"/>
      <c r="JA12" s="318"/>
      <c r="JB12" s="318"/>
      <c r="JC12" s="319"/>
      <c r="JD12" s="110" t="str">
        <f>'2. Boletim de Medição'!B22</f>
        <v>1.1.5</v>
      </c>
      <c r="JE12" s="110" t="str">
        <f>_xlfn.XLOOKUP(JD8,'2. Boletim de Medição'!B:B,'2. Boletim de Medição'!D:D)</f>
        <v xml:space="preserve">	Rodapé Cerâmico | Porcelanato - Serviço M.O Subcontrato</v>
      </c>
      <c r="JF12" s="275" t="s">
        <v>96</v>
      </c>
      <c r="JG12" s="275" t="s">
        <v>80</v>
      </c>
      <c r="JI12" s="321">
        <v>11.8</v>
      </c>
      <c r="JJ12" s="321">
        <v>8.1999999999999993</v>
      </c>
      <c r="JK12" s="321">
        <v>8.1999999999999993</v>
      </c>
      <c r="JL12" s="321">
        <v>8.1999999999999993</v>
      </c>
      <c r="JM12" s="321">
        <v>11.8</v>
      </c>
      <c r="JN12" s="321">
        <v>11.8</v>
      </c>
      <c r="JO12" s="321">
        <v>8.1999999999999993</v>
      </c>
      <c r="JP12" s="321">
        <v>8.1999999999999993</v>
      </c>
      <c r="JQ12" s="321">
        <v>8.1999999999999993</v>
      </c>
      <c r="JR12" s="321">
        <v>11.8</v>
      </c>
      <c r="JS12" s="115"/>
      <c r="JT12" s="318"/>
      <c r="JU12" s="318"/>
      <c r="JV12" s="318"/>
      <c r="JW12" s="318"/>
      <c r="JX12" s="318"/>
      <c r="JY12" s="318"/>
      <c r="JZ12" s="318"/>
      <c r="KA12" s="318"/>
      <c r="KB12" s="318"/>
      <c r="KC12" s="318"/>
      <c r="KE12" s="318"/>
      <c r="KF12" s="318"/>
      <c r="KG12" s="318"/>
      <c r="KH12" s="318"/>
      <c r="KI12" s="318"/>
      <c r="KJ12" s="318"/>
      <c r="KK12" s="318"/>
      <c r="KL12" s="318"/>
      <c r="KM12" s="318"/>
      <c r="KN12" s="318"/>
      <c r="KP12" s="318"/>
      <c r="KQ12" s="318"/>
      <c r="KR12" s="318"/>
      <c r="KS12" s="318"/>
      <c r="KT12" s="379"/>
      <c r="KU12" s="380"/>
      <c r="KV12" s="318"/>
      <c r="KW12" s="318"/>
      <c r="KX12" s="318"/>
      <c r="KY12" s="318"/>
      <c r="KZ12" s="318"/>
      <c r="LA12" s="318"/>
      <c r="LB12" s="115"/>
      <c r="LC12" s="318"/>
      <c r="LD12" s="318"/>
      <c r="LE12" s="318"/>
      <c r="LF12" s="318"/>
      <c r="LG12" s="379"/>
      <c r="LH12" s="380"/>
      <c r="LI12" s="318"/>
      <c r="LJ12" s="318"/>
      <c r="LK12" s="318"/>
      <c r="LL12" s="318"/>
      <c r="LM12" s="318"/>
      <c r="LN12" s="318"/>
      <c r="LP12" s="276" t="s">
        <v>114</v>
      </c>
      <c r="LQ12" s="280"/>
      <c r="LR12" s="278">
        <f>'1. Controle de Contrato'!E26</f>
        <v>46014</v>
      </c>
    </row>
    <row r="13" spans="1:330" ht="24" customHeight="1" x14ac:dyDescent="0.45">
      <c r="A13" s="242" t="s">
        <v>57</v>
      </c>
      <c r="B13" s="241" t="str">
        <f>_xlfn.XLOOKUP(A13,'2. Boletim de Medição'!B:B,'2. Boletim de Medição'!D:D)</f>
        <v>Mao de Obra Colocacao de Azulejo</v>
      </c>
      <c r="D13" s="242" t="str">
        <f>_xlfn.XLOOKUP(A13,'2. Boletim de Medição'!B:B,'2. Boletim de Medição'!E:E)</f>
        <v>M²</v>
      </c>
      <c r="E13" s="242" t="s">
        <v>81</v>
      </c>
      <c r="G13" s="321">
        <v>7.29</v>
      </c>
      <c r="H13" s="321">
        <v>7.29</v>
      </c>
      <c r="I13" s="321">
        <v>7.29</v>
      </c>
      <c r="J13" s="321">
        <v>7.29</v>
      </c>
      <c r="K13" s="321">
        <v>7.29</v>
      </c>
      <c r="L13" s="321">
        <v>7.29</v>
      </c>
      <c r="M13" s="321">
        <v>7.29</v>
      </c>
      <c r="N13" s="321">
        <v>7.29</v>
      </c>
      <c r="O13" s="321">
        <v>7.29</v>
      </c>
      <c r="P13" s="321">
        <v>7.29</v>
      </c>
      <c r="Q13" s="115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P13" s="318"/>
      <c r="AQ13" s="318"/>
      <c r="AR13" s="318"/>
      <c r="AS13" s="318"/>
      <c r="AT13" s="379"/>
      <c r="AU13" s="380"/>
      <c r="AV13" s="318"/>
      <c r="AW13" s="318"/>
      <c r="AX13" s="318"/>
      <c r="AY13" s="318"/>
      <c r="AZ13" s="318"/>
      <c r="BA13" s="318"/>
      <c r="BB13" s="115"/>
      <c r="BC13" s="318"/>
      <c r="BD13" s="318"/>
      <c r="BE13" s="318"/>
      <c r="BF13" s="318"/>
      <c r="BG13" s="379"/>
      <c r="BH13" s="380"/>
      <c r="BI13" s="318"/>
      <c r="BJ13" s="318"/>
      <c r="BK13" s="318"/>
      <c r="BL13" s="318"/>
      <c r="BM13" s="318"/>
      <c r="BN13" s="318"/>
      <c r="BO13" s="115"/>
      <c r="BP13" s="115"/>
      <c r="BQ13" s="275" t="str">
        <f>'2. Boletim de Medição'!B19</f>
        <v>1.1.2</v>
      </c>
      <c r="BR13" s="241" t="str">
        <f>_xlfn.XLOOKUP(BQ13,'2. Boletim de Medição'!B:B,'2. Boletim de Medição'!D:D)</f>
        <v>Mao de Obra Colocacao Piso Ceramico</v>
      </c>
      <c r="BS13" s="275"/>
      <c r="BT13" s="275" t="s">
        <v>96</v>
      </c>
      <c r="BU13" s="275" t="s">
        <v>81</v>
      </c>
      <c r="BV13" s="318">
        <v>7.05</v>
      </c>
      <c r="BW13" s="318">
        <v>5.07</v>
      </c>
      <c r="BX13" s="318">
        <v>5.07</v>
      </c>
      <c r="BY13" s="318">
        <v>5.07</v>
      </c>
      <c r="BZ13" s="318">
        <v>7.05</v>
      </c>
      <c r="CA13" s="318">
        <v>7.05</v>
      </c>
      <c r="CB13" s="318">
        <v>5.07</v>
      </c>
      <c r="CC13" s="318">
        <v>5.07</v>
      </c>
      <c r="CD13" s="318">
        <v>5.07</v>
      </c>
      <c r="CE13" s="318">
        <v>7.05</v>
      </c>
      <c r="CF13" s="115"/>
      <c r="CG13" s="318"/>
      <c r="CH13" s="318"/>
      <c r="CI13" s="318"/>
      <c r="CJ13" s="318"/>
      <c r="CK13" s="318"/>
      <c r="CL13" s="318"/>
      <c r="CM13" s="318"/>
      <c r="CN13" s="318"/>
      <c r="CO13" s="318"/>
      <c r="CP13" s="318"/>
      <c r="CR13" s="318"/>
      <c r="CS13" s="318"/>
      <c r="CT13" s="318"/>
      <c r="CU13" s="318"/>
      <c r="CV13" s="318"/>
      <c r="CW13" s="318"/>
      <c r="CX13" s="318"/>
      <c r="CY13" s="318"/>
      <c r="CZ13" s="318"/>
      <c r="DA13" s="318"/>
      <c r="DC13" s="318"/>
      <c r="DD13" s="318"/>
      <c r="DE13" s="318"/>
      <c r="DF13" s="318"/>
      <c r="DG13" s="379"/>
      <c r="DH13" s="380"/>
      <c r="DI13" s="318"/>
      <c r="DJ13" s="318"/>
      <c r="DK13" s="318"/>
      <c r="DL13" s="318"/>
      <c r="DM13" s="318"/>
      <c r="DN13" s="318"/>
      <c r="DO13" s="115"/>
      <c r="DP13" s="318"/>
      <c r="DQ13" s="318"/>
      <c r="DR13" s="318"/>
      <c r="DS13" s="318"/>
      <c r="DT13" s="379"/>
      <c r="DU13" s="380"/>
      <c r="DV13" s="318"/>
      <c r="DW13" s="318"/>
      <c r="DX13" s="318"/>
      <c r="DY13" s="318"/>
      <c r="DZ13" s="318"/>
      <c r="EA13" s="318"/>
      <c r="EB13" s="115"/>
      <c r="EC13" s="115"/>
      <c r="ED13" s="275" t="s">
        <v>91</v>
      </c>
      <c r="EE13" s="241" t="str">
        <f>_xlfn.XLOOKUP(ED13,'2. Boletim de Medição'!B:B,'2. Boletim de Medição'!D:D)</f>
        <v>M.O para colocação de soleiras</v>
      </c>
      <c r="EF13" s="275"/>
      <c r="EG13" s="275" t="s">
        <v>96</v>
      </c>
      <c r="EH13" s="275" t="s">
        <v>81</v>
      </c>
      <c r="EI13" s="115"/>
      <c r="EJ13" s="318"/>
      <c r="EK13" s="318"/>
      <c r="EL13" s="318"/>
      <c r="EM13" s="318"/>
      <c r="EN13" s="318"/>
      <c r="EO13" s="318"/>
      <c r="EP13" s="318"/>
      <c r="EQ13" s="318"/>
      <c r="ER13" s="318"/>
      <c r="ES13" s="318"/>
      <c r="ET13" s="115"/>
      <c r="EU13" s="318"/>
      <c r="EV13" s="318"/>
      <c r="EW13" s="318"/>
      <c r="EX13" s="318"/>
      <c r="EY13" s="318"/>
      <c r="EZ13" s="318"/>
      <c r="FA13" s="318"/>
      <c r="FB13" s="318"/>
      <c r="FC13" s="318"/>
      <c r="FD13" s="318"/>
      <c r="FF13" s="318"/>
      <c r="FG13" s="318"/>
      <c r="FH13" s="318"/>
      <c r="FI13" s="318"/>
      <c r="FJ13" s="318"/>
      <c r="FK13" s="318"/>
      <c r="FL13" s="318"/>
      <c r="FM13" s="318"/>
      <c r="FN13" s="318"/>
      <c r="FO13" s="318"/>
      <c r="FQ13" s="318"/>
      <c r="FR13" s="318"/>
      <c r="FS13" s="318"/>
      <c r="FT13" s="318"/>
      <c r="FU13" s="379"/>
      <c r="FV13" s="380"/>
      <c r="FW13" s="318"/>
      <c r="FX13" s="318"/>
      <c r="FY13" s="318"/>
      <c r="FZ13" s="318"/>
      <c r="GA13" s="318"/>
      <c r="GB13" s="318"/>
      <c r="GC13" s="115"/>
      <c r="GD13" s="318"/>
      <c r="GE13" s="318"/>
      <c r="GF13" s="318"/>
      <c r="GG13" s="318"/>
      <c r="GH13" s="379"/>
      <c r="GI13" s="380"/>
      <c r="GJ13" s="318"/>
      <c r="GK13" s="318"/>
      <c r="GL13" s="318"/>
      <c r="GM13" s="318"/>
      <c r="GN13" s="318"/>
      <c r="GO13" s="318"/>
      <c r="GQ13" s="275" t="s">
        <v>92</v>
      </c>
      <c r="GR13" s="241" t="str">
        <f>_xlfn.XLOOKUP(GQ13,'2. Boletim de Medição'!B:B,'2. Boletim de Medição'!D:D)</f>
        <v>M.O. para colocação de baguetes</v>
      </c>
      <c r="GS13" s="275"/>
      <c r="GT13" s="275" t="s">
        <v>96</v>
      </c>
      <c r="GU13" s="275" t="s">
        <v>81</v>
      </c>
      <c r="GV13" s="115"/>
      <c r="GW13" s="318"/>
      <c r="GX13" s="318"/>
      <c r="GY13" s="318"/>
      <c r="GZ13" s="318"/>
      <c r="HA13" s="318"/>
      <c r="HB13" s="318"/>
      <c r="HC13" s="318"/>
      <c r="HD13" s="318"/>
      <c r="HE13" s="318"/>
      <c r="HF13" s="318"/>
      <c r="HG13" s="115"/>
      <c r="HH13" s="318"/>
      <c r="HI13" s="318"/>
      <c r="HJ13" s="318"/>
      <c r="HK13" s="318"/>
      <c r="HL13" s="318"/>
      <c r="HM13" s="318"/>
      <c r="HN13" s="318"/>
      <c r="HO13" s="318"/>
      <c r="HP13" s="318"/>
      <c r="HQ13" s="318"/>
      <c r="HS13" s="318"/>
      <c r="HT13" s="318"/>
      <c r="HU13" s="318"/>
      <c r="HV13" s="318"/>
      <c r="HW13" s="318"/>
      <c r="HX13" s="318"/>
      <c r="HY13" s="318"/>
      <c r="HZ13" s="318"/>
      <c r="IA13" s="318"/>
      <c r="IB13" s="318"/>
      <c r="ID13" s="318"/>
      <c r="IE13" s="318"/>
      <c r="IF13" s="318"/>
      <c r="IG13" s="318"/>
      <c r="IH13" s="379"/>
      <c r="II13" s="380"/>
      <c r="IJ13" s="318"/>
      <c r="IK13" s="318"/>
      <c r="IL13" s="318"/>
      <c r="IM13" s="318"/>
      <c r="IN13" s="318"/>
      <c r="IO13" s="318"/>
      <c r="IP13" s="115"/>
      <c r="IQ13" s="318"/>
      <c r="IR13" s="318"/>
      <c r="IS13" s="318"/>
      <c r="IT13" s="318"/>
      <c r="IU13" s="379"/>
      <c r="IV13" s="380"/>
      <c r="IW13" s="318"/>
      <c r="IX13" s="318"/>
      <c r="IY13" s="318"/>
      <c r="IZ13" s="318"/>
      <c r="JA13" s="318"/>
      <c r="JB13" s="318"/>
      <c r="JC13" s="319"/>
      <c r="JD13" s="110" t="str">
        <f>'2. Boletim de Medição'!B22</f>
        <v>1.1.5</v>
      </c>
      <c r="JE13" s="110" t="str">
        <f>_xlfn.XLOOKUP(JD8,'2. Boletim de Medição'!B:B,'2. Boletim de Medição'!D:D)</f>
        <v xml:space="preserve">	Rodapé Cerâmico | Porcelanato - Serviço M.O Subcontrato</v>
      </c>
      <c r="JF13" s="275" t="s">
        <v>96</v>
      </c>
      <c r="JG13" s="275" t="s">
        <v>81</v>
      </c>
      <c r="JI13" s="321">
        <v>11.8</v>
      </c>
      <c r="JJ13" s="321">
        <v>8.1999999999999993</v>
      </c>
      <c r="JK13" s="321">
        <v>8.1999999999999993</v>
      </c>
      <c r="JL13" s="321">
        <v>8.1999999999999993</v>
      </c>
      <c r="JM13" s="321">
        <v>11.8</v>
      </c>
      <c r="JN13" s="321">
        <v>11.8</v>
      </c>
      <c r="JO13" s="321">
        <v>8.1999999999999993</v>
      </c>
      <c r="JP13" s="321">
        <v>8.1999999999999993</v>
      </c>
      <c r="JQ13" s="321">
        <v>8.1999999999999993</v>
      </c>
      <c r="JR13" s="321">
        <v>11.8</v>
      </c>
      <c r="JS13" s="115"/>
      <c r="JT13" s="318"/>
      <c r="JU13" s="318"/>
      <c r="JV13" s="318"/>
      <c r="JW13" s="318"/>
      <c r="JX13" s="318"/>
      <c r="JY13" s="318"/>
      <c r="JZ13" s="318"/>
      <c r="KA13" s="318"/>
      <c r="KB13" s="318"/>
      <c r="KC13" s="318"/>
      <c r="KE13" s="318"/>
      <c r="KF13" s="318"/>
      <c r="KG13" s="318"/>
      <c r="KH13" s="318"/>
      <c r="KI13" s="318"/>
      <c r="KJ13" s="318"/>
      <c r="KK13" s="318"/>
      <c r="KL13" s="318"/>
      <c r="KM13" s="318"/>
      <c r="KN13" s="318"/>
      <c r="KP13" s="318"/>
      <c r="KQ13" s="318"/>
      <c r="KR13" s="318"/>
      <c r="KS13" s="318"/>
      <c r="KT13" s="379"/>
      <c r="KU13" s="380"/>
      <c r="KV13" s="318"/>
      <c r="KW13" s="318"/>
      <c r="KX13" s="318"/>
      <c r="KY13" s="318"/>
      <c r="KZ13" s="318"/>
      <c r="LA13" s="318"/>
      <c r="LB13" s="115"/>
      <c r="LC13" s="318"/>
      <c r="LD13" s="318"/>
      <c r="LE13" s="318"/>
      <c r="LF13" s="318"/>
      <c r="LG13" s="379"/>
      <c r="LH13" s="380"/>
      <c r="LI13" s="318"/>
      <c r="LJ13" s="318"/>
      <c r="LK13" s="318"/>
      <c r="LL13" s="318"/>
      <c r="LM13" s="318"/>
      <c r="LN13" s="318"/>
      <c r="LP13" s="276" t="s">
        <v>115</v>
      </c>
      <c r="LQ13" s="281"/>
      <c r="LR13" s="278">
        <f>'1. Controle de Contrato'!E27</f>
        <v>46134</v>
      </c>
    </row>
    <row r="14" spans="1:330" ht="24" customHeight="1" x14ac:dyDescent="0.45">
      <c r="A14" s="242" t="s">
        <v>57</v>
      </c>
      <c r="B14" s="241" t="str">
        <f>_xlfn.XLOOKUP(A14,'2. Boletim de Medição'!B:B,'2. Boletim de Medição'!D:D)</f>
        <v>Mao de Obra Colocacao de Azulejo</v>
      </c>
      <c r="D14" s="242" t="str">
        <f>_xlfn.XLOOKUP(A14,'2. Boletim de Medição'!B:B,'2. Boletim de Medição'!E:E)</f>
        <v>M²</v>
      </c>
      <c r="E14" s="242" t="s">
        <v>82</v>
      </c>
      <c r="G14" s="322">
        <v>7.29</v>
      </c>
      <c r="H14" s="322">
        <v>7.29</v>
      </c>
      <c r="I14" s="322">
        <v>7.29</v>
      </c>
      <c r="J14" s="322">
        <v>7.29</v>
      </c>
      <c r="K14" s="322"/>
      <c r="L14" s="322">
        <v>7.29</v>
      </c>
      <c r="M14" s="322">
        <v>7.29</v>
      </c>
      <c r="N14" s="322">
        <v>7.29</v>
      </c>
      <c r="O14" s="321">
        <v>7.29</v>
      </c>
      <c r="P14" s="322">
        <v>7.29</v>
      </c>
      <c r="Q14" s="115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P14" s="318"/>
      <c r="AQ14" s="318"/>
      <c r="AR14" s="318"/>
      <c r="AS14" s="318"/>
      <c r="AT14" s="379"/>
      <c r="AU14" s="380"/>
      <c r="AV14" s="318"/>
      <c r="AW14" s="318"/>
      <c r="AX14" s="318"/>
      <c r="AY14" s="318"/>
      <c r="AZ14" s="318"/>
      <c r="BA14" s="318"/>
      <c r="BB14" s="115"/>
      <c r="BC14" s="318"/>
      <c r="BD14" s="318"/>
      <c r="BE14" s="318"/>
      <c r="BF14" s="318"/>
      <c r="BG14" s="379"/>
      <c r="BH14" s="380"/>
      <c r="BI14" s="318"/>
      <c r="BJ14" s="318"/>
      <c r="BK14" s="318"/>
      <c r="BL14" s="318"/>
      <c r="BM14" s="318"/>
      <c r="BN14" s="318"/>
      <c r="BO14" s="115"/>
      <c r="BP14" s="115"/>
      <c r="BQ14" s="275" t="str">
        <f>'2. Boletim de Medição'!B19</f>
        <v>1.1.2</v>
      </c>
      <c r="BR14" s="241" t="str">
        <f>_xlfn.XLOOKUP(BQ14,'2. Boletim de Medição'!B:B,'2. Boletim de Medição'!D:D)</f>
        <v>Mao de Obra Colocacao Piso Ceramico</v>
      </c>
      <c r="BS14" s="275"/>
      <c r="BT14" s="275" t="s">
        <v>96</v>
      </c>
      <c r="BU14" s="275" t="s">
        <v>82</v>
      </c>
      <c r="BV14" s="310">
        <v>7.05</v>
      </c>
      <c r="BW14" s="310">
        <v>5.07</v>
      </c>
      <c r="BX14" s="310"/>
      <c r="BY14" s="310"/>
      <c r="BZ14" s="310"/>
      <c r="CA14" s="310">
        <v>7.05</v>
      </c>
      <c r="CB14" s="310">
        <v>5.07</v>
      </c>
      <c r="CC14" s="310">
        <v>5.07</v>
      </c>
      <c r="CD14" s="318">
        <v>5.07</v>
      </c>
      <c r="CE14" s="310">
        <v>7.05</v>
      </c>
      <c r="CF14" s="115"/>
      <c r="CG14" s="318"/>
      <c r="CH14" s="318"/>
      <c r="CI14" s="318"/>
      <c r="CJ14" s="318"/>
      <c r="CK14" s="318"/>
      <c r="CL14" s="318"/>
      <c r="CM14" s="318"/>
      <c r="CN14" s="318"/>
      <c r="CO14" s="318"/>
      <c r="CP14" s="318"/>
      <c r="CR14" s="318"/>
      <c r="CS14" s="318"/>
      <c r="CT14" s="318"/>
      <c r="CU14" s="318"/>
      <c r="CV14" s="318"/>
      <c r="CW14" s="318"/>
      <c r="CX14" s="318"/>
      <c r="CY14" s="318"/>
      <c r="CZ14" s="318"/>
      <c r="DA14" s="318"/>
      <c r="DC14" s="318"/>
      <c r="DD14" s="318"/>
      <c r="DE14" s="318"/>
      <c r="DF14" s="318"/>
      <c r="DG14" s="379"/>
      <c r="DH14" s="380"/>
      <c r="DI14" s="318"/>
      <c r="DJ14" s="318"/>
      <c r="DK14" s="318"/>
      <c r="DL14" s="318"/>
      <c r="DM14" s="318"/>
      <c r="DN14" s="318"/>
      <c r="DO14" s="115"/>
      <c r="DP14" s="318"/>
      <c r="DQ14" s="318"/>
      <c r="DR14" s="318"/>
      <c r="DS14" s="318"/>
      <c r="DT14" s="379"/>
      <c r="DU14" s="380"/>
      <c r="DV14" s="318"/>
      <c r="DW14" s="318"/>
      <c r="DX14" s="318"/>
      <c r="DY14" s="318"/>
      <c r="DZ14" s="318"/>
      <c r="EA14" s="318"/>
      <c r="EB14" s="115"/>
      <c r="EC14" s="115"/>
      <c r="ED14" s="275" t="s">
        <v>91</v>
      </c>
      <c r="EE14" s="241" t="str">
        <f>_xlfn.XLOOKUP(ED14,'2. Boletim de Medição'!B:B,'2. Boletim de Medição'!D:D)</f>
        <v>M.O para colocação de soleiras</v>
      </c>
      <c r="EF14" s="275"/>
      <c r="EG14" s="275" t="s">
        <v>96</v>
      </c>
      <c r="EH14" s="275" t="s">
        <v>82</v>
      </c>
      <c r="EI14" s="115"/>
      <c r="EJ14" s="318"/>
      <c r="EK14" s="318"/>
      <c r="EL14" s="318"/>
      <c r="EM14" s="318"/>
      <c r="EN14" s="318"/>
      <c r="EO14" s="318"/>
      <c r="EP14" s="318"/>
      <c r="EQ14" s="318"/>
      <c r="ER14" s="318"/>
      <c r="ES14" s="318"/>
      <c r="ET14" s="115"/>
      <c r="EU14" s="318"/>
      <c r="EV14" s="318"/>
      <c r="EW14" s="318"/>
      <c r="EX14" s="318"/>
      <c r="EY14" s="318"/>
      <c r="EZ14" s="318"/>
      <c r="FA14" s="318"/>
      <c r="FB14" s="318"/>
      <c r="FC14" s="318"/>
      <c r="FD14" s="318"/>
      <c r="FF14" s="318"/>
      <c r="FG14" s="318"/>
      <c r="FH14" s="318"/>
      <c r="FI14" s="318"/>
      <c r="FJ14" s="318"/>
      <c r="FK14" s="318"/>
      <c r="FL14" s="318"/>
      <c r="FM14" s="318"/>
      <c r="FN14" s="318"/>
      <c r="FO14" s="318"/>
      <c r="FQ14" s="318"/>
      <c r="FR14" s="318"/>
      <c r="FS14" s="318"/>
      <c r="FT14" s="318"/>
      <c r="FU14" s="379"/>
      <c r="FV14" s="380"/>
      <c r="FW14" s="318"/>
      <c r="FX14" s="318"/>
      <c r="FY14" s="318"/>
      <c r="FZ14" s="318"/>
      <c r="GA14" s="318"/>
      <c r="GB14" s="318"/>
      <c r="GC14" s="115"/>
      <c r="GD14" s="318"/>
      <c r="GE14" s="318"/>
      <c r="GF14" s="318"/>
      <c r="GG14" s="318"/>
      <c r="GH14" s="379"/>
      <c r="GI14" s="380"/>
      <c r="GJ14" s="318"/>
      <c r="GK14" s="318"/>
      <c r="GL14" s="318"/>
      <c r="GM14" s="318"/>
      <c r="GN14" s="318"/>
      <c r="GO14" s="318"/>
      <c r="GQ14" s="275" t="s">
        <v>92</v>
      </c>
      <c r="GR14" s="241" t="str">
        <f>_xlfn.XLOOKUP(GQ14,'2. Boletim de Medição'!B:B,'2. Boletim de Medição'!D:D)</f>
        <v>M.O. para colocação de baguetes</v>
      </c>
      <c r="GS14" s="275"/>
      <c r="GT14" s="275" t="s">
        <v>96</v>
      </c>
      <c r="GU14" s="275" t="s">
        <v>82</v>
      </c>
      <c r="GV14" s="115"/>
      <c r="GW14" s="318"/>
      <c r="GX14" s="318"/>
      <c r="GY14" s="318"/>
      <c r="GZ14" s="318"/>
      <c r="HA14" s="318"/>
      <c r="HB14" s="318"/>
      <c r="HC14" s="318"/>
      <c r="HD14" s="318"/>
      <c r="HE14" s="318"/>
      <c r="HF14" s="318"/>
      <c r="HG14" s="115"/>
      <c r="HH14" s="318"/>
      <c r="HI14" s="318"/>
      <c r="HJ14" s="318"/>
      <c r="HK14" s="318"/>
      <c r="HL14" s="318"/>
      <c r="HM14" s="318"/>
      <c r="HN14" s="318"/>
      <c r="HO14" s="318"/>
      <c r="HP14" s="318"/>
      <c r="HQ14" s="318"/>
      <c r="HS14" s="318"/>
      <c r="HT14" s="318"/>
      <c r="HU14" s="318"/>
      <c r="HV14" s="318"/>
      <c r="HW14" s="318"/>
      <c r="HX14" s="318"/>
      <c r="HY14" s="318"/>
      <c r="HZ14" s="318"/>
      <c r="IA14" s="318"/>
      <c r="IB14" s="318"/>
      <c r="ID14" s="318"/>
      <c r="IE14" s="318"/>
      <c r="IF14" s="318"/>
      <c r="IG14" s="318"/>
      <c r="IH14" s="379"/>
      <c r="II14" s="380"/>
      <c r="IJ14" s="318"/>
      <c r="IK14" s="318"/>
      <c r="IL14" s="318"/>
      <c r="IM14" s="318"/>
      <c r="IN14" s="318"/>
      <c r="IO14" s="318"/>
      <c r="IP14" s="115"/>
      <c r="IQ14" s="318"/>
      <c r="IR14" s="318"/>
      <c r="IS14" s="318"/>
      <c r="IT14" s="318"/>
      <c r="IU14" s="379"/>
      <c r="IV14" s="380"/>
      <c r="IW14" s="318"/>
      <c r="IX14" s="318"/>
      <c r="IY14" s="318"/>
      <c r="IZ14" s="318"/>
      <c r="JA14" s="318"/>
      <c r="JB14" s="318"/>
      <c r="JC14" s="319"/>
      <c r="JD14" s="110" t="str">
        <f>'2. Boletim de Medição'!B22</f>
        <v>1.1.5</v>
      </c>
      <c r="JE14" s="110" t="str">
        <f>_xlfn.XLOOKUP(JD8,'2. Boletim de Medição'!B:B,'2. Boletim de Medição'!D:D)</f>
        <v xml:space="preserve">	Rodapé Cerâmico | Porcelanato - Serviço M.O Subcontrato</v>
      </c>
      <c r="JF14" s="275" t="s">
        <v>96</v>
      </c>
      <c r="JG14" s="275" t="s">
        <v>82</v>
      </c>
      <c r="JI14" s="322">
        <v>11.8</v>
      </c>
      <c r="JJ14" s="322">
        <v>8.1999999999999993</v>
      </c>
      <c r="JK14" s="322"/>
      <c r="JL14" s="322"/>
      <c r="JM14" s="322"/>
      <c r="JN14" s="322"/>
      <c r="JO14" s="322"/>
      <c r="JP14" s="322">
        <v>8.1999999999999993</v>
      </c>
      <c r="JQ14" s="321">
        <v>8.1999999999999993</v>
      </c>
      <c r="JR14" s="322">
        <v>11.8</v>
      </c>
      <c r="JS14" s="115"/>
      <c r="JT14" s="318"/>
      <c r="JU14" s="318"/>
      <c r="JV14" s="318"/>
      <c r="JW14" s="318"/>
      <c r="JX14" s="318"/>
      <c r="JY14" s="318"/>
      <c r="JZ14" s="318"/>
      <c r="KA14" s="318"/>
      <c r="KB14" s="318"/>
      <c r="KC14" s="318"/>
      <c r="KE14" s="318"/>
      <c r="KF14" s="318"/>
      <c r="KG14" s="318"/>
      <c r="KH14" s="318"/>
      <c r="KI14" s="318"/>
      <c r="KJ14" s="318"/>
      <c r="KK14" s="318"/>
      <c r="KL14" s="318"/>
      <c r="KM14" s="318"/>
      <c r="KN14" s="318"/>
      <c r="KP14" s="318"/>
      <c r="KQ14" s="318"/>
      <c r="KR14" s="318"/>
      <c r="KS14" s="318"/>
      <c r="KT14" s="379"/>
      <c r="KU14" s="380"/>
      <c r="KV14" s="318"/>
      <c r="KW14" s="318"/>
      <c r="KX14" s="318"/>
      <c r="KY14" s="318"/>
      <c r="KZ14" s="318"/>
      <c r="LA14" s="318"/>
      <c r="LB14" s="115"/>
      <c r="LC14" s="318"/>
      <c r="LD14" s="318"/>
      <c r="LE14" s="318"/>
      <c r="LF14" s="318"/>
      <c r="LG14" s="379"/>
      <c r="LH14" s="380"/>
      <c r="LI14" s="318"/>
      <c r="LJ14" s="318"/>
      <c r="LK14" s="318"/>
      <c r="LL14" s="318"/>
      <c r="LM14" s="318"/>
      <c r="LN14" s="318"/>
      <c r="LP14" s="276" t="s">
        <v>116</v>
      </c>
      <c r="LQ14" s="282"/>
      <c r="LR14" s="278">
        <f>'1. Controle de Contrato'!E28</f>
        <v>46139</v>
      </c>
    </row>
    <row r="15" spans="1:330" ht="24" customHeight="1" x14ac:dyDescent="0.45">
      <c r="A15" s="242" t="s">
        <v>57</v>
      </c>
      <c r="B15" s="241" t="str">
        <f>_xlfn.XLOOKUP(A15,'2. Boletim de Medição'!B:B,'2. Boletim de Medição'!D:D)</f>
        <v>Mao de Obra Colocacao de Azulejo</v>
      </c>
      <c r="D15" s="242" t="str">
        <f>_xlfn.XLOOKUP(A15,'2. Boletim de Medição'!B:B,'2. Boletim de Medição'!E:E)</f>
        <v>M²</v>
      </c>
      <c r="E15" s="242" t="s">
        <v>83</v>
      </c>
      <c r="G15" s="322">
        <v>7.29</v>
      </c>
      <c r="H15" s="322">
        <v>7.29</v>
      </c>
      <c r="I15" s="322">
        <v>7.29</v>
      </c>
      <c r="J15" s="322">
        <v>7.29</v>
      </c>
      <c r="K15" s="322"/>
      <c r="L15" s="322">
        <v>7.29</v>
      </c>
      <c r="M15" s="322">
        <v>7.29</v>
      </c>
      <c r="N15" s="322">
        <v>7.29</v>
      </c>
      <c r="O15" s="321">
        <v>7.29</v>
      </c>
      <c r="P15" s="322">
        <v>7.29</v>
      </c>
      <c r="Q15" s="115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P15" s="318"/>
      <c r="AQ15" s="318"/>
      <c r="AR15" s="318"/>
      <c r="AS15" s="318"/>
      <c r="AT15" s="379"/>
      <c r="AU15" s="380"/>
      <c r="AV15" s="318"/>
      <c r="AW15" s="318"/>
      <c r="AX15" s="318"/>
      <c r="AY15" s="318"/>
      <c r="AZ15" s="318"/>
      <c r="BA15" s="318"/>
      <c r="BB15" s="115"/>
      <c r="BC15" s="318"/>
      <c r="BD15" s="318"/>
      <c r="BE15" s="318"/>
      <c r="BF15" s="318"/>
      <c r="BG15" s="379"/>
      <c r="BH15" s="380"/>
      <c r="BI15" s="318"/>
      <c r="BJ15" s="318"/>
      <c r="BK15" s="318"/>
      <c r="BL15" s="318"/>
      <c r="BM15" s="318"/>
      <c r="BN15" s="318"/>
      <c r="BO15" s="115"/>
      <c r="BP15" s="115"/>
      <c r="BQ15" s="275" t="str">
        <f>'2. Boletim de Medição'!B19</f>
        <v>1.1.2</v>
      </c>
      <c r="BR15" s="241" t="str">
        <f>_xlfn.XLOOKUP(BQ15,'2. Boletim de Medição'!B:B,'2. Boletim de Medição'!D:D)</f>
        <v>Mao de Obra Colocacao Piso Ceramico</v>
      </c>
      <c r="BS15" s="275"/>
      <c r="BT15" s="275" t="s">
        <v>96</v>
      </c>
      <c r="BU15" s="275" t="s">
        <v>83</v>
      </c>
      <c r="BV15" s="310">
        <v>7.05</v>
      </c>
      <c r="BW15" s="310">
        <v>5.07</v>
      </c>
      <c r="BX15" s="310"/>
      <c r="BY15" s="310"/>
      <c r="BZ15" s="310"/>
      <c r="CA15" s="310">
        <v>7.05</v>
      </c>
      <c r="CB15" s="310">
        <v>5.07</v>
      </c>
      <c r="CC15" s="310">
        <v>5.07</v>
      </c>
      <c r="CD15" s="318">
        <v>5.07</v>
      </c>
      <c r="CE15" s="310">
        <v>7.05</v>
      </c>
      <c r="CF15" s="115"/>
      <c r="CG15" s="318"/>
      <c r="CH15" s="318"/>
      <c r="CI15" s="318"/>
      <c r="CJ15" s="318"/>
      <c r="CK15" s="318"/>
      <c r="CL15" s="318"/>
      <c r="CM15" s="318"/>
      <c r="CN15" s="318"/>
      <c r="CO15" s="318"/>
      <c r="CP15" s="318"/>
      <c r="CR15" s="318"/>
      <c r="CS15" s="318"/>
      <c r="CT15" s="318"/>
      <c r="CU15" s="318"/>
      <c r="CV15" s="318"/>
      <c r="CW15" s="318"/>
      <c r="CX15" s="318"/>
      <c r="CY15" s="318"/>
      <c r="CZ15" s="318"/>
      <c r="DA15" s="318"/>
      <c r="DC15" s="318"/>
      <c r="DD15" s="318"/>
      <c r="DE15" s="318"/>
      <c r="DF15" s="318"/>
      <c r="DG15" s="379"/>
      <c r="DH15" s="380"/>
      <c r="DI15" s="318"/>
      <c r="DJ15" s="318"/>
      <c r="DK15" s="318"/>
      <c r="DL15" s="318"/>
      <c r="DM15" s="318"/>
      <c r="DN15" s="318"/>
      <c r="DO15" s="115"/>
      <c r="DP15" s="318"/>
      <c r="DQ15" s="318"/>
      <c r="DR15" s="318"/>
      <c r="DS15" s="318"/>
      <c r="DT15" s="379"/>
      <c r="DU15" s="380"/>
      <c r="DV15" s="318"/>
      <c r="DW15" s="318"/>
      <c r="DX15" s="318"/>
      <c r="DY15" s="318"/>
      <c r="DZ15" s="318"/>
      <c r="EA15" s="318"/>
      <c r="EB15" s="115"/>
      <c r="EC15" s="115"/>
      <c r="ED15" s="275" t="s">
        <v>91</v>
      </c>
      <c r="EE15" s="241" t="str">
        <f>_xlfn.XLOOKUP(ED15,'2. Boletim de Medição'!B:B,'2. Boletim de Medição'!D:D)</f>
        <v>M.O para colocação de soleiras</v>
      </c>
      <c r="EF15" s="275"/>
      <c r="EG15" s="275" t="s">
        <v>96</v>
      </c>
      <c r="EH15" s="275" t="s">
        <v>83</v>
      </c>
      <c r="EI15" s="115"/>
      <c r="EJ15" s="318"/>
      <c r="EK15" s="318"/>
      <c r="EL15" s="318"/>
      <c r="EM15" s="318"/>
      <c r="EN15" s="318"/>
      <c r="EO15" s="318"/>
      <c r="EP15" s="318"/>
      <c r="EQ15" s="318"/>
      <c r="ER15" s="318"/>
      <c r="ES15" s="318"/>
      <c r="ET15" s="115"/>
      <c r="EU15" s="318"/>
      <c r="EV15" s="318"/>
      <c r="EW15" s="318"/>
      <c r="EX15" s="318"/>
      <c r="EY15" s="318"/>
      <c r="EZ15" s="318"/>
      <c r="FA15" s="318"/>
      <c r="FB15" s="318"/>
      <c r="FC15" s="318"/>
      <c r="FD15" s="318"/>
      <c r="FF15" s="318"/>
      <c r="FG15" s="318"/>
      <c r="FH15" s="318"/>
      <c r="FI15" s="318"/>
      <c r="FJ15" s="318"/>
      <c r="FK15" s="318"/>
      <c r="FL15" s="318"/>
      <c r="FM15" s="318"/>
      <c r="FN15" s="318"/>
      <c r="FO15" s="318"/>
      <c r="FQ15" s="318"/>
      <c r="FR15" s="318"/>
      <c r="FS15" s="318"/>
      <c r="FT15" s="318"/>
      <c r="FU15" s="379"/>
      <c r="FV15" s="380"/>
      <c r="FW15" s="318"/>
      <c r="FX15" s="318"/>
      <c r="FY15" s="318"/>
      <c r="FZ15" s="318"/>
      <c r="GA15" s="318"/>
      <c r="GB15" s="318"/>
      <c r="GC15" s="115"/>
      <c r="GD15" s="318"/>
      <c r="GE15" s="318"/>
      <c r="GF15" s="318"/>
      <c r="GG15" s="318"/>
      <c r="GH15" s="379"/>
      <c r="GI15" s="380"/>
      <c r="GJ15" s="318"/>
      <c r="GK15" s="318"/>
      <c r="GL15" s="318"/>
      <c r="GM15" s="318"/>
      <c r="GN15" s="318"/>
      <c r="GO15" s="318"/>
      <c r="GQ15" s="275" t="s">
        <v>92</v>
      </c>
      <c r="GR15" s="241" t="str">
        <f>_xlfn.XLOOKUP(GQ15,'2. Boletim de Medição'!B:B,'2. Boletim de Medição'!D:D)</f>
        <v>M.O. para colocação de baguetes</v>
      </c>
      <c r="GS15" s="275"/>
      <c r="GT15" s="275" t="s">
        <v>96</v>
      </c>
      <c r="GU15" s="275" t="s">
        <v>83</v>
      </c>
      <c r="GV15" s="115"/>
      <c r="GW15" s="318"/>
      <c r="GX15" s="318"/>
      <c r="GY15" s="318"/>
      <c r="GZ15" s="318"/>
      <c r="HA15" s="318"/>
      <c r="HB15" s="318"/>
      <c r="HC15" s="318"/>
      <c r="HD15" s="318"/>
      <c r="HE15" s="318"/>
      <c r="HF15" s="318"/>
      <c r="HG15" s="115"/>
      <c r="HH15" s="318"/>
      <c r="HI15" s="318"/>
      <c r="HJ15" s="318"/>
      <c r="HK15" s="318"/>
      <c r="HL15" s="318"/>
      <c r="HM15" s="318"/>
      <c r="HN15" s="318"/>
      <c r="HO15" s="318"/>
      <c r="HP15" s="318"/>
      <c r="HQ15" s="318"/>
      <c r="HS15" s="318"/>
      <c r="HT15" s="318"/>
      <c r="HU15" s="318"/>
      <c r="HV15" s="318"/>
      <c r="HW15" s="318"/>
      <c r="HX15" s="318"/>
      <c r="HY15" s="318"/>
      <c r="HZ15" s="318"/>
      <c r="IA15" s="318"/>
      <c r="IB15" s="318"/>
      <c r="ID15" s="318"/>
      <c r="IE15" s="318"/>
      <c r="IF15" s="318"/>
      <c r="IG15" s="318"/>
      <c r="IH15" s="379"/>
      <c r="II15" s="380"/>
      <c r="IJ15" s="318"/>
      <c r="IK15" s="318"/>
      <c r="IL15" s="318"/>
      <c r="IM15" s="318"/>
      <c r="IN15" s="318"/>
      <c r="IO15" s="318"/>
      <c r="IP15" s="115"/>
      <c r="IQ15" s="318"/>
      <c r="IR15" s="318"/>
      <c r="IS15" s="318"/>
      <c r="IT15" s="318"/>
      <c r="IU15" s="379"/>
      <c r="IV15" s="380"/>
      <c r="IW15" s="318"/>
      <c r="IX15" s="318"/>
      <c r="IY15" s="318"/>
      <c r="IZ15" s="318"/>
      <c r="JA15" s="318"/>
      <c r="JB15" s="318"/>
      <c r="JC15" s="319"/>
      <c r="JD15" s="110" t="str">
        <f>'2. Boletim de Medição'!B22</f>
        <v>1.1.5</v>
      </c>
      <c r="JE15" s="110" t="str">
        <f>_xlfn.XLOOKUP(JD8,'2. Boletim de Medição'!B:B,'2. Boletim de Medição'!D:D)</f>
        <v xml:space="preserve">	Rodapé Cerâmico | Porcelanato - Serviço M.O Subcontrato</v>
      </c>
      <c r="JF15" s="275" t="s">
        <v>96</v>
      </c>
      <c r="JG15" s="275" t="s">
        <v>83</v>
      </c>
      <c r="JI15" s="322">
        <v>11.8</v>
      </c>
      <c r="JJ15" s="322">
        <v>8.1999999999999993</v>
      </c>
      <c r="JK15" s="322"/>
      <c r="JL15" s="322"/>
      <c r="JM15" s="322"/>
      <c r="JN15" s="322"/>
      <c r="JO15" s="322"/>
      <c r="JP15" s="322">
        <v>8.1999999999999993</v>
      </c>
      <c r="JQ15" s="321">
        <v>8.1999999999999993</v>
      </c>
      <c r="JR15" s="322">
        <v>11.8</v>
      </c>
      <c r="JS15" s="115"/>
      <c r="JT15" s="318"/>
      <c r="JU15" s="318"/>
      <c r="JV15" s="318"/>
      <c r="JW15" s="318"/>
      <c r="JX15" s="318"/>
      <c r="JY15" s="318"/>
      <c r="JZ15" s="318"/>
      <c r="KA15" s="318"/>
      <c r="KB15" s="318"/>
      <c r="KC15" s="318"/>
      <c r="KE15" s="318"/>
      <c r="KF15" s="318"/>
      <c r="KG15" s="318"/>
      <c r="KH15" s="318"/>
      <c r="KI15" s="318"/>
      <c r="KJ15" s="318"/>
      <c r="KK15" s="318"/>
      <c r="KL15" s="318"/>
      <c r="KM15" s="318"/>
      <c r="KN15" s="318"/>
      <c r="KP15" s="318"/>
      <c r="KQ15" s="318"/>
      <c r="KR15" s="318"/>
      <c r="KS15" s="318"/>
      <c r="KT15" s="379"/>
      <c r="KU15" s="380"/>
      <c r="KV15" s="318"/>
      <c r="KW15" s="318"/>
      <c r="KX15" s="318"/>
      <c r="KY15" s="318"/>
      <c r="KZ15" s="318"/>
      <c r="LA15" s="318"/>
      <c r="LB15" s="115"/>
      <c r="LC15" s="318"/>
      <c r="LD15" s="318"/>
      <c r="LE15" s="318"/>
      <c r="LF15" s="318"/>
      <c r="LG15" s="379"/>
      <c r="LH15" s="380"/>
      <c r="LI15" s="318"/>
      <c r="LJ15" s="318"/>
      <c r="LK15" s="318"/>
      <c r="LL15" s="318"/>
      <c r="LM15" s="318"/>
      <c r="LN15" s="318"/>
      <c r="LP15" s="276" t="s">
        <v>117</v>
      </c>
      <c r="LQ15" s="283"/>
      <c r="LR15" s="278" t="str">
        <f>'1. Controle de Contrato'!E29</f>
        <v/>
      </c>
    </row>
    <row r="16" spans="1:330" ht="24" customHeight="1" x14ac:dyDescent="0.45">
      <c r="A16" s="242" t="s">
        <v>57</v>
      </c>
      <c r="B16" s="241" t="str">
        <f>_xlfn.XLOOKUP(A16,'2. Boletim de Medição'!B:B,'2. Boletim de Medição'!D:D)</f>
        <v>Mao de Obra Colocacao de Azulejo</v>
      </c>
      <c r="D16" s="242" t="str">
        <f>_xlfn.XLOOKUP(A16,'2. Boletim de Medição'!B:B,'2. Boletim de Medição'!E:E)</f>
        <v>M²</v>
      </c>
      <c r="E16" s="242" t="s">
        <v>84</v>
      </c>
      <c r="G16" s="322">
        <v>7.29</v>
      </c>
      <c r="H16" s="322">
        <v>7.29</v>
      </c>
      <c r="I16" s="322">
        <v>7.29</v>
      </c>
      <c r="J16" s="322">
        <v>7.29</v>
      </c>
      <c r="K16" s="322"/>
      <c r="L16" s="322">
        <v>7.29</v>
      </c>
      <c r="M16" s="322">
        <v>7.29</v>
      </c>
      <c r="N16" s="322">
        <v>7.29</v>
      </c>
      <c r="O16" s="321">
        <v>7.29</v>
      </c>
      <c r="P16" s="322">
        <v>7.29</v>
      </c>
      <c r="Q16" s="115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P16" s="318"/>
      <c r="AQ16" s="318"/>
      <c r="AR16" s="318"/>
      <c r="AS16" s="318"/>
      <c r="AT16" s="379"/>
      <c r="AU16" s="380"/>
      <c r="AV16" s="318"/>
      <c r="AW16" s="318"/>
      <c r="AX16" s="318"/>
      <c r="AY16" s="318"/>
      <c r="AZ16" s="318"/>
      <c r="BA16" s="318"/>
      <c r="BB16" s="115"/>
      <c r="BC16" s="318"/>
      <c r="BD16" s="318"/>
      <c r="BE16" s="318"/>
      <c r="BF16" s="318"/>
      <c r="BG16" s="379"/>
      <c r="BH16" s="380"/>
      <c r="BI16" s="318"/>
      <c r="BJ16" s="318"/>
      <c r="BK16" s="318"/>
      <c r="BL16" s="318"/>
      <c r="BM16" s="318"/>
      <c r="BN16" s="318"/>
      <c r="BO16" s="115"/>
      <c r="BP16" s="115"/>
      <c r="BQ16" s="275" t="str">
        <f>'2. Boletim de Medição'!B19</f>
        <v>1.1.2</v>
      </c>
      <c r="BR16" s="241" t="str">
        <f>_xlfn.XLOOKUP(BQ16,'2. Boletim de Medição'!B:B,'2. Boletim de Medição'!D:D)</f>
        <v>Mao de Obra Colocacao Piso Ceramico</v>
      </c>
      <c r="BS16" s="275"/>
      <c r="BT16" s="275" t="s">
        <v>96</v>
      </c>
      <c r="BU16" s="275" t="s">
        <v>84</v>
      </c>
      <c r="BV16" s="310">
        <v>7.05</v>
      </c>
      <c r="BW16" s="310">
        <v>5.07</v>
      </c>
      <c r="BX16" s="310"/>
      <c r="BY16" s="310"/>
      <c r="BZ16" s="310"/>
      <c r="CA16" s="310">
        <v>7.05</v>
      </c>
      <c r="CB16" s="310">
        <v>5.07</v>
      </c>
      <c r="CC16" s="310">
        <v>5.07</v>
      </c>
      <c r="CD16" s="318">
        <v>5.07</v>
      </c>
      <c r="CE16" s="310">
        <v>7.05</v>
      </c>
      <c r="CF16" s="115"/>
      <c r="CG16" s="318"/>
      <c r="CH16" s="318"/>
      <c r="CI16" s="318"/>
      <c r="CJ16" s="318"/>
      <c r="CK16" s="318"/>
      <c r="CL16" s="318"/>
      <c r="CM16" s="318"/>
      <c r="CN16" s="318"/>
      <c r="CO16" s="318"/>
      <c r="CP16" s="318"/>
      <c r="CR16" s="318"/>
      <c r="CS16" s="318"/>
      <c r="CT16" s="318"/>
      <c r="CU16" s="318"/>
      <c r="CV16" s="318"/>
      <c r="CW16" s="318"/>
      <c r="CX16" s="318"/>
      <c r="CY16" s="318"/>
      <c r="CZ16" s="318"/>
      <c r="DA16" s="318"/>
      <c r="DC16" s="318"/>
      <c r="DD16" s="318"/>
      <c r="DE16" s="318"/>
      <c r="DF16" s="318"/>
      <c r="DG16" s="379"/>
      <c r="DH16" s="380"/>
      <c r="DI16" s="318"/>
      <c r="DJ16" s="318"/>
      <c r="DK16" s="318"/>
      <c r="DL16" s="318"/>
      <c r="DM16" s="318"/>
      <c r="DN16" s="318"/>
      <c r="DO16" s="115"/>
      <c r="DP16" s="318"/>
      <c r="DQ16" s="318"/>
      <c r="DR16" s="318"/>
      <c r="DS16" s="318"/>
      <c r="DT16" s="379"/>
      <c r="DU16" s="380"/>
      <c r="DV16" s="318"/>
      <c r="DW16" s="318"/>
      <c r="DX16" s="318"/>
      <c r="DY16" s="318"/>
      <c r="DZ16" s="318"/>
      <c r="EA16" s="318"/>
      <c r="EB16" s="115"/>
      <c r="EC16" s="115"/>
      <c r="ED16" s="275" t="s">
        <v>91</v>
      </c>
      <c r="EE16" s="241" t="str">
        <f>_xlfn.XLOOKUP(ED16,'2. Boletim de Medição'!B:B,'2. Boletim de Medição'!D:D)</f>
        <v>M.O para colocação de soleiras</v>
      </c>
      <c r="EF16" s="275"/>
      <c r="EG16" s="275" t="s">
        <v>96</v>
      </c>
      <c r="EH16" s="275" t="s">
        <v>84</v>
      </c>
      <c r="EI16" s="115"/>
      <c r="EJ16" s="318"/>
      <c r="EK16" s="318"/>
      <c r="EL16" s="318"/>
      <c r="EM16" s="318"/>
      <c r="EN16" s="318"/>
      <c r="EO16" s="318"/>
      <c r="EP16" s="318"/>
      <c r="EQ16" s="318"/>
      <c r="ER16" s="318"/>
      <c r="ES16" s="318"/>
      <c r="ET16" s="115"/>
      <c r="EU16" s="318"/>
      <c r="EV16" s="318"/>
      <c r="EW16" s="318"/>
      <c r="EX16" s="318"/>
      <c r="EY16" s="318"/>
      <c r="EZ16" s="318"/>
      <c r="FA16" s="318"/>
      <c r="FB16" s="318"/>
      <c r="FC16" s="318"/>
      <c r="FD16" s="318"/>
      <c r="FF16" s="318"/>
      <c r="FG16" s="318"/>
      <c r="FH16" s="318"/>
      <c r="FI16" s="318"/>
      <c r="FJ16" s="318"/>
      <c r="FK16" s="318"/>
      <c r="FL16" s="318"/>
      <c r="FM16" s="318"/>
      <c r="FN16" s="318"/>
      <c r="FO16" s="318"/>
      <c r="FQ16" s="318"/>
      <c r="FR16" s="318"/>
      <c r="FS16" s="318"/>
      <c r="FT16" s="318"/>
      <c r="FU16" s="379"/>
      <c r="FV16" s="380"/>
      <c r="FW16" s="318"/>
      <c r="FX16" s="318"/>
      <c r="FY16" s="318"/>
      <c r="FZ16" s="318"/>
      <c r="GA16" s="318"/>
      <c r="GB16" s="318"/>
      <c r="GC16" s="115"/>
      <c r="GD16" s="318"/>
      <c r="GE16" s="318"/>
      <c r="GF16" s="318"/>
      <c r="GG16" s="318"/>
      <c r="GH16" s="379"/>
      <c r="GI16" s="380"/>
      <c r="GJ16" s="318"/>
      <c r="GK16" s="318"/>
      <c r="GL16" s="318"/>
      <c r="GM16" s="318"/>
      <c r="GN16" s="318"/>
      <c r="GO16" s="318"/>
      <c r="GQ16" s="275" t="s">
        <v>92</v>
      </c>
      <c r="GR16" s="241" t="str">
        <f>_xlfn.XLOOKUP(GQ16,'2. Boletim de Medição'!B:B,'2. Boletim de Medição'!D:D)</f>
        <v>M.O. para colocação de baguetes</v>
      </c>
      <c r="GS16" s="275"/>
      <c r="GT16" s="275" t="s">
        <v>96</v>
      </c>
      <c r="GU16" s="275" t="s">
        <v>84</v>
      </c>
      <c r="GV16" s="115"/>
      <c r="GW16" s="318"/>
      <c r="GX16" s="318"/>
      <c r="GY16" s="318"/>
      <c r="GZ16" s="318"/>
      <c r="HA16" s="318"/>
      <c r="HB16" s="318"/>
      <c r="HC16" s="318"/>
      <c r="HD16" s="318"/>
      <c r="HE16" s="318"/>
      <c r="HF16" s="318"/>
      <c r="HG16" s="115"/>
      <c r="HH16" s="318"/>
      <c r="HI16" s="318"/>
      <c r="HJ16" s="318"/>
      <c r="HK16" s="318"/>
      <c r="HL16" s="318"/>
      <c r="HM16" s="318"/>
      <c r="HN16" s="318"/>
      <c r="HO16" s="318"/>
      <c r="HP16" s="318"/>
      <c r="HQ16" s="318"/>
      <c r="HS16" s="318"/>
      <c r="HT16" s="318"/>
      <c r="HU16" s="318"/>
      <c r="HV16" s="318"/>
      <c r="HW16" s="318"/>
      <c r="HX16" s="318"/>
      <c r="HY16" s="318"/>
      <c r="HZ16" s="318"/>
      <c r="IA16" s="318"/>
      <c r="IB16" s="318"/>
      <c r="ID16" s="318"/>
      <c r="IE16" s="318"/>
      <c r="IF16" s="318"/>
      <c r="IG16" s="318"/>
      <c r="IH16" s="379"/>
      <c r="II16" s="380"/>
      <c r="IJ16" s="318"/>
      <c r="IK16" s="318"/>
      <c r="IL16" s="318"/>
      <c r="IM16" s="318"/>
      <c r="IN16" s="318"/>
      <c r="IO16" s="318"/>
      <c r="IP16" s="115"/>
      <c r="IQ16" s="318"/>
      <c r="IR16" s="318"/>
      <c r="IS16" s="318"/>
      <c r="IT16" s="318"/>
      <c r="IU16" s="379"/>
      <c r="IV16" s="380"/>
      <c r="IW16" s="318"/>
      <c r="IX16" s="318"/>
      <c r="IY16" s="318"/>
      <c r="IZ16" s="318"/>
      <c r="JA16" s="318"/>
      <c r="JB16" s="318"/>
      <c r="JC16" s="319"/>
      <c r="JD16" s="110" t="str">
        <f>'2. Boletim de Medição'!B22</f>
        <v>1.1.5</v>
      </c>
      <c r="JE16" s="110" t="str">
        <f>_xlfn.XLOOKUP(JD8,'2. Boletim de Medição'!B:B,'2. Boletim de Medição'!D:D)</f>
        <v xml:space="preserve">	Rodapé Cerâmico | Porcelanato - Serviço M.O Subcontrato</v>
      </c>
      <c r="JF16" s="275" t="s">
        <v>96</v>
      </c>
      <c r="JG16" s="275" t="s">
        <v>84</v>
      </c>
      <c r="JI16" s="322">
        <v>11.8</v>
      </c>
      <c r="JJ16" s="322">
        <v>8.1999999999999993</v>
      </c>
      <c r="JK16" s="322"/>
      <c r="JL16" s="322"/>
      <c r="JM16" s="322"/>
      <c r="JN16" s="322"/>
      <c r="JO16" s="322"/>
      <c r="JP16" s="322">
        <v>8.1999999999999993</v>
      </c>
      <c r="JQ16" s="321">
        <v>8.1999999999999993</v>
      </c>
      <c r="JR16" s="322">
        <v>11.8</v>
      </c>
      <c r="JS16" s="115"/>
      <c r="JT16" s="318"/>
      <c r="JU16" s="318"/>
      <c r="JV16" s="318"/>
      <c r="JW16" s="318"/>
      <c r="JX16" s="318"/>
      <c r="JY16" s="318"/>
      <c r="JZ16" s="318"/>
      <c r="KA16" s="318"/>
      <c r="KB16" s="318"/>
      <c r="KC16" s="318"/>
      <c r="KE16" s="318"/>
      <c r="KF16" s="318"/>
      <c r="KG16" s="318"/>
      <c r="KH16" s="318"/>
      <c r="KI16" s="318"/>
      <c r="KJ16" s="318"/>
      <c r="KK16" s="318"/>
      <c r="KL16" s="318"/>
      <c r="KM16" s="318"/>
      <c r="KN16" s="318"/>
      <c r="KP16" s="318"/>
      <c r="KQ16" s="318"/>
      <c r="KR16" s="318"/>
      <c r="KS16" s="318"/>
      <c r="KT16" s="379"/>
      <c r="KU16" s="380"/>
      <c r="KV16" s="318"/>
      <c r="KW16" s="318"/>
      <c r="KX16" s="318"/>
      <c r="KY16" s="318"/>
      <c r="KZ16" s="318"/>
      <c r="LA16" s="318"/>
      <c r="LB16" s="115"/>
      <c r="LC16" s="318"/>
      <c r="LD16" s="318"/>
      <c r="LE16" s="318"/>
      <c r="LF16" s="318"/>
      <c r="LG16" s="379"/>
      <c r="LH16" s="380"/>
      <c r="LI16" s="318"/>
      <c r="LJ16" s="318"/>
      <c r="LK16" s="318"/>
      <c r="LL16" s="318"/>
      <c r="LM16" s="318"/>
      <c r="LN16" s="318"/>
      <c r="LP16" s="276" t="s">
        <v>118</v>
      </c>
      <c r="LQ16" s="284"/>
      <c r="LR16" s="278" t="str">
        <f>'1. Controle de Contrato'!E30</f>
        <v/>
      </c>
    </row>
    <row r="17" spans="1:330" ht="24" customHeight="1" x14ac:dyDescent="0.45">
      <c r="A17" s="242" t="s">
        <v>57</v>
      </c>
      <c r="B17" s="241" t="str">
        <f>_xlfn.XLOOKUP(A17,'2. Boletim de Medição'!B:B,'2. Boletim de Medição'!D:D)</f>
        <v>Mao de Obra Colocacao de Azulejo</v>
      </c>
      <c r="D17" s="242" t="str">
        <f>_xlfn.XLOOKUP(A17,'2. Boletim de Medição'!B:B,'2. Boletim de Medição'!E:E)</f>
        <v>M²</v>
      </c>
      <c r="E17" s="242" t="s">
        <v>85</v>
      </c>
      <c r="G17" s="322">
        <v>7.29</v>
      </c>
      <c r="H17" s="322">
        <v>7.29</v>
      </c>
      <c r="I17" s="322">
        <v>7.29</v>
      </c>
      <c r="J17" s="322">
        <v>7.29</v>
      </c>
      <c r="K17" s="322"/>
      <c r="L17" s="322">
        <v>7.29</v>
      </c>
      <c r="M17" s="322">
        <v>7.29</v>
      </c>
      <c r="N17" s="322">
        <v>7.29</v>
      </c>
      <c r="O17" s="321">
        <v>7.29</v>
      </c>
      <c r="P17" s="322">
        <v>7.29</v>
      </c>
      <c r="Q17" s="115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P17" s="318"/>
      <c r="AQ17" s="318"/>
      <c r="AR17" s="318"/>
      <c r="AS17" s="318"/>
      <c r="AT17" s="379"/>
      <c r="AU17" s="380"/>
      <c r="AV17" s="318"/>
      <c r="AW17" s="318"/>
      <c r="AX17" s="318"/>
      <c r="AY17" s="318"/>
      <c r="AZ17" s="318"/>
      <c r="BA17" s="318"/>
      <c r="BB17" s="115"/>
      <c r="BC17" s="318"/>
      <c r="BD17" s="318"/>
      <c r="BE17" s="318"/>
      <c r="BF17" s="318"/>
      <c r="BG17" s="379"/>
      <c r="BH17" s="380"/>
      <c r="BI17" s="318"/>
      <c r="BJ17" s="318"/>
      <c r="BK17" s="318"/>
      <c r="BL17" s="318"/>
      <c r="BM17" s="318"/>
      <c r="BN17" s="318"/>
      <c r="BO17" s="115"/>
      <c r="BP17" s="115"/>
      <c r="BQ17" s="275" t="str">
        <f>'2. Boletim de Medição'!B19</f>
        <v>1.1.2</v>
      </c>
      <c r="BR17" s="241" t="str">
        <f>_xlfn.XLOOKUP(BQ17,'2. Boletim de Medição'!B:B,'2. Boletim de Medição'!D:D)</f>
        <v>Mao de Obra Colocacao Piso Ceramico</v>
      </c>
      <c r="BS17" s="275"/>
      <c r="BT17" s="275" t="s">
        <v>96</v>
      </c>
      <c r="BU17" s="275" t="s">
        <v>85</v>
      </c>
      <c r="BV17" s="310">
        <v>7.05</v>
      </c>
      <c r="BW17" s="310">
        <v>5.07</v>
      </c>
      <c r="BX17" s="310"/>
      <c r="BY17" s="310"/>
      <c r="BZ17" s="310"/>
      <c r="CA17" s="310">
        <v>7.05</v>
      </c>
      <c r="CB17" s="310">
        <v>5.07</v>
      </c>
      <c r="CC17" s="310">
        <v>5.07</v>
      </c>
      <c r="CD17" s="318">
        <v>5.07</v>
      </c>
      <c r="CE17" s="310">
        <v>7.05</v>
      </c>
      <c r="CF17" s="115"/>
      <c r="CG17" s="318"/>
      <c r="CH17" s="318"/>
      <c r="CI17" s="318"/>
      <c r="CJ17" s="318"/>
      <c r="CK17" s="318"/>
      <c r="CL17" s="318"/>
      <c r="CM17" s="318"/>
      <c r="CN17" s="318"/>
      <c r="CO17" s="318"/>
      <c r="CP17" s="318"/>
      <c r="CR17" s="318"/>
      <c r="CS17" s="318"/>
      <c r="CT17" s="318"/>
      <c r="CU17" s="318"/>
      <c r="CV17" s="318"/>
      <c r="CW17" s="318"/>
      <c r="CX17" s="318"/>
      <c r="CY17" s="318"/>
      <c r="CZ17" s="318"/>
      <c r="DA17" s="318"/>
      <c r="DC17" s="318"/>
      <c r="DD17" s="318"/>
      <c r="DE17" s="318"/>
      <c r="DF17" s="318"/>
      <c r="DG17" s="379"/>
      <c r="DH17" s="380"/>
      <c r="DI17" s="318"/>
      <c r="DJ17" s="318"/>
      <c r="DK17" s="318"/>
      <c r="DL17" s="318"/>
      <c r="DM17" s="318"/>
      <c r="DN17" s="318"/>
      <c r="DO17" s="115"/>
      <c r="DP17" s="318"/>
      <c r="DQ17" s="318"/>
      <c r="DR17" s="318"/>
      <c r="DS17" s="318"/>
      <c r="DT17" s="379"/>
      <c r="DU17" s="380"/>
      <c r="DV17" s="318"/>
      <c r="DW17" s="318"/>
      <c r="DX17" s="318"/>
      <c r="DY17" s="318"/>
      <c r="DZ17" s="318"/>
      <c r="EA17" s="318"/>
      <c r="EB17" s="115"/>
      <c r="EC17" s="115"/>
      <c r="ED17" s="275" t="s">
        <v>91</v>
      </c>
      <c r="EE17" s="241" t="str">
        <f>_xlfn.XLOOKUP(ED17,'2. Boletim de Medição'!B:B,'2. Boletim de Medição'!D:D)</f>
        <v>M.O para colocação de soleiras</v>
      </c>
      <c r="EF17" s="275"/>
      <c r="EG17" s="275" t="s">
        <v>96</v>
      </c>
      <c r="EH17" s="275" t="s">
        <v>85</v>
      </c>
      <c r="EI17" s="115"/>
      <c r="EJ17" s="318"/>
      <c r="EK17" s="318"/>
      <c r="EL17" s="318"/>
      <c r="EM17" s="318"/>
      <c r="EN17" s="318"/>
      <c r="EO17" s="318"/>
      <c r="EP17" s="318"/>
      <c r="EQ17" s="318"/>
      <c r="ER17" s="318"/>
      <c r="ES17" s="318"/>
      <c r="ET17" s="115"/>
      <c r="EU17" s="318"/>
      <c r="EV17" s="318"/>
      <c r="EW17" s="318"/>
      <c r="EX17" s="318"/>
      <c r="EY17" s="318"/>
      <c r="EZ17" s="318"/>
      <c r="FA17" s="318"/>
      <c r="FB17" s="318"/>
      <c r="FC17" s="318"/>
      <c r="FD17" s="318"/>
      <c r="FF17" s="318"/>
      <c r="FG17" s="318"/>
      <c r="FH17" s="318"/>
      <c r="FI17" s="318"/>
      <c r="FJ17" s="318"/>
      <c r="FK17" s="318"/>
      <c r="FL17" s="318"/>
      <c r="FM17" s="318"/>
      <c r="FN17" s="318"/>
      <c r="FO17" s="318"/>
      <c r="FQ17" s="318"/>
      <c r="FR17" s="318"/>
      <c r="FS17" s="318"/>
      <c r="FT17" s="318"/>
      <c r="FU17" s="379"/>
      <c r="FV17" s="380"/>
      <c r="FW17" s="318"/>
      <c r="FX17" s="318"/>
      <c r="FY17" s="318"/>
      <c r="FZ17" s="318"/>
      <c r="GA17" s="318"/>
      <c r="GB17" s="318"/>
      <c r="GC17" s="115"/>
      <c r="GD17" s="318"/>
      <c r="GE17" s="318"/>
      <c r="GF17" s="318"/>
      <c r="GG17" s="318"/>
      <c r="GH17" s="379"/>
      <c r="GI17" s="380"/>
      <c r="GJ17" s="318"/>
      <c r="GK17" s="318"/>
      <c r="GL17" s="318"/>
      <c r="GM17" s="318"/>
      <c r="GN17" s="318"/>
      <c r="GO17" s="318"/>
      <c r="GQ17" s="275" t="s">
        <v>92</v>
      </c>
      <c r="GR17" s="241" t="str">
        <f>_xlfn.XLOOKUP(GQ17,'2. Boletim de Medição'!B:B,'2. Boletim de Medição'!D:D)</f>
        <v>M.O. para colocação de baguetes</v>
      </c>
      <c r="GS17" s="275"/>
      <c r="GT17" s="275" t="s">
        <v>96</v>
      </c>
      <c r="GU17" s="275" t="s">
        <v>85</v>
      </c>
      <c r="GV17" s="115"/>
      <c r="GW17" s="318"/>
      <c r="GX17" s="318"/>
      <c r="GY17" s="318"/>
      <c r="GZ17" s="318"/>
      <c r="HA17" s="318"/>
      <c r="HB17" s="318"/>
      <c r="HC17" s="318"/>
      <c r="HD17" s="318"/>
      <c r="HE17" s="318"/>
      <c r="HF17" s="318"/>
      <c r="HG17" s="115"/>
      <c r="HH17" s="318"/>
      <c r="HI17" s="318"/>
      <c r="HJ17" s="318"/>
      <c r="HK17" s="318"/>
      <c r="HL17" s="318"/>
      <c r="HM17" s="318"/>
      <c r="HN17" s="318"/>
      <c r="HO17" s="318"/>
      <c r="HP17" s="318"/>
      <c r="HQ17" s="318"/>
      <c r="HS17" s="318"/>
      <c r="HT17" s="318"/>
      <c r="HU17" s="318"/>
      <c r="HV17" s="318"/>
      <c r="HW17" s="318"/>
      <c r="HX17" s="318"/>
      <c r="HY17" s="318"/>
      <c r="HZ17" s="318"/>
      <c r="IA17" s="318"/>
      <c r="IB17" s="318"/>
      <c r="ID17" s="318"/>
      <c r="IE17" s="318"/>
      <c r="IF17" s="318"/>
      <c r="IG17" s="318"/>
      <c r="IH17" s="379"/>
      <c r="II17" s="380"/>
      <c r="IJ17" s="318"/>
      <c r="IK17" s="318"/>
      <c r="IL17" s="318"/>
      <c r="IM17" s="318"/>
      <c r="IN17" s="318"/>
      <c r="IO17" s="318"/>
      <c r="IP17" s="115"/>
      <c r="IQ17" s="318"/>
      <c r="IR17" s="318"/>
      <c r="IS17" s="318"/>
      <c r="IT17" s="318"/>
      <c r="IU17" s="379"/>
      <c r="IV17" s="380"/>
      <c r="IW17" s="318"/>
      <c r="IX17" s="318"/>
      <c r="IY17" s="318"/>
      <c r="IZ17" s="318"/>
      <c r="JA17" s="318"/>
      <c r="JB17" s="318"/>
      <c r="JC17" s="319"/>
      <c r="JD17" s="110" t="str">
        <f>'2. Boletim de Medição'!B22</f>
        <v>1.1.5</v>
      </c>
      <c r="JE17" s="110" t="str">
        <f>_xlfn.XLOOKUP(JD8,'2. Boletim de Medição'!B:B,'2. Boletim de Medição'!D:D)</f>
        <v xml:space="preserve">	Rodapé Cerâmico | Porcelanato - Serviço M.O Subcontrato</v>
      </c>
      <c r="JF17" s="275" t="s">
        <v>96</v>
      </c>
      <c r="JG17" s="275" t="s">
        <v>85</v>
      </c>
      <c r="JI17" s="322">
        <v>11.8</v>
      </c>
      <c r="JJ17" s="322">
        <v>8.1999999999999993</v>
      </c>
      <c r="JK17" s="322">
        <v>8.1999999999999993</v>
      </c>
      <c r="JL17" s="322">
        <v>8.1999999999999993</v>
      </c>
      <c r="JM17" s="322">
        <v>11.8</v>
      </c>
      <c r="JN17" s="322">
        <v>11.8</v>
      </c>
      <c r="JO17" s="322">
        <v>8.1999999999999993</v>
      </c>
      <c r="JP17" s="322">
        <v>8.1999999999999993</v>
      </c>
      <c r="JQ17" s="321">
        <v>8.1999999999999993</v>
      </c>
      <c r="JR17" s="322">
        <v>11.8</v>
      </c>
      <c r="JS17" s="115"/>
      <c r="JT17" s="318"/>
      <c r="JU17" s="318"/>
      <c r="JV17" s="318"/>
      <c r="JW17" s="318"/>
      <c r="JX17" s="318"/>
      <c r="JY17" s="318"/>
      <c r="JZ17" s="318"/>
      <c r="KA17" s="318"/>
      <c r="KB17" s="318"/>
      <c r="KC17" s="318"/>
      <c r="KE17" s="318"/>
      <c r="KF17" s="318"/>
      <c r="KG17" s="318"/>
      <c r="KH17" s="318"/>
      <c r="KI17" s="318"/>
      <c r="KJ17" s="318"/>
      <c r="KK17" s="318"/>
      <c r="KL17" s="318"/>
      <c r="KM17" s="318"/>
      <c r="KN17" s="318"/>
      <c r="KP17" s="318"/>
      <c r="KQ17" s="318"/>
      <c r="KR17" s="318"/>
      <c r="KS17" s="318"/>
      <c r="KT17" s="379"/>
      <c r="KU17" s="380"/>
      <c r="KV17" s="318"/>
      <c r="KW17" s="318"/>
      <c r="KX17" s="318"/>
      <c r="KY17" s="318"/>
      <c r="KZ17" s="318"/>
      <c r="LA17" s="318"/>
      <c r="LB17" s="115"/>
      <c r="LC17" s="318"/>
      <c r="LD17" s="318"/>
      <c r="LE17" s="318"/>
      <c r="LF17" s="318"/>
      <c r="LG17" s="379"/>
      <c r="LH17" s="380"/>
      <c r="LI17" s="318"/>
      <c r="LJ17" s="318"/>
      <c r="LK17" s="318"/>
      <c r="LL17" s="318"/>
      <c r="LM17" s="318"/>
      <c r="LN17" s="318"/>
      <c r="LP17" s="276" t="s">
        <v>119</v>
      </c>
      <c r="LQ17" s="286"/>
      <c r="LR17" s="278" t="str">
        <f>'1. Controle de Contrato'!E31</f>
        <v/>
      </c>
    </row>
    <row r="18" spans="1:330" ht="24" customHeight="1" x14ac:dyDescent="0.45">
      <c r="A18" s="242" t="s">
        <v>57</v>
      </c>
      <c r="B18" s="241" t="str">
        <f>_xlfn.XLOOKUP(A18,'2. Boletim de Medição'!B:B,'2. Boletim de Medição'!D:D)</f>
        <v>Mao de Obra Colocacao de Azulejo</v>
      </c>
      <c r="D18" s="242" t="str">
        <f>_xlfn.XLOOKUP(A18,'2. Boletim de Medição'!B:B,'2. Boletim de Medição'!E:E)</f>
        <v>M²</v>
      </c>
      <c r="E18" s="242" t="s">
        <v>86</v>
      </c>
      <c r="G18" s="321">
        <v>7.29</v>
      </c>
      <c r="H18" s="321">
        <v>7.29</v>
      </c>
      <c r="I18" s="321">
        <v>7.29</v>
      </c>
      <c r="J18" s="321">
        <v>7.29</v>
      </c>
      <c r="K18" s="321">
        <v>7.29</v>
      </c>
      <c r="L18" s="321">
        <v>7.29</v>
      </c>
      <c r="M18" s="321">
        <v>7.29</v>
      </c>
      <c r="N18" s="321">
        <v>7.29</v>
      </c>
      <c r="O18" s="321">
        <v>7.29</v>
      </c>
      <c r="P18" s="321">
        <v>7.29</v>
      </c>
      <c r="Q18" s="115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P18" s="318"/>
      <c r="AQ18" s="318"/>
      <c r="AR18" s="318"/>
      <c r="AS18" s="318"/>
      <c r="AT18" s="379"/>
      <c r="AU18" s="380"/>
      <c r="AV18" s="318"/>
      <c r="AW18" s="318"/>
      <c r="AX18" s="318"/>
      <c r="AY18" s="318"/>
      <c r="AZ18" s="318"/>
      <c r="BA18" s="318"/>
      <c r="BB18" s="115"/>
      <c r="BC18" s="318"/>
      <c r="BD18" s="318"/>
      <c r="BE18" s="318"/>
      <c r="BF18" s="318"/>
      <c r="BG18" s="379"/>
      <c r="BH18" s="380"/>
      <c r="BI18" s="318"/>
      <c r="BJ18" s="318"/>
      <c r="BK18" s="318"/>
      <c r="BL18" s="318"/>
      <c r="BM18" s="318"/>
      <c r="BN18" s="318"/>
      <c r="BO18" s="115"/>
      <c r="BP18" s="115"/>
      <c r="BQ18" s="275" t="str">
        <f>'2. Boletim de Medição'!B19</f>
        <v>1.1.2</v>
      </c>
      <c r="BR18" s="241" t="str">
        <f>_xlfn.XLOOKUP(BQ18,'2. Boletim de Medição'!B:B,'2. Boletim de Medição'!D:D)</f>
        <v>Mao de Obra Colocacao Piso Ceramico</v>
      </c>
      <c r="BS18" s="275"/>
      <c r="BT18" s="275" t="s">
        <v>96</v>
      </c>
      <c r="BU18" s="275" t="s">
        <v>86</v>
      </c>
      <c r="BV18" s="318">
        <v>7.05</v>
      </c>
      <c r="BW18" s="318">
        <v>5.07</v>
      </c>
      <c r="BX18" s="318">
        <v>5.07</v>
      </c>
      <c r="BY18" s="318">
        <v>5.07</v>
      </c>
      <c r="BZ18" s="318">
        <v>7.05</v>
      </c>
      <c r="CA18" s="318">
        <v>7.05</v>
      </c>
      <c r="CB18" s="318">
        <v>5.07</v>
      </c>
      <c r="CC18" s="318">
        <v>5.07</v>
      </c>
      <c r="CD18" s="318">
        <v>5.07</v>
      </c>
      <c r="CE18" s="318">
        <v>7.05</v>
      </c>
      <c r="CF18" s="115"/>
      <c r="CG18" s="318"/>
      <c r="CH18" s="318"/>
      <c r="CI18" s="318"/>
      <c r="CJ18" s="318"/>
      <c r="CK18" s="318"/>
      <c r="CL18" s="318"/>
      <c r="CM18" s="318"/>
      <c r="CN18" s="318"/>
      <c r="CO18" s="318"/>
      <c r="CP18" s="318"/>
      <c r="CR18" s="318"/>
      <c r="CS18" s="318"/>
      <c r="CT18" s="318"/>
      <c r="CU18" s="318"/>
      <c r="CV18" s="318"/>
      <c r="CW18" s="318"/>
      <c r="CX18" s="318"/>
      <c r="CY18" s="318"/>
      <c r="CZ18" s="318"/>
      <c r="DA18" s="318"/>
      <c r="DC18" s="318"/>
      <c r="DD18" s="318"/>
      <c r="DE18" s="318"/>
      <c r="DF18" s="318"/>
      <c r="DG18" s="379"/>
      <c r="DH18" s="380"/>
      <c r="DI18" s="318"/>
      <c r="DJ18" s="318"/>
      <c r="DK18" s="318"/>
      <c r="DL18" s="318"/>
      <c r="DM18" s="318"/>
      <c r="DN18" s="318"/>
      <c r="DO18" s="115"/>
      <c r="DP18" s="318"/>
      <c r="DQ18" s="318"/>
      <c r="DR18" s="318"/>
      <c r="DS18" s="318"/>
      <c r="DT18" s="379"/>
      <c r="DU18" s="380"/>
      <c r="DV18" s="318"/>
      <c r="DW18" s="318"/>
      <c r="DX18" s="318"/>
      <c r="DY18" s="318"/>
      <c r="DZ18" s="318"/>
      <c r="EA18" s="318"/>
      <c r="EB18" s="115"/>
      <c r="EC18" s="115"/>
      <c r="ED18" s="275" t="s">
        <v>91</v>
      </c>
      <c r="EE18" s="241" t="str">
        <f>_xlfn.XLOOKUP(ED18,'2. Boletim de Medição'!B:B,'2. Boletim de Medição'!D:D)</f>
        <v>M.O para colocação de soleiras</v>
      </c>
      <c r="EF18" s="275"/>
      <c r="EG18" s="275" t="s">
        <v>96</v>
      </c>
      <c r="EH18" s="275" t="s">
        <v>86</v>
      </c>
      <c r="EI18" s="115"/>
      <c r="EJ18" s="318"/>
      <c r="EK18" s="318"/>
      <c r="EL18" s="318"/>
      <c r="EM18" s="318"/>
      <c r="EN18" s="318"/>
      <c r="EO18" s="318"/>
      <c r="EP18" s="318"/>
      <c r="EQ18" s="318"/>
      <c r="ER18" s="318"/>
      <c r="ES18" s="318"/>
      <c r="ET18" s="115"/>
      <c r="EU18" s="318"/>
      <c r="EV18" s="318"/>
      <c r="EW18" s="318"/>
      <c r="EX18" s="318"/>
      <c r="EY18" s="318"/>
      <c r="EZ18" s="318"/>
      <c r="FA18" s="318"/>
      <c r="FB18" s="318"/>
      <c r="FC18" s="318"/>
      <c r="FD18" s="318"/>
      <c r="FF18" s="318"/>
      <c r="FG18" s="318"/>
      <c r="FH18" s="318"/>
      <c r="FI18" s="318"/>
      <c r="FJ18" s="318"/>
      <c r="FK18" s="318"/>
      <c r="FL18" s="318"/>
      <c r="FM18" s="318"/>
      <c r="FN18" s="318"/>
      <c r="FO18" s="318"/>
      <c r="FQ18" s="318"/>
      <c r="FR18" s="318"/>
      <c r="FS18" s="318"/>
      <c r="FT18" s="318"/>
      <c r="FU18" s="379"/>
      <c r="FV18" s="380"/>
      <c r="FW18" s="318"/>
      <c r="FX18" s="318"/>
      <c r="FY18" s="318"/>
      <c r="FZ18" s="318"/>
      <c r="GA18" s="318"/>
      <c r="GB18" s="318"/>
      <c r="GC18" s="115"/>
      <c r="GD18" s="318"/>
      <c r="GE18" s="318"/>
      <c r="GF18" s="318"/>
      <c r="GG18" s="318"/>
      <c r="GH18" s="379"/>
      <c r="GI18" s="380"/>
      <c r="GJ18" s="318"/>
      <c r="GK18" s="318"/>
      <c r="GL18" s="318"/>
      <c r="GM18" s="318"/>
      <c r="GN18" s="318"/>
      <c r="GO18" s="318"/>
      <c r="GQ18" s="275" t="s">
        <v>92</v>
      </c>
      <c r="GR18" s="241" t="str">
        <f>_xlfn.XLOOKUP(GQ18,'2. Boletim de Medição'!B:B,'2. Boletim de Medição'!D:D)</f>
        <v>M.O. para colocação de baguetes</v>
      </c>
      <c r="GS18" s="275"/>
      <c r="GT18" s="275" t="s">
        <v>96</v>
      </c>
      <c r="GU18" s="275" t="s">
        <v>86</v>
      </c>
      <c r="GV18" s="115"/>
      <c r="GW18" s="318"/>
      <c r="GX18" s="318"/>
      <c r="GY18" s="318"/>
      <c r="GZ18" s="318"/>
      <c r="HA18" s="318"/>
      <c r="HB18" s="318"/>
      <c r="HC18" s="318"/>
      <c r="HD18" s="318"/>
      <c r="HE18" s="318"/>
      <c r="HF18" s="318"/>
      <c r="HG18" s="115"/>
      <c r="HH18" s="318"/>
      <c r="HI18" s="318"/>
      <c r="HJ18" s="318"/>
      <c r="HK18" s="318"/>
      <c r="HL18" s="318"/>
      <c r="HM18" s="318"/>
      <c r="HN18" s="318"/>
      <c r="HO18" s="318"/>
      <c r="HP18" s="318"/>
      <c r="HQ18" s="318"/>
      <c r="HS18" s="318"/>
      <c r="HT18" s="318"/>
      <c r="HU18" s="318"/>
      <c r="HV18" s="318"/>
      <c r="HW18" s="318"/>
      <c r="HX18" s="318"/>
      <c r="HY18" s="318"/>
      <c r="HZ18" s="318"/>
      <c r="IA18" s="318"/>
      <c r="IB18" s="318"/>
      <c r="ID18" s="318"/>
      <c r="IE18" s="318"/>
      <c r="IF18" s="318"/>
      <c r="IG18" s="318"/>
      <c r="IH18" s="379"/>
      <c r="II18" s="380"/>
      <c r="IJ18" s="318"/>
      <c r="IK18" s="318"/>
      <c r="IL18" s="318"/>
      <c r="IM18" s="318"/>
      <c r="IN18" s="318"/>
      <c r="IO18" s="318"/>
      <c r="IP18" s="115"/>
      <c r="IQ18" s="318"/>
      <c r="IR18" s="318"/>
      <c r="IS18" s="318"/>
      <c r="IT18" s="318"/>
      <c r="IU18" s="379"/>
      <c r="IV18" s="380"/>
      <c r="IW18" s="318"/>
      <c r="IX18" s="318"/>
      <c r="IY18" s="318"/>
      <c r="IZ18" s="318"/>
      <c r="JA18" s="318"/>
      <c r="JB18" s="318"/>
      <c r="JC18" s="319"/>
      <c r="JD18" s="110" t="str">
        <f>'2. Boletim de Medição'!B22</f>
        <v>1.1.5</v>
      </c>
      <c r="JE18" s="110" t="str">
        <f>_xlfn.XLOOKUP(JD8,'2. Boletim de Medição'!B:B,'2. Boletim de Medição'!D:D)</f>
        <v xml:space="preserve">	Rodapé Cerâmico | Porcelanato - Serviço M.O Subcontrato</v>
      </c>
      <c r="JF18" s="275" t="s">
        <v>96</v>
      </c>
      <c r="JG18" s="275" t="s">
        <v>86</v>
      </c>
      <c r="JI18" s="321">
        <v>11.8</v>
      </c>
      <c r="JJ18" s="321">
        <v>8.1999999999999993</v>
      </c>
      <c r="JK18" s="321">
        <v>8.1999999999999993</v>
      </c>
      <c r="JL18" s="321">
        <v>8.1999999999999993</v>
      </c>
      <c r="JM18" s="321">
        <v>11.8</v>
      </c>
      <c r="JN18" s="321">
        <v>11.8</v>
      </c>
      <c r="JO18" s="321">
        <v>8.1999999999999993</v>
      </c>
      <c r="JP18" s="321">
        <v>8.1999999999999993</v>
      </c>
      <c r="JQ18" s="321">
        <v>8.1999999999999993</v>
      </c>
      <c r="JR18" s="321">
        <v>11.8</v>
      </c>
      <c r="JS18" s="115"/>
      <c r="JT18" s="318"/>
      <c r="JU18" s="318"/>
      <c r="JV18" s="318"/>
      <c r="JW18" s="318"/>
      <c r="JX18" s="318"/>
      <c r="JY18" s="318"/>
      <c r="JZ18" s="318"/>
      <c r="KA18" s="318"/>
      <c r="KB18" s="318"/>
      <c r="KC18" s="318"/>
      <c r="KE18" s="318"/>
      <c r="KF18" s="318"/>
      <c r="KG18" s="318"/>
      <c r="KH18" s="318"/>
      <c r="KI18" s="318"/>
      <c r="KJ18" s="318"/>
      <c r="KK18" s="318"/>
      <c r="KL18" s="318"/>
      <c r="KM18" s="318"/>
      <c r="KN18" s="318"/>
      <c r="KP18" s="318"/>
      <c r="KQ18" s="318"/>
      <c r="KR18" s="318"/>
      <c r="KS18" s="318"/>
      <c r="KT18" s="379"/>
      <c r="KU18" s="380"/>
      <c r="KV18" s="318"/>
      <c r="KW18" s="318"/>
      <c r="KX18" s="318"/>
      <c r="KY18" s="318"/>
      <c r="KZ18" s="318"/>
      <c r="LA18" s="318"/>
      <c r="LB18" s="115"/>
      <c r="LC18" s="318"/>
      <c r="LD18" s="318"/>
      <c r="LE18" s="318"/>
      <c r="LF18" s="318"/>
      <c r="LG18" s="379"/>
      <c r="LH18" s="380"/>
      <c r="LI18" s="318"/>
      <c r="LJ18" s="318"/>
      <c r="LK18" s="318"/>
      <c r="LL18" s="318"/>
      <c r="LM18" s="318"/>
      <c r="LN18" s="318"/>
      <c r="LP18" s="276" t="s">
        <v>120</v>
      </c>
      <c r="LQ18" s="285"/>
      <c r="LR18" s="278" t="str">
        <f>'1. Controle de Contrato'!E32</f>
        <v/>
      </c>
    </row>
    <row r="19" spans="1:330" ht="24" customHeight="1" x14ac:dyDescent="0.45">
      <c r="A19" s="242" t="s">
        <v>57</v>
      </c>
      <c r="B19" s="241" t="str">
        <f>_xlfn.XLOOKUP(A19,'2. Boletim de Medição'!B:B,'2. Boletim de Medição'!D:D)</f>
        <v>Mao de Obra Colocacao de Azulejo</v>
      </c>
      <c r="D19" s="242" t="str">
        <f>_xlfn.XLOOKUP(A19,'2. Boletim de Medição'!B:B,'2. Boletim de Medição'!E:E)</f>
        <v>M²</v>
      </c>
      <c r="E19" s="242" t="s">
        <v>87</v>
      </c>
      <c r="G19" s="321">
        <v>7.29</v>
      </c>
      <c r="H19" s="321">
        <v>7.29</v>
      </c>
      <c r="I19" s="321">
        <v>7.29</v>
      </c>
      <c r="J19" s="321">
        <v>7.29</v>
      </c>
      <c r="K19" s="321">
        <v>7.29</v>
      </c>
      <c r="L19" s="321">
        <v>7.29</v>
      </c>
      <c r="M19" s="321">
        <v>7.29</v>
      </c>
      <c r="N19" s="321">
        <v>7.29</v>
      </c>
      <c r="O19" s="321">
        <v>7.29</v>
      </c>
      <c r="P19" s="321">
        <v>7.29</v>
      </c>
      <c r="Q19" s="115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  <c r="AM19" s="318"/>
      <c r="AN19" s="318"/>
      <c r="AP19" s="318"/>
      <c r="AQ19" s="318"/>
      <c r="AR19" s="318"/>
      <c r="AS19" s="318"/>
      <c r="AT19" s="379"/>
      <c r="AU19" s="380"/>
      <c r="AV19" s="318"/>
      <c r="AW19" s="318"/>
      <c r="AX19" s="318"/>
      <c r="AY19" s="318"/>
      <c r="AZ19" s="318"/>
      <c r="BA19" s="318"/>
      <c r="BB19" s="115"/>
      <c r="BC19" s="318"/>
      <c r="BD19" s="318"/>
      <c r="BE19" s="318"/>
      <c r="BF19" s="318"/>
      <c r="BG19" s="379"/>
      <c r="BH19" s="380"/>
      <c r="BI19" s="318"/>
      <c r="BJ19" s="318"/>
      <c r="BK19" s="318"/>
      <c r="BL19" s="318"/>
      <c r="BM19" s="318"/>
      <c r="BN19" s="318"/>
      <c r="BO19" s="115"/>
      <c r="BP19" s="115"/>
      <c r="BQ19" s="275" t="str">
        <f>'2. Boletim de Medição'!B19</f>
        <v>1.1.2</v>
      </c>
      <c r="BR19" s="241" t="str">
        <f>_xlfn.XLOOKUP(BQ19,'2. Boletim de Medição'!B:B,'2. Boletim de Medição'!D:D)</f>
        <v>Mao de Obra Colocacao Piso Ceramico</v>
      </c>
      <c r="BS19" s="275"/>
      <c r="BT19" s="275" t="s">
        <v>96</v>
      </c>
      <c r="BU19" s="275" t="s">
        <v>87</v>
      </c>
      <c r="BV19" s="318">
        <v>7.05</v>
      </c>
      <c r="BW19" s="318">
        <v>5.07</v>
      </c>
      <c r="BX19" s="318">
        <v>5.07</v>
      </c>
      <c r="BY19" s="318">
        <v>5.07</v>
      </c>
      <c r="BZ19" s="318">
        <v>7.05</v>
      </c>
      <c r="CA19" s="318">
        <v>7.05</v>
      </c>
      <c r="CB19" s="318">
        <v>5.07</v>
      </c>
      <c r="CC19" s="318">
        <v>5.07</v>
      </c>
      <c r="CD19" s="318">
        <v>5.07</v>
      </c>
      <c r="CE19" s="318">
        <v>7.05</v>
      </c>
      <c r="CF19" s="115"/>
      <c r="CG19" s="318"/>
      <c r="CH19" s="318"/>
      <c r="CI19" s="318"/>
      <c r="CJ19" s="318"/>
      <c r="CK19" s="318"/>
      <c r="CL19" s="318"/>
      <c r="CM19" s="318"/>
      <c r="CN19" s="318"/>
      <c r="CO19" s="318"/>
      <c r="CP19" s="318"/>
      <c r="CR19" s="318"/>
      <c r="CS19" s="318"/>
      <c r="CT19" s="318"/>
      <c r="CU19" s="318"/>
      <c r="CV19" s="318"/>
      <c r="CW19" s="318"/>
      <c r="CX19" s="318"/>
      <c r="CY19" s="318"/>
      <c r="CZ19" s="318"/>
      <c r="DA19" s="318"/>
      <c r="DC19" s="318"/>
      <c r="DD19" s="318"/>
      <c r="DE19" s="318"/>
      <c r="DF19" s="318"/>
      <c r="DG19" s="379"/>
      <c r="DH19" s="380"/>
      <c r="DI19" s="318"/>
      <c r="DJ19" s="318"/>
      <c r="DK19" s="318"/>
      <c r="DL19" s="318"/>
      <c r="DM19" s="318"/>
      <c r="DN19" s="318"/>
      <c r="DO19" s="115"/>
      <c r="DP19" s="318"/>
      <c r="DQ19" s="318"/>
      <c r="DR19" s="318"/>
      <c r="DS19" s="318"/>
      <c r="DT19" s="379"/>
      <c r="DU19" s="380"/>
      <c r="DV19" s="318"/>
      <c r="DW19" s="318"/>
      <c r="DX19" s="318"/>
      <c r="DY19" s="318"/>
      <c r="DZ19" s="318"/>
      <c r="EA19" s="318"/>
      <c r="EB19" s="115"/>
      <c r="EC19" s="115"/>
      <c r="ED19" s="275" t="s">
        <v>91</v>
      </c>
      <c r="EE19" s="241" t="str">
        <f>_xlfn.XLOOKUP(ED19,'2. Boletim de Medição'!B:B,'2. Boletim de Medição'!D:D)</f>
        <v>M.O para colocação de soleiras</v>
      </c>
      <c r="EF19" s="275"/>
      <c r="EG19" s="275" t="s">
        <v>96</v>
      </c>
      <c r="EH19" s="275" t="s">
        <v>87</v>
      </c>
      <c r="EI19" s="115"/>
      <c r="EJ19" s="318"/>
      <c r="EK19" s="318"/>
      <c r="EL19" s="318"/>
      <c r="EM19" s="318"/>
      <c r="EN19" s="318"/>
      <c r="EO19" s="318"/>
      <c r="EP19" s="318"/>
      <c r="EQ19" s="318"/>
      <c r="ER19" s="318"/>
      <c r="ES19" s="318"/>
      <c r="ET19" s="115"/>
      <c r="EU19" s="318"/>
      <c r="EV19" s="318"/>
      <c r="EW19" s="318"/>
      <c r="EX19" s="318"/>
      <c r="EY19" s="318"/>
      <c r="EZ19" s="318"/>
      <c r="FA19" s="318"/>
      <c r="FB19" s="318"/>
      <c r="FC19" s="318"/>
      <c r="FD19" s="318"/>
      <c r="FF19" s="318"/>
      <c r="FG19" s="318"/>
      <c r="FH19" s="318"/>
      <c r="FI19" s="318"/>
      <c r="FJ19" s="318"/>
      <c r="FK19" s="318"/>
      <c r="FL19" s="318"/>
      <c r="FM19" s="318"/>
      <c r="FN19" s="318"/>
      <c r="FO19" s="318"/>
      <c r="FQ19" s="318"/>
      <c r="FR19" s="318"/>
      <c r="FS19" s="318"/>
      <c r="FT19" s="318"/>
      <c r="FU19" s="379"/>
      <c r="FV19" s="380"/>
      <c r="FW19" s="318"/>
      <c r="FX19" s="318"/>
      <c r="FY19" s="318"/>
      <c r="FZ19" s="318"/>
      <c r="GA19" s="318"/>
      <c r="GB19" s="318"/>
      <c r="GC19" s="115"/>
      <c r="GD19" s="318"/>
      <c r="GE19" s="318"/>
      <c r="GF19" s="318"/>
      <c r="GG19" s="318"/>
      <c r="GH19" s="379"/>
      <c r="GI19" s="380"/>
      <c r="GJ19" s="318"/>
      <c r="GK19" s="318"/>
      <c r="GL19" s="318"/>
      <c r="GM19" s="318"/>
      <c r="GN19" s="318"/>
      <c r="GO19" s="318"/>
      <c r="GQ19" s="275" t="s">
        <v>92</v>
      </c>
      <c r="GR19" s="241" t="str">
        <f>_xlfn.XLOOKUP(GQ19,'2. Boletim de Medição'!B:B,'2. Boletim de Medição'!D:D)</f>
        <v>M.O. para colocação de baguetes</v>
      </c>
      <c r="GS19" s="275"/>
      <c r="GT19" s="275" t="s">
        <v>96</v>
      </c>
      <c r="GU19" s="275" t="s">
        <v>87</v>
      </c>
      <c r="GV19" s="115"/>
      <c r="GW19" s="318"/>
      <c r="GX19" s="318"/>
      <c r="GY19" s="318"/>
      <c r="GZ19" s="318"/>
      <c r="HA19" s="318"/>
      <c r="HB19" s="318"/>
      <c r="HC19" s="318"/>
      <c r="HD19" s="318"/>
      <c r="HE19" s="318"/>
      <c r="HF19" s="318"/>
      <c r="HG19" s="115"/>
      <c r="HH19" s="318"/>
      <c r="HI19" s="318"/>
      <c r="HJ19" s="318"/>
      <c r="HK19" s="318"/>
      <c r="HL19" s="318"/>
      <c r="HM19" s="318"/>
      <c r="HN19" s="318"/>
      <c r="HO19" s="318"/>
      <c r="HP19" s="318"/>
      <c r="HQ19" s="318"/>
      <c r="HS19" s="318"/>
      <c r="HT19" s="318"/>
      <c r="HU19" s="318"/>
      <c r="HV19" s="318"/>
      <c r="HW19" s="318"/>
      <c r="HX19" s="318"/>
      <c r="HY19" s="318"/>
      <c r="HZ19" s="318"/>
      <c r="IA19" s="318"/>
      <c r="IB19" s="318"/>
      <c r="ID19" s="318"/>
      <c r="IE19" s="318"/>
      <c r="IF19" s="318"/>
      <c r="IG19" s="318"/>
      <c r="IH19" s="379"/>
      <c r="II19" s="380"/>
      <c r="IJ19" s="318"/>
      <c r="IK19" s="318"/>
      <c r="IL19" s="318"/>
      <c r="IM19" s="318"/>
      <c r="IN19" s="318"/>
      <c r="IO19" s="318"/>
      <c r="IP19" s="115"/>
      <c r="IQ19" s="318"/>
      <c r="IR19" s="318"/>
      <c r="IS19" s="318"/>
      <c r="IT19" s="318"/>
      <c r="IU19" s="379"/>
      <c r="IV19" s="380"/>
      <c r="IW19" s="318"/>
      <c r="IX19" s="318"/>
      <c r="IY19" s="318"/>
      <c r="IZ19" s="318"/>
      <c r="JA19" s="318"/>
      <c r="JB19" s="318"/>
      <c r="JC19" s="319"/>
      <c r="JD19" s="110" t="str">
        <f>'2. Boletim de Medição'!B22</f>
        <v>1.1.5</v>
      </c>
      <c r="JE19" s="110" t="str">
        <f>_xlfn.XLOOKUP(JD8,'2. Boletim de Medição'!B:B,'2. Boletim de Medição'!D:D)</f>
        <v xml:space="preserve">	Rodapé Cerâmico | Porcelanato - Serviço M.O Subcontrato</v>
      </c>
      <c r="JF19" s="275" t="s">
        <v>96</v>
      </c>
      <c r="JG19" s="275" t="s">
        <v>87</v>
      </c>
      <c r="JI19" s="321">
        <v>11.8</v>
      </c>
      <c r="JJ19" s="321">
        <v>8.1999999999999993</v>
      </c>
      <c r="JK19" s="321">
        <v>8.1999999999999993</v>
      </c>
      <c r="JL19" s="321">
        <v>8.1999999999999993</v>
      </c>
      <c r="JM19" s="321">
        <v>11.8</v>
      </c>
      <c r="JN19" s="321">
        <v>11.8</v>
      </c>
      <c r="JO19" s="321">
        <v>8.1999999999999993</v>
      </c>
      <c r="JP19" s="321">
        <v>8.1999999999999993</v>
      </c>
      <c r="JQ19" s="321">
        <v>8.1999999999999993</v>
      </c>
      <c r="JR19" s="321">
        <v>11.8</v>
      </c>
      <c r="JS19" s="115"/>
      <c r="JT19" s="318"/>
      <c r="JU19" s="318"/>
      <c r="JV19" s="318"/>
      <c r="JW19" s="318"/>
      <c r="JX19" s="318"/>
      <c r="JY19" s="318"/>
      <c r="JZ19" s="318"/>
      <c r="KA19" s="318"/>
      <c r="KB19" s="318"/>
      <c r="KC19" s="318"/>
      <c r="KE19" s="318"/>
      <c r="KF19" s="318"/>
      <c r="KG19" s="318"/>
      <c r="KH19" s="318"/>
      <c r="KI19" s="318"/>
      <c r="KJ19" s="318"/>
      <c r="KK19" s="318"/>
      <c r="KL19" s="318"/>
      <c r="KM19" s="318"/>
      <c r="KN19" s="318"/>
      <c r="KP19" s="318"/>
      <c r="KQ19" s="318"/>
      <c r="KR19" s="318"/>
      <c r="KS19" s="318"/>
      <c r="KT19" s="379"/>
      <c r="KU19" s="380"/>
      <c r="KV19" s="318"/>
      <c r="KW19" s="318"/>
      <c r="KX19" s="318"/>
      <c r="KY19" s="318"/>
      <c r="KZ19" s="318"/>
      <c r="LA19" s="318"/>
      <c r="LB19" s="115"/>
      <c r="LC19" s="318"/>
      <c r="LD19" s="318"/>
      <c r="LE19" s="318"/>
      <c r="LF19" s="318"/>
      <c r="LG19" s="379"/>
      <c r="LH19" s="380"/>
      <c r="LI19" s="318"/>
      <c r="LJ19" s="318"/>
      <c r="LK19" s="318"/>
      <c r="LL19" s="318"/>
      <c r="LM19" s="318"/>
      <c r="LN19" s="318"/>
      <c r="LP19" s="276" t="s">
        <v>121</v>
      </c>
      <c r="LQ19" s="313"/>
      <c r="LR19" s="278" t="str">
        <f>'1. Controle de Contrato'!E33</f>
        <v/>
      </c>
    </row>
    <row r="20" spans="1:330" ht="24" customHeight="1" x14ac:dyDescent="0.45">
      <c r="A20" s="242" t="s">
        <v>57</v>
      </c>
      <c r="B20" s="241" t="str">
        <f>_xlfn.XLOOKUP(A20,'2. Boletim de Medição'!B:B,'2. Boletim de Medição'!D:D)</f>
        <v>Mao de Obra Colocacao de Azulejo</v>
      </c>
      <c r="D20" s="242" t="str">
        <f>_xlfn.XLOOKUP(A20,'2. Boletim de Medição'!B:B,'2. Boletim de Medição'!E:E)</f>
        <v>M²</v>
      </c>
      <c r="E20" s="242" t="s">
        <v>88</v>
      </c>
      <c r="G20" s="321">
        <v>7.29</v>
      </c>
      <c r="H20" s="321">
        <v>7.29</v>
      </c>
      <c r="I20" s="321">
        <v>7.29</v>
      </c>
      <c r="J20" s="321">
        <v>7.29</v>
      </c>
      <c r="K20" s="321">
        <v>7.29</v>
      </c>
      <c r="L20" s="321">
        <v>7.29</v>
      </c>
      <c r="M20" s="321">
        <v>7.29</v>
      </c>
      <c r="N20" s="321">
        <v>7.29</v>
      </c>
      <c r="O20" s="321">
        <v>7.29</v>
      </c>
      <c r="P20" s="321">
        <v>7.29</v>
      </c>
      <c r="Q20" s="115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P20" s="318"/>
      <c r="AQ20" s="318"/>
      <c r="AR20" s="318"/>
      <c r="AS20" s="318"/>
      <c r="AT20" s="379"/>
      <c r="AU20" s="380"/>
      <c r="AV20" s="318"/>
      <c r="AW20" s="318"/>
      <c r="AX20" s="318"/>
      <c r="AY20" s="318"/>
      <c r="AZ20" s="318"/>
      <c r="BA20" s="318"/>
      <c r="BB20" s="115"/>
      <c r="BC20" s="318"/>
      <c r="BD20" s="318"/>
      <c r="BE20" s="318"/>
      <c r="BF20" s="318"/>
      <c r="BG20" s="379"/>
      <c r="BH20" s="380"/>
      <c r="BI20" s="318"/>
      <c r="BJ20" s="318"/>
      <c r="BK20" s="318"/>
      <c r="BL20" s="318"/>
      <c r="BM20" s="318"/>
      <c r="BN20" s="318"/>
      <c r="BO20" s="115"/>
      <c r="BP20" s="115"/>
      <c r="BQ20" s="275" t="str">
        <f>'2. Boletim de Medição'!B19</f>
        <v>1.1.2</v>
      </c>
      <c r="BR20" s="241" t="str">
        <f>_xlfn.XLOOKUP(BQ20,'2. Boletim de Medição'!B:B,'2. Boletim de Medição'!D:D)</f>
        <v>Mao de Obra Colocacao Piso Ceramico</v>
      </c>
      <c r="BS20" s="275"/>
      <c r="BT20" s="275" t="s">
        <v>96</v>
      </c>
      <c r="BU20" s="275" t="s">
        <v>88</v>
      </c>
      <c r="BV20" s="318">
        <v>7.05</v>
      </c>
      <c r="BW20" s="318">
        <v>5.07</v>
      </c>
      <c r="BX20" s="318">
        <v>5.07</v>
      </c>
      <c r="BY20" s="318">
        <v>5.07</v>
      </c>
      <c r="BZ20" s="318">
        <v>7.05</v>
      </c>
      <c r="CA20" s="318">
        <v>7.05</v>
      </c>
      <c r="CB20" s="318">
        <v>5.07</v>
      </c>
      <c r="CC20" s="318">
        <v>5.07</v>
      </c>
      <c r="CD20" s="318">
        <v>5.07</v>
      </c>
      <c r="CE20" s="318">
        <v>7.05</v>
      </c>
      <c r="CF20" s="115"/>
      <c r="CG20" s="318"/>
      <c r="CH20" s="318"/>
      <c r="CI20" s="318"/>
      <c r="CJ20" s="318"/>
      <c r="CK20" s="318"/>
      <c r="CL20" s="318"/>
      <c r="CM20" s="318"/>
      <c r="CN20" s="318"/>
      <c r="CO20" s="318"/>
      <c r="CP20" s="318"/>
      <c r="CR20" s="318"/>
      <c r="CS20" s="318"/>
      <c r="CT20" s="318"/>
      <c r="CU20" s="318"/>
      <c r="CV20" s="318"/>
      <c r="CW20" s="318"/>
      <c r="CX20" s="318"/>
      <c r="CY20" s="318"/>
      <c r="CZ20" s="318"/>
      <c r="DA20" s="318"/>
      <c r="DC20" s="318"/>
      <c r="DD20" s="318"/>
      <c r="DE20" s="318"/>
      <c r="DF20" s="318"/>
      <c r="DG20" s="379"/>
      <c r="DH20" s="380"/>
      <c r="DI20" s="318"/>
      <c r="DJ20" s="318"/>
      <c r="DK20" s="318"/>
      <c r="DL20" s="318"/>
      <c r="DM20" s="318"/>
      <c r="DN20" s="318"/>
      <c r="DO20" s="115"/>
      <c r="DP20" s="318"/>
      <c r="DQ20" s="318"/>
      <c r="DR20" s="318"/>
      <c r="DS20" s="318"/>
      <c r="DT20" s="379"/>
      <c r="DU20" s="380"/>
      <c r="DV20" s="318"/>
      <c r="DW20" s="318"/>
      <c r="DX20" s="318"/>
      <c r="DY20" s="318"/>
      <c r="DZ20" s="318"/>
      <c r="EA20" s="318"/>
      <c r="EB20" s="115"/>
      <c r="EC20" s="115"/>
      <c r="ED20" s="275" t="s">
        <v>91</v>
      </c>
      <c r="EE20" s="241" t="str">
        <f>_xlfn.XLOOKUP(ED20,'2. Boletim de Medição'!B:B,'2. Boletim de Medição'!D:D)</f>
        <v>M.O para colocação de soleiras</v>
      </c>
      <c r="EF20" s="275"/>
      <c r="EG20" s="275" t="s">
        <v>96</v>
      </c>
      <c r="EH20" s="275" t="s">
        <v>88</v>
      </c>
      <c r="EI20" s="115"/>
      <c r="EJ20" s="318"/>
      <c r="EK20" s="318"/>
      <c r="EL20" s="318"/>
      <c r="EM20" s="318"/>
      <c r="EN20" s="318"/>
      <c r="EO20" s="318"/>
      <c r="EP20" s="318"/>
      <c r="EQ20" s="318"/>
      <c r="ER20" s="318"/>
      <c r="ES20" s="318"/>
      <c r="ET20" s="115"/>
      <c r="EU20" s="318"/>
      <c r="EV20" s="318"/>
      <c r="EW20" s="318"/>
      <c r="EX20" s="318"/>
      <c r="EY20" s="318"/>
      <c r="EZ20" s="318"/>
      <c r="FA20" s="318"/>
      <c r="FB20" s="318"/>
      <c r="FC20" s="318"/>
      <c r="FD20" s="318"/>
      <c r="FF20" s="318"/>
      <c r="FG20" s="318"/>
      <c r="FH20" s="318"/>
      <c r="FI20" s="318"/>
      <c r="FJ20" s="318"/>
      <c r="FK20" s="318"/>
      <c r="FL20" s="318"/>
      <c r="FM20" s="318"/>
      <c r="FN20" s="318"/>
      <c r="FO20" s="318"/>
      <c r="FQ20" s="318"/>
      <c r="FR20" s="318"/>
      <c r="FS20" s="318"/>
      <c r="FT20" s="318"/>
      <c r="FU20" s="379"/>
      <c r="FV20" s="380"/>
      <c r="FW20" s="318"/>
      <c r="FX20" s="318"/>
      <c r="FY20" s="318"/>
      <c r="FZ20" s="318"/>
      <c r="GA20" s="318"/>
      <c r="GB20" s="318"/>
      <c r="GC20" s="115"/>
      <c r="GD20" s="318"/>
      <c r="GE20" s="318"/>
      <c r="GF20" s="318"/>
      <c r="GG20" s="318"/>
      <c r="GH20" s="379"/>
      <c r="GI20" s="380"/>
      <c r="GJ20" s="318"/>
      <c r="GK20" s="318"/>
      <c r="GL20" s="318"/>
      <c r="GM20" s="318"/>
      <c r="GN20" s="318"/>
      <c r="GO20" s="318"/>
      <c r="GQ20" s="275" t="s">
        <v>92</v>
      </c>
      <c r="GR20" s="241" t="str">
        <f>_xlfn.XLOOKUP(GQ20,'2. Boletim de Medição'!B:B,'2. Boletim de Medição'!D:D)</f>
        <v>M.O. para colocação de baguetes</v>
      </c>
      <c r="GS20" s="275"/>
      <c r="GT20" s="275" t="s">
        <v>96</v>
      </c>
      <c r="GU20" s="275" t="s">
        <v>88</v>
      </c>
      <c r="GV20" s="115"/>
      <c r="GW20" s="318"/>
      <c r="GX20" s="318"/>
      <c r="GY20" s="318"/>
      <c r="GZ20" s="318"/>
      <c r="HA20" s="318"/>
      <c r="HB20" s="318"/>
      <c r="HC20" s="318"/>
      <c r="HD20" s="318"/>
      <c r="HE20" s="318"/>
      <c r="HF20" s="318"/>
      <c r="HG20" s="115"/>
      <c r="HH20" s="318"/>
      <c r="HI20" s="318"/>
      <c r="HJ20" s="318"/>
      <c r="HK20" s="318"/>
      <c r="HL20" s="318"/>
      <c r="HM20" s="318"/>
      <c r="HN20" s="318"/>
      <c r="HO20" s="318"/>
      <c r="HP20" s="318"/>
      <c r="HQ20" s="318"/>
      <c r="HS20" s="318"/>
      <c r="HT20" s="318"/>
      <c r="HU20" s="318"/>
      <c r="HV20" s="318"/>
      <c r="HW20" s="318"/>
      <c r="HX20" s="318"/>
      <c r="HY20" s="318"/>
      <c r="HZ20" s="318"/>
      <c r="IA20" s="318"/>
      <c r="IB20" s="318"/>
      <c r="ID20" s="318"/>
      <c r="IE20" s="318"/>
      <c r="IF20" s="318"/>
      <c r="IG20" s="318"/>
      <c r="IH20" s="379"/>
      <c r="II20" s="380"/>
      <c r="IJ20" s="318"/>
      <c r="IK20" s="318"/>
      <c r="IL20" s="318"/>
      <c r="IM20" s="318"/>
      <c r="IN20" s="318"/>
      <c r="IO20" s="318"/>
      <c r="IP20" s="115"/>
      <c r="IQ20" s="318"/>
      <c r="IR20" s="318"/>
      <c r="IS20" s="318"/>
      <c r="IT20" s="318"/>
      <c r="IU20" s="379"/>
      <c r="IV20" s="380"/>
      <c r="IW20" s="318"/>
      <c r="IX20" s="318"/>
      <c r="IY20" s="318"/>
      <c r="IZ20" s="318"/>
      <c r="JA20" s="318"/>
      <c r="JB20" s="318"/>
      <c r="JC20" s="319"/>
      <c r="JD20" s="110" t="str">
        <f>'2. Boletim de Medição'!B22</f>
        <v>1.1.5</v>
      </c>
      <c r="JE20" s="110" t="str">
        <f>_xlfn.XLOOKUP(JD8,'2. Boletim de Medição'!B:B,'2. Boletim de Medição'!D:D)</f>
        <v xml:space="preserve">	Rodapé Cerâmico | Porcelanato - Serviço M.O Subcontrato</v>
      </c>
      <c r="JF20" s="275" t="s">
        <v>96</v>
      </c>
      <c r="JG20" s="275" t="s">
        <v>88</v>
      </c>
      <c r="JI20" s="321">
        <v>11.8</v>
      </c>
      <c r="JJ20" s="321">
        <v>8.1999999999999993</v>
      </c>
      <c r="JK20" s="321">
        <v>8.1999999999999993</v>
      </c>
      <c r="JL20" s="321">
        <v>8.1999999999999993</v>
      </c>
      <c r="JM20" s="321">
        <v>11.8</v>
      </c>
      <c r="JN20" s="321">
        <v>11.8</v>
      </c>
      <c r="JO20" s="321">
        <v>8.1999999999999993</v>
      </c>
      <c r="JP20" s="321">
        <v>8.1999999999999993</v>
      </c>
      <c r="JQ20" s="321">
        <v>8.1999999999999993</v>
      </c>
      <c r="JR20" s="321">
        <v>11.8</v>
      </c>
      <c r="JS20" s="115"/>
      <c r="JT20" s="318"/>
      <c r="JU20" s="318"/>
      <c r="JV20" s="318"/>
      <c r="JW20" s="318"/>
      <c r="JX20" s="318"/>
      <c r="JY20" s="318"/>
      <c r="JZ20" s="318"/>
      <c r="KA20" s="318"/>
      <c r="KB20" s="318"/>
      <c r="KC20" s="318"/>
      <c r="KE20" s="318"/>
      <c r="KF20" s="318"/>
      <c r="KG20" s="318"/>
      <c r="KH20" s="318"/>
      <c r="KI20" s="318"/>
      <c r="KJ20" s="318"/>
      <c r="KK20" s="318"/>
      <c r="KL20" s="318"/>
      <c r="KM20" s="318"/>
      <c r="KN20" s="318"/>
      <c r="KP20" s="318"/>
      <c r="KQ20" s="318"/>
      <c r="KR20" s="318"/>
      <c r="KS20" s="318"/>
      <c r="KT20" s="379"/>
      <c r="KU20" s="380"/>
      <c r="KV20" s="318"/>
      <c r="KW20" s="318"/>
      <c r="KX20" s="318"/>
      <c r="KY20" s="318"/>
      <c r="KZ20" s="318"/>
      <c r="LA20" s="318"/>
      <c r="LB20" s="115"/>
      <c r="LC20" s="318"/>
      <c r="LD20" s="318"/>
      <c r="LE20" s="318"/>
      <c r="LF20" s="318"/>
      <c r="LG20" s="379"/>
      <c r="LH20" s="380"/>
      <c r="LI20" s="318"/>
      <c r="LJ20" s="318"/>
      <c r="LK20" s="318"/>
      <c r="LL20" s="318"/>
      <c r="LM20" s="318"/>
      <c r="LN20" s="318"/>
      <c r="LP20" s="276" t="s">
        <v>147</v>
      </c>
      <c r="LQ20" s="314"/>
      <c r="LR20" s="278" t="str">
        <f>'1. Controle de Contrato'!E34</f>
        <v/>
      </c>
    </row>
    <row r="21" spans="1:330" ht="24" customHeight="1" x14ac:dyDescent="0.35">
      <c r="A21" s="242" t="s">
        <v>57</v>
      </c>
      <c r="B21" s="241" t="str">
        <f>_xlfn.XLOOKUP(A21,'2. Boletim de Medição'!B:B,'2. Boletim de Medição'!D:D)</f>
        <v>Mao de Obra Colocacao de Azulejo</v>
      </c>
      <c r="D21" s="242" t="str">
        <f>_xlfn.XLOOKUP(A21,'2. Boletim de Medição'!B:B,'2. Boletim de Medição'!E:E)</f>
        <v>M²</v>
      </c>
      <c r="E21" s="242" t="s">
        <v>89</v>
      </c>
      <c r="G21" s="321">
        <v>7.29</v>
      </c>
      <c r="H21" s="321">
        <v>7.29</v>
      </c>
      <c r="I21" s="321">
        <v>7.29</v>
      </c>
      <c r="J21" s="321">
        <v>7.29</v>
      </c>
      <c r="K21" s="321">
        <v>7.29</v>
      </c>
      <c r="L21" s="321">
        <v>7.29</v>
      </c>
      <c r="M21" s="321">
        <v>7.29</v>
      </c>
      <c r="N21" s="321">
        <v>7.29</v>
      </c>
      <c r="O21" s="321">
        <v>7.29</v>
      </c>
      <c r="P21" s="321">
        <v>7.29</v>
      </c>
      <c r="Q21" s="115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  <c r="AM21" s="318"/>
      <c r="AN21" s="318"/>
      <c r="AP21" s="318"/>
      <c r="AQ21" s="318"/>
      <c r="AR21" s="318"/>
      <c r="AS21" s="318"/>
      <c r="AT21" s="379"/>
      <c r="AU21" s="380"/>
      <c r="AV21" s="318"/>
      <c r="AW21" s="318"/>
      <c r="AX21" s="318"/>
      <c r="AY21" s="318"/>
      <c r="AZ21" s="318"/>
      <c r="BA21" s="318"/>
      <c r="BB21" s="115"/>
      <c r="BC21" s="318"/>
      <c r="BD21" s="318"/>
      <c r="BE21" s="318"/>
      <c r="BF21" s="318"/>
      <c r="BG21" s="379"/>
      <c r="BH21" s="380"/>
      <c r="BI21" s="318"/>
      <c r="BJ21" s="318"/>
      <c r="BK21" s="318"/>
      <c r="BL21" s="318"/>
      <c r="BM21" s="318"/>
      <c r="BN21" s="318"/>
      <c r="BO21" s="115"/>
      <c r="BP21" s="115"/>
      <c r="BQ21" s="275" t="str">
        <f>'2. Boletim de Medição'!B19</f>
        <v>1.1.2</v>
      </c>
      <c r="BR21" s="241" t="str">
        <f>_xlfn.XLOOKUP(BQ21,'2. Boletim de Medição'!B:B,'2. Boletim de Medição'!D:D)</f>
        <v>Mao de Obra Colocacao Piso Ceramico</v>
      </c>
      <c r="BS21" s="275"/>
      <c r="BT21" s="275" t="s">
        <v>96</v>
      </c>
      <c r="BU21" s="275" t="s">
        <v>89</v>
      </c>
      <c r="BV21" s="318">
        <v>7.05</v>
      </c>
      <c r="BW21" s="318">
        <v>5.07</v>
      </c>
      <c r="BX21" s="318">
        <v>5.07</v>
      </c>
      <c r="BY21" s="318">
        <v>5.07</v>
      </c>
      <c r="BZ21" s="318">
        <v>7.05</v>
      </c>
      <c r="CA21" s="318">
        <v>7.05</v>
      </c>
      <c r="CB21" s="318">
        <v>5.07</v>
      </c>
      <c r="CC21" s="318">
        <v>5.07</v>
      </c>
      <c r="CD21" s="318">
        <v>5.07</v>
      </c>
      <c r="CE21" s="318">
        <v>7.05</v>
      </c>
      <c r="CF21" s="115"/>
      <c r="CG21" s="318"/>
      <c r="CH21" s="318"/>
      <c r="CI21" s="318"/>
      <c r="CJ21" s="318"/>
      <c r="CK21" s="318"/>
      <c r="CL21" s="318"/>
      <c r="CM21" s="318"/>
      <c r="CN21" s="318"/>
      <c r="CO21" s="318"/>
      <c r="CP21" s="318"/>
      <c r="CR21" s="318"/>
      <c r="CS21" s="318"/>
      <c r="CT21" s="318"/>
      <c r="CU21" s="318"/>
      <c r="CV21" s="318"/>
      <c r="CW21" s="318"/>
      <c r="CX21" s="318"/>
      <c r="CY21" s="318"/>
      <c r="CZ21" s="318"/>
      <c r="DA21" s="318"/>
      <c r="DC21" s="318"/>
      <c r="DD21" s="318"/>
      <c r="DE21" s="318"/>
      <c r="DF21" s="318"/>
      <c r="DG21" s="379"/>
      <c r="DH21" s="380"/>
      <c r="DI21" s="318"/>
      <c r="DJ21" s="318"/>
      <c r="DK21" s="318"/>
      <c r="DL21" s="318"/>
      <c r="DM21" s="318"/>
      <c r="DN21" s="318"/>
      <c r="DO21" s="115"/>
      <c r="DP21" s="318"/>
      <c r="DQ21" s="318"/>
      <c r="DR21" s="318"/>
      <c r="DS21" s="318"/>
      <c r="DT21" s="379"/>
      <c r="DU21" s="380"/>
      <c r="DV21" s="318"/>
      <c r="DW21" s="318"/>
      <c r="DX21" s="318"/>
      <c r="DY21" s="318"/>
      <c r="DZ21" s="318"/>
      <c r="EA21" s="318"/>
      <c r="EB21" s="115"/>
      <c r="EC21" s="115"/>
      <c r="ED21" s="275" t="s">
        <v>91</v>
      </c>
      <c r="EE21" s="241" t="str">
        <f>_xlfn.XLOOKUP(ED21,'2. Boletim de Medição'!B:B,'2. Boletim de Medição'!D:D)</f>
        <v>M.O para colocação de soleiras</v>
      </c>
      <c r="EF21" s="275"/>
      <c r="EG21" s="275" t="s">
        <v>96</v>
      </c>
      <c r="EH21" s="275" t="s">
        <v>89</v>
      </c>
      <c r="EI21" s="115"/>
      <c r="EJ21" s="318"/>
      <c r="EK21" s="318"/>
      <c r="EL21" s="318"/>
      <c r="EM21" s="318"/>
      <c r="EN21" s="318"/>
      <c r="EO21" s="318"/>
      <c r="EP21" s="318"/>
      <c r="EQ21" s="318"/>
      <c r="ER21" s="318"/>
      <c r="ES21" s="318"/>
      <c r="ET21" s="115"/>
      <c r="EU21" s="318"/>
      <c r="EV21" s="318"/>
      <c r="EW21" s="318"/>
      <c r="EX21" s="318"/>
      <c r="EY21" s="318"/>
      <c r="EZ21" s="318"/>
      <c r="FA21" s="318"/>
      <c r="FB21" s="318"/>
      <c r="FC21" s="318"/>
      <c r="FD21" s="318"/>
      <c r="FF21" s="318"/>
      <c r="FG21" s="318"/>
      <c r="FH21" s="318"/>
      <c r="FI21" s="318"/>
      <c r="FJ21" s="318"/>
      <c r="FK21" s="318"/>
      <c r="FL21" s="318"/>
      <c r="FM21" s="318"/>
      <c r="FN21" s="318"/>
      <c r="FO21" s="318"/>
      <c r="FQ21" s="318"/>
      <c r="FR21" s="318"/>
      <c r="FS21" s="318"/>
      <c r="FT21" s="318"/>
      <c r="FU21" s="379"/>
      <c r="FV21" s="380"/>
      <c r="FW21" s="318"/>
      <c r="FX21" s="318"/>
      <c r="FY21" s="318"/>
      <c r="FZ21" s="318"/>
      <c r="GA21" s="318"/>
      <c r="GB21" s="318"/>
      <c r="GC21" s="115"/>
      <c r="GD21" s="318"/>
      <c r="GE21" s="318"/>
      <c r="GF21" s="318"/>
      <c r="GG21" s="318"/>
      <c r="GH21" s="379"/>
      <c r="GI21" s="380"/>
      <c r="GJ21" s="318"/>
      <c r="GK21" s="318"/>
      <c r="GL21" s="318"/>
      <c r="GM21" s="318"/>
      <c r="GN21" s="318"/>
      <c r="GO21" s="318"/>
      <c r="GQ21" s="275" t="s">
        <v>92</v>
      </c>
      <c r="GR21" s="241" t="str">
        <f>_xlfn.XLOOKUP(GQ21,'2. Boletim de Medição'!B:B,'2. Boletim de Medição'!D:D)</f>
        <v>M.O. para colocação de baguetes</v>
      </c>
      <c r="GS21" s="275"/>
      <c r="GT21" s="275" t="s">
        <v>96</v>
      </c>
      <c r="GU21" s="275" t="s">
        <v>89</v>
      </c>
      <c r="GV21" s="115"/>
      <c r="GW21" s="318"/>
      <c r="GX21" s="318"/>
      <c r="GY21" s="318"/>
      <c r="GZ21" s="318"/>
      <c r="HA21" s="318"/>
      <c r="HB21" s="318"/>
      <c r="HC21" s="318"/>
      <c r="HD21" s="318"/>
      <c r="HE21" s="318"/>
      <c r="HF21" s="318"/>
      <c r="HG21" s="115"/>
      <c r="HH21" s="318"/>
      <c r="HI21" s="318"/>
      <c r="HJ21" s="318"/>
      <c r="HK21" s="318"/>
      <c r="HL21" s="318"/>
      <c r="HM21" s="318"/>
      <c r="HN21" s="318"/>
      <c r="HO21" s="318"/>
      <c r="HP21" s="318"/>
      <c r="HQ21" s="318"/>
      <c r="HS21" s="318"/>
      <c r="HT21" s="318"/>
      <c r="HU21" s="318"/>
      <c r="HV21" s="318"/>
      <c r="HW21" s="318"/>
      <c r="HX21" s="318"/>
      <c r="HY21" s="318"/>
      <c r="HZ21" s="318"/>
      <c r="IA21" s="318"/>
      <c r="IB21" s="318"/>
      <c r="ID21" s="318"/>
      <c r="IE21" s="318"/>
      <c r="IF21" s="318"/>
      <c r="IG21" s="318"/>
      <c r="IH21" s="379"/>
      <c r="II21" s="380"/>
      <c r="IJ21" s="318"/>
      <c r="IK21" s="318"/>
      <c r="IL21" s="318"/>
      <c r="IM21" s="318"/>
      <c r="IN21" s="318"/>
      <c r="IO21" s="318"/>
      <c r="IP21" s="115"/>
      <c r="IQ21" s="318"/>
      <c r="IR21" s="318"/>
      <c r="IS21" s="318"/>
      <c r="IT21" s="318"/>
      <c r="IU21" s="379"/>
      <c r="IV21" s="380"/>
      <c r="IW21" s="318"/>
      <c r="IX21" s="318"/>
      <c r="IY21" s="318"/>
      <c r="IZ21" s="318"/>
      <c r="JA21" s="318"/>
      <c r="JB21" s="318"/>
      <c r="JC21" s="319"/>
      <c r="JD21" s="110" t="str">
        <f>'2. Boletim de Medição'!B22</f>
        <v>1.1.5</v>
      </c>
      <c r="JE21" s="110" t="str">
        <f>_xlfn.XLOOKUP(JD8,'2. Boletim de Medição'!B:B,'2. Boletim de Medição'!D:D)</f>
        <v xml:space="preserve">	Rodapé Cerâmico | Porcelanato - Serviço M.O Subcontrato</v>
      </c>
      <c r="JF21" s="275"/>
      <c r="JG21" s="275" t="s">
        <v>89</v>
      </c>
      <c r="JI21" s="321">
        <v>11.8</v>
      </c>
      <c r="JJ21" s="321">
        <v>8.1999999999999993</v>
      </c>
      <c r="JK21" s="321">
        <v>8.1999999999999993</v>
      </c>
      <c r="JL21" s="321">
        <v>8.1999999999999993</v>
      </c>
      <c r="JM21" s="321">
        <v>11.8</v>
      </c>
      <c r="JN21" s="321">
        <v>11.8</v>
      </c>
      <c r="JO21" s="321">
        <v>8.1999999999999993</v>
      </c>
      <c r="JP21" s="321">
        <v>8.1999999999999993</v>
      </c>
      <c r="JQ21" s="321">
        <v>8.1999999999999993</v>
      </c>
      <c r="JR21" s="321">
        <v>11.8</v>
      </c>
      <c r="JS21" s="115"/>
      <c r="JT21" s="318"/>
      <c r="JU21" s="318"/>
      <c r="JV21" s="318"/>
      <c r="JW21" s="318"/>
      <c r="JX21" s="318"/>
      <c r="JY21" s="318"/>
      <c r="JZ21" s="318"/>
      <c r="KA21" s="318"/>
      <c r="KB21" s="318"/>
      <c r="KC21" s="318"/>
      <c r="KE21" s="318"/>
      <c r="KF21" s="318"/>
      <c r="KG21" s="318"/>
      <c r="KH21" s="318"/>
      <c r="KI21" s="318"/>
      <c r="KJ21" s="318"/>
      <c r="KK21" s="318"/>
      <c r="KL21" s="318"/>
      <c r="KM21" s="318"/>
      <c r="KN21" s="318"/>
      <c r="KP21" s="318"/>
      <c r="KQ21" s="318"/>
      <c r="KR21" s="318"/>
      <c r="KS21" s="318"/>
      <c r="KT21" s="379"/>
      <c r="KU21" s="380"/>
      <c r="KV21" s="318"/>
      <c r="KW21" s="318"/>
      <c r="KX21" s="318"/>
      <c r="KY21" s="318"/>
      <c r="KZ21" s="318"/>
      <c r="LA21" s="318"/>
      <c r="LB21" s="115"/>
      <c r="LC21" s="318"/>
      <c r="LD21" s="318"/>
      <c r="LE21" s="318"/>
      <c r="LF21" s="318"/>
      <c r="LG21" s="379"/>
      <c r="LH21" s="380"/>
      <c r="LI21" s="318"/>
      <c r="LJ21" s="318"/>
      <c r="LK21" s="318"/>
      <c r="LL21" s="318"/>
      <c r="LM21" s="318"/>
      <c r="LN21" s="318"/>
    </row>
    <row r="22" spans="1:330" ht="24" customHeight="1" x14ac:dyDescent="0.35">
      <c r="G22" s="115" t="s">
        <v>164</v>
      </c>
      <c r="H22" s="115" t="s">
        <v>101</v>
      </c>
      <c r="I22" s="115" t="s">
        <v>102</v>
      </c>
      <c r="J22" s="115" t="s">
        <v>103</v>
      </c>
      <c r="K22" s="115" t="s">
        <v>104</v>
      </c>
      <c r="L22" s="115" t="s">
        <v>105</v>
      </c>
      <c r="M22" s="115" t="s">
        <v>106</v>
      </c>
      <c r="N22" s="115" t="s">
        <v>107</v>
      </c>
      <c r="O22" s="115" t="s">
        <v>108</v>
      </c>
      <c r="P22" s="115" t="s">
        <v>163</v>
      </c>
      <c r="R22" s="115" t="s">
        <v>164</v>
      </c>
      <c r="S22" s="115" t="s">
        <v>101</v>
      </c>
      <c r="T22" s="115" t="s">
        <v>102</v>
      </c>
      <c r="U22" s="115" t="s">
        <v>103</v>
      </c>
      <c r="V22" s="115" t="s">
        <v>104</v>
      </c>
      <c r="W22" s="115" t="s">
        <v>105</v>
      </c>
      <c r="X22" s="115" t="s">
        <v>106</v>
      </c>
      <c r="Y22" s="115" t="s">
        <v>107</v>
      </c>
      <c r="Z22" s="115" t="s">
        <v>108</v>
      </c>
      <c r="AA22" s="115" t="s">
        <v>163</v>
      </c>
      <c r="AC22" s="115" t="s">
        <v>164</v>
      </c>
      <c r="AD22" s="115" t="s">
        <v>101</v>
      </c>
      <c r="AE22" s="115" t="s">
        <v>102</v>
      </c>
      <c r="AF22" s="115" t="s">
        <v>103</v>
      </c>
      <c r="AG22" s="115" t="s">
        <v>104</v>
      </c>
      <c r="AH22" s="115" t="s">
        <v>105</v>
      </c>
      <c r="AI22" s="115" t="s">
        <v>104</v>
      </c>
      <c r="AJ22" s="115" t="s">
        <v>105</v>
      </c>
      <c r="AK22" s="115" t="s">
        <v>106</v>
      </c>
      <c r="AL22" s="115" t="s">
        <v>107</v>
      </c>
      <c r="AM22" s="115" t="s">
        <v>108</v>
      </c>
      <c r="AN22" s="115" t="s">
        <v>163</v>
      </c>
      <c r="AP22" s="115" t="s">
        <v>164</v>
      </c>
      <c r="AQ22" s="115" t="s">
        <v>101</v>
      </c>
      <c r="AR22" s="115" t="s">
        <v>102</v>
      </c>
      <c r="AS22" s="115" t="s">
        <v>103</v>
      </c>
      <c r="AT22" s="115" t="s">
        <v>104</v>
      </c>
      <c r="AU22" s="115" t="s">
        <v>105</v>
      </c>
      <c r="AV22" s="115" t="s">
        <v>104</v>
      </c>
      <c r="AW22" s="115" t="s">
        <v>105</v>
      </c>
      <c r="AX22" s="115" t="s">
        <v>106</v>
      </c>
      <c r="AY22" s="115" t="s">
        <v>107</v>
      </c>
      <c r="AZ22" s="115" t="s">
        <v>108</v>
      </c>
      <c r="BA22" s="115" t="s">
        <v>163</v>
      </c>
      <c r="BB22" s="115"/>
      <c r="BC22" s="115" t="s">
        <v>164</v>
      </c>
      <c r="BD22" s="115" t="s">
        <v>101</v>
      </c>
      <c r="BE22" s="115" t="s">
        <v>102</v>
      </c>
      <c r="BF22" s="115" t="s">
        <v>103</v>
      </c>
      <c r="BG22" s="115" t="s">
        <v>104</v>
      </c>
      <c r="BH22" s="115" t="s">
        <v>105</v>
      </c>
      <c r="BI22" s="115" t="s">
        <v>104</v>
      </c>
      <c r="BJ22" s="115" t="s">
        <v>105</v>
      </c>
      <c r="BK22" s="115" t="s">
        <v>106</v>
      </c>
      <c r="BL22" s="115" t="s">
        <v>107</v>
      </c>
      <c r="BM22" s="115" t="s">
        <v>108</v>
      </c>
      <c r="BN22" s="115" t="s">
        <v>163</v>
      </c>
      <c r="BO22" s="115"/>
      <c r="BP22" s="115"/>
      <c r="BQ22" s="275"/>
      <c r="BR22" s="275"/>
      <c r="BS22" s="275"/>
      <c r="BT22" s="275"/>
      <c r="BU22" s="275"/>
      <c r="BV22" s="115" t="s">
        <v>164</v>
      </c>
      <c r="BW22" s="115" t="s">
        <v>101</v>
      </c>
      <c r="BX22" s="115" t="s">
        <v>102</v>
      </c>
      <c r="BY22" s="115" t="s">
        <v>103</v>
      </c>
      <c r="BZ22" s="115" t="s">
        <v>104</v>
      </c>
      <c r="CA22" s="115" t="s">
        <v>105</v>
      </c>
      <c r="CB22" s="115" t="s">
        <v>106</v>
      </c>
      <c r="CC22" s="115" t="s">
        <v>107</v>
      </c>
      <c r="CD22" s="115" t="s">
        <v>108</v>
      </c>
      <c r="CE22" s="115" t="s">
        <v>163</v>
      </c>
      <c r="CG22" s="115" t="s">
        <v>164</v>
      </c>
      <c r="CH22" s="115" t="s">
        <v>101</v>
      </c>
      <c r="CI22" s="115" t="s">
        <v>102</v>
      </c>
      <c r="CJ22" s="115" t="s">
        <v>103</v>
      </c>
      <c r="CK22" s="115" t="s">
        <v>104</v>
      </c>
      <c r="CL22" s="115" t="s">
        <v>105</v>
      </c>
      <c r="CM22" s="115" t="s">
        <v>106</v>
      </c>
      <c r="CN22" s="115" t="s">
        <v>107</v>
      </c>
      <c r="CO22" s="115" t="s">
        <v>108</v>
      </c>
      <c r="CP22" s="115" t="s">
        <v>163</v>
      </c>
      <c r="CR22" s="115" t="s">
        <v>164</v>
      </c>
      <c r="CS22" s="115" t="s">
        <v>101</v>
      </c>
      <c r="CT22" s="115" t="s">
        <v>102</v>
      </c>
      <c r="CU22" s="115" t="s">
        <v>103</v>
      </c>
      <c r="CV22" s="115" t="s">
        <v>104</v>
      </c>
      <c r="CW22" s="115" t="s">
        <v>105</v>
      </c>
      <c r="CX22" s="115" t="s">
        <v>106</v>
      </c>
      <c r="CY22" s="115" t="s">
        <v>107</v>
      </c>
      <c r="CZ22" s="115" t="s">
        <v>108</v>
      </c>
      <c r="DA22" s="115" t="s">
        <v>163</v>
      </c>
      <c r="DC22" s="115" t="s">
        <v>164</v>
      </c>
      <c r="DD22" s="115" t="s">
        <v>101</v>
      </c>
      <c r="DE22" s="115" t="s">
        <v>102</v>
      </c>
      <c r="DF22" s="115" t="s">
        <v>103</v>
      </c>
      <c r="DG22" s="115" t="s">
        <v>104</v>
      </c>
      <c r="DH22" s="115" t="s">
        <v>105</v>
      </c>
      <c r="DI22" s="115" t="s">
        <v>104</v>
      </c>
      <c r="DJ22" s="115" t="s">
        <v>105</v>
      </c>
      <c r="DK22" s="115" t="s">
        <v>106</v>
      </c>
      <c r="DL22" s="115" t="s">
        <v>107</v>
      </c>
      <c r="DM22" s="115" t="s">
        <v>108</v>
      </c>
      <c r="DN22" s="115" t="s">
        <v>163</v>
      </c>
      <c r="DO22" s="115"/>
      <c r="DP22" s="115" t="s">
        <v>164</v>
      </c>
      <c r="DQ22" s="115" t="s">
        <v>101</v>
      </c>
      <c r="DR22" s="115" t="s">
        <v>102</v>
      </c>
      <c r="DS22" s="115" t="s">
        <v>103</v>
      </c>
      <c r="DT22" s="115" t="s">
        <v>104</v>
      </c>
      <c r="DU22" s="115" t="s">
        <v>105</v>
      </c>
      <c r="DV22" s="115" t="s">
        <v>104</v>
      </c>
      <c r="DW22" s="115" t="s">
        <v>105</v>
      </c>
      <c r="DX22" s="115" t="s">
        <v>106</v>
      </c>
      <c r="DY22" s="115" t="s">
        <v>107</v>
      </c>
      <c r="DZ22" s="115" t="s">
        <v>108</v>
      </c>
      <c r="EA22" s="115" t="s">
        <v>163</v>
      </c>
      <c r="EB22" s="115"/>
      <c r="EC22" s="115"/>
      <c r="ED22" s="275"/>
      <c r="EE22" s="275"/>
      <c r="EF22" s="275"/>
      <c r="EG22" s="275"/>
      <c r="EH22" s="275"/>
      <c r="EI22" s="115"/>
      <c r="EJ22" s="115" t="s">
        <v>164</v>
      </c>
      <c r="EK22" s="115" t="s">
        <v>101</v>
      </c>
      <c r="EL22" s="115" t="s">
        <v>102</v>
      </c>
      <c r="EM22" s="115" t="s">
        <v>103</v>
      </c>
      <c r="EN22" s="115" t="s">
        <v>104</v>
      </c>
      <c r="EO22" s="115" t="s">
        <v>105</v>
      </c>
      <c r="EP22" s="115" t="s">
        <v>106</v>
      </c>
      <c r="EQ22" s="115" t="s">
        <v>107</v>
      </c>
      <c r="ER22" s="115" t="s">
        <v>108</v>
      </c>
      <c r="ES22" s="115" t="s">
        <v>163</v>
      </c>
      <c r="EU22" s="115" t="s">
        <v>164</v>
      </c>
      <c r="EV22" s="115" t="s">
        <v>101</v>
      </c>
      <c r="EW22" s="115" t="s">
        <v>102</v>
      </c>
      <c r="EX22" s="115" t="s">
        <v>103</v>
      </c>
      <c r="EY22" s="115" t="s">
        <v>104</v>
      </c>
      <c r="EZ22" s="115" t="s">
        <v>105</v>
      </c>
      <c r="FA22" s="115" t="s">
        <v>106</v>
      </c>
      <c r="FB22" s="115" t="s">
        <v>107</v>
      </c>
      <c r="FC22" s="115" t="s">
        <v>108</v>
      </c>
      <c r="FD22" s="115" t="s">
        <v>163</v>
      </c>
      <c r="FF22" s="115" t="s">
        <v>164</v>
      </c>
      <c r="FG22" s="115" t="s">
        <v>101</v>
      </c>
      <c r="FH22" s="115" t="s">
        <v>102</v>
      </c>
      <c r="FI22" s="115" t="s">
        <v>103</v>
      </c>
      <c r="FJ22" s="115" t="s">
        <v>104</v>
      </c>
      <c r="FK22" s="115" t="s">
        <v>105</v>
      </c>
      <c r="FL22" s="115" t="s">
        <v>106</v>
      </c>
      <c r="FM22" s="115" t="s">
        <v>107</v>
      </c>
      <c r="FN22" s="115" t="s">
        <v>108</v>
      </c>
      <c r="FO22" s="115" t="s">
        <v>163</v>
      </c>
      <c r="FQ22" s="115" t="s">
        <v>164</v>
      </c>
      <c r="FR22" s="115" t="s">
        <v>101</v>
      </c>
      <c r="FS22" s="115" t="s">
        <v>102</v>
      </c>
      <c r="FT22" s="115" t="s">
        <v>103</v>
      </c>
      <c r="FU22" s="115" t="s">
        <v>104</v>
      </c>
      <c r="FV22" s="115" t="s">
        <v>105</v>
      </c>
      <c r="FW22" s="115" t="s">
        <v>104</v>
      </c>
      <c r="FX22" s="115" t="s">
        <v>105</v>
      </c>
      <c r="FY22" s="115" t="s">
        <v>106</v>
      </c>
      <c r="FZ22" s="115" t="s">
        <v>107</v>
      </c>
      <c r="GA22" s="115" t="s">
        <v>108</v>
      </c>
      <c r="GB22" s="115" t="s">
        <v>163</v>
      </c>
      <c r="GC22" s="115"/>
      <c r="GD22" s="115" t="s">
        <v>164</v>
      </c>
      <c r="GE22" s="115" t="s">
        <v>101</v>
      </c>
      <c r="GF22" s="115" t="s">
        <v>102</v>
      </c>
      <c r="GG22" s="115" t="s">
        <v>103</v>
      </c>
      <c r="GH22" s="115" t="s">
        <v>104</v>
      </c>
      <c r="GI22" s="115" t="s">
        <v>105</v>
      </c>
      <c r="GJ22" s="115" t="s">
        <v>104</v>
      </c>
      <c r="GK22" s="115" t="s">
        <v>105</v>
      </c>
      <c r="GL22" s="115" t="s">
        <v>106</v>
      </c>
      <c r="GM22" s="115" t="s">
        <v>107</v>
      </c>
      <c r="GN22" s="115" t="s">
        <v>108</v>
      </c>
      <c r="GO22" s="115" t="s">
        <v>163</v>
      </c>
      <c r="GQ22" s="275"/>
      <c r="GR22" s="275"/>
      <c r="GS22" s="275"/>
      <c r="GT22" s="275"/>
      <c r="GU22" s="275"/>
      <c r="GV22" s="115"/>
      <c r="GW22" s="115" t="s">
        <v>164</v>
      </c>
      <c r="GX22" s="115" t="s">
        <v>101</v>
      </c>
      <c r="GY22" s="115" t="s">
        <v>102</v>
      </c>
      <c r="GZ22" s="115" t="s">
        <v>103</v>
      </c>
      <c r="HA22" s="115" t="s">
        <v>104</v>
      </c>
      <c r="HB22" s="115" t="s">
        <v>105</v>
      </c>
      <c r="HC22" s="115" t="s">
        <v>106</v>
      </c>
      <c r="HD22" s="115" t="s">
        <v>107</v>
      </c>
      <c r="HE22" s="115" t="s">
        <v>108</v>
      </c>
      <c r="HF22" s="115" t="s">
        <v>163</v>
      </c>
      <c r="HH22" s="115" t="s">
        <v>164</v>
      </c>
      <c r="HI22" s="115" t="s">
        <v>101</v>
      </c>
      <c r="HJ22" s="115" t="s">
        <v>102</v>
      </c>
      <c r="HK22" s="115" t="s">
        <v>103</v>
      </c>
      <c r="HL22" s="115" t="s">
        <v>104</v>
      </c>
      <c r="HM22" s="115" t="s">
        <v>105</v>
      </c>
      <c r="HN22" s="115" t="s">
        <v>106</v>
      </c>
      <c r="HO22" s="115" t="s">
        <v>107</v>
      </c>
      <c r="HP22" s="115" t="s">
        <v>108</v>
      </c>
      <c r="HQ22" s="115" t="s">
        <v>163</v>
      </c>
      <c r="HS22" s="115" t="s">
        <v>164</v>
      </c>
      <c r="HT22" s="115" t="s">
        <v>101</v>
      </c>
      <c r="HU22" s="115" t="s">
        <v>102</v>
      </c>
      <c r="HV22" s="115" t="s">
        <v>103</v>
      </c>
      <c r="HW22" s="115" t="s">
        <v>104</v>
      </c>
      <c r="HX22" s="115" t="s">
        <v>105</v>
      </c>
      <c r="HY22" s="115" t="s">
        <v>106</v>
      </c>
      <c r="HZ22" s="115" t="s">
        <v>107</v>
      </c>
      <c r="IA22" s="115" t="s">
        <v>108</v>
      </c>
      <c r="IB22" s="115" t="s">
        <v>163</v>
      </c>
      <c r="ID22" s="115" t="s">
        <v>164</v>
      </c>
      <c r="IE22" s="115" t="s">
        <v>101</v>
      </c>
      <c r="IF22" s="115" t="s">
        <v>102</v>
      </c>
      <c r="IG22" s="115" t="s">
        <v>103</v>
      </c>
      <c r="IH22" s="115" t="s">
        <v>104</v>
      </c>
      <c r="II22" s="115" t="s">
        <v>105</v>
      </c>
      <c r="IJ22" s="115" t="s">
        <v>104</v>
      </c>
      <c r="IK22" s="115" t="s">
        <v>105</v>
      </c>
      <c r="IL22" s="115" t="s">
        <v>106</v>
      </c>
      <c r="IM22" s="115" t="s">
        <v>107</v>
      </c>
      <c r="IN22" s="115" t="s">
        <v>108</v>
      </c>
      <c r="IO22" s="115" t="s">
        <v>163</v>
      </c>
      <c r="IP22" s="115"/>
      <c r="IQ22" s="115" t="s">
        <v>164</v>
      </c>
      <c r="IR22" s="115" t="s">
        <v>101</v>
      </c>
      <c r="IS22" s="115" t="s">
        <v>102</v>
      </c>
      <c r="IT22" s="115" t="s">
        <v>103</v>
      </c>
      <c r="IU22" s="115" t="s">
        <v>104</v>
      </c>
      <c r="IV22" s="115" t="s">
        <v>105</v>
      </c>
      <c r="IW22" s="115" t="s">
        <v>104</v>
      </c>
      <c r="IX22" s="115" t="s">
        <v>105</v>
      </c>
      <c r="IY22" s="115" t="s">
        <v>106</v>
      </c>
      <c r="IZ22" s="115" t="s">
        <v>107</v>
      </c>
      <c r="JA22" s="115" t="s">
        <v>108</v>
      </c>
      <c r="JB22" s="115" t="s">
        <v>163</v>
      </c>
      <c r="JC22" s="115"/>
      <c r="JI22" s="115" t="s">
        <v>164</v>
      </c>
      <c r="JJ22" s="115" t="s">
        <v>101</v>
      </c>
      <c r="JK22" s="115" t="s">
        <v>102</v>
      </c>
      <c r="JL22" s="115" t="s">
        <v>103</v>
      </c>
      <c r="JM22" s="115" t="s">
        <v>104</v>
      </c>
      <c r="JN22" s="115" t="s">
        <v>105</v>
      </c>
      <c r="JO22" s="115" t="s">
        <v>106</v>
      </c>
      <c r="JP22" s="115" t="s">
        <v>107</v>
      </c>
      <c r="JQ22" s="115" t="s">
        <v>108</v>
      </c>
      <c r="JR22" s="115" t="s">
        <v>163</v>
      </c>
      <c r="JT22" s="115" t="s">
        <v>164</v>
      </c>
      <c r="JU22" s="115" t="s">
        <v>101</v>
      </c>
      <c r="JV22" s="115" t="s">
        <v>102</v>
      </c>
      <c r="JW22" s="115" t="s">
        <v>103</v>
      </c>
      <c r="JX22" s="115" t="s">
        <v>104</v>
      </c>
      <c r="JY22" s="115" t="s">
        <v>105</v>
      </c>
      <c r="JZ22" s="115" t="s">
        <v>106</v>
      </c>
      <c r="KA22" s="115" t="s">
        <v>107</v>
      </c>
      <c r="KB22" s="115" t="s">
        <v>108</v>
      </c>
      <c r="KC22" s="115" t="s">
        <v>163</v>
      </c>
      <c r="KE22" s="115" t="s">
        <v>164</v>
      </c>
      <c r="KF22" s="115" t="s">
        <v>101</v>
      </c>
      <c r="KG22" s="115" t="s">
        <v>102</v>
      </c>
      <c r="KH22" s="115" t="s">
        <v>103</v>
      </c>
      <c r="KI22" s="115" t="s">
        <v>104</v>
      </c>
      <c r="KJ22" s="115" t="s">
        <v>105</v>
      </c>
      <c r="KK22" s="115" t="s">
        <v>106</v>
      </c>
      <c r="KL22" s="115" t="s">
        <v>107</v>
      </c>
      <c r="KM22" s="115" t="s">
        <v>108</v>
      </c>
      <c r="KN22" s="115" t="s">
        <v>163</v>
      </c>
      <c r="KP22" s="115" t="s">
        <v>164</v>
      </c>
      <c r="KQ22" s="115" t="s">
        <v>101</v>
      </c>
      <c r="KR22" s="115" t="s">
        <v>102</v>
      </c>
      <c r="KS22" s="115" t="s">
        <v>103</v>
      </c>
      <c r="KT22" s="115" t="s">
        <v>104</v>
      </c>
      <c r="KU22" s="115" t="s">
        <v>105</v>
      </c>
      <c r="KV22" s="115" t="s">
        <v>104</v>
      </c>
      <c r="KW22" s="115" t="s">
        <v>105</v>
      </c>
      <c r="KX22" s="115" t="s">
        <v>106</v>
      </c>
      <c r="KY22" s="115" t="s">
        <v>107</v>
      </c>
      <c r="KZ22" s="115" t="s">
        <v>108</v>
      </c>
      <c r="LA22" s="115" t="s">
        <v>163</v>
      </c>
      <c r="LB22" s="115"/>
      <c r="LC22" s="115" t="s">
        <v>164</v>
      </c>
      <c r="LD22" s="115" t="s">
        <v>101</v>
      </c>
      <c r="LE22" s="115" t="s">
        <v>102</v>
      </c>
      <c r="LF22" s="115" t="s">
        <v>103</v>
      </c>
      <c r="LG22" s="115" t="s">
        <v>104</v>
      </c>
      <c r="LH22" s="115" t="s">
        <v>105</v>
      </c>
      <c r="LI22" s="115" t="s">
        <v>104</v>
      </c>
      <c r="LJ22" s="115" t="s">
        <v>105</v>
      </c>
      <c r="LK22" s="115" t="s">
        <v>106</v>
      </c>
      <c r="LL22" s="115" t="s">
        <v>107</v>
      </c>
      <c r="LM22" s="115" t="s">
        <v>108</v>
      </c>
      <c r="LN22" s="115" t="s">
        <v>163</v>
      </c>
    </row>
    <row r="23" spans="1:330" ht="10.25" customHeight="1" x14ac:dyDescent="0.35"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115"/>
      <c r="BS23" s="115"/>
      <c r="BT23" s="115"/>
      <c r="BU23" s="115"/>
      <c r="DC23" s="115"/>
      <c r="DD23" s="115"/>
      <c r="DE23" s="115"/>
      <c r="DF23" s="115"/>
      <c r="DG23" s="115"/>
      <c r="DH23" s="115"/>
      <c r="DI23" s="115"/>
      <c r="DJ23" s="115"/>
      <c r="DK23" s="115"/>
      <c r="DL23" s="115"/>
      <c r="DM23" s="115"/>
      <c r="DN23" s="115"/>
      <c r="DO23" s="115"/>
      <c r="DP23" s="115"/>
      <c r="DQ23" s="115"/>
      <c r="DR23" s="115"/>
      <c r="DS23" s="115"/>
      <c r="DT23" s="115"/>
      <c r="DU23" s="115"/>
      <c r="DV23" s="115"/>
      <c r="DW23" s="115"/>
      <c r="DX23" s="115"/>
      <c r="DY23" s="115"/>
      <c r="DZ23" s="115"/>
      <c r="EA23" s="115"/>
      <c r="EB23" s="115"/>
      <c r="EC23" s="115"/>
      <c r="ED23" s="115"/>
      <c r="EE23" s="115"/>
      <c r="FQ23" s="115"/>
      <c r="FR23" s="115"/>
      <c r="FS23" s="115"/>
      <c r="FT23" s="115"/>
      <c r="FU23" s="115"/>
      <c r="FV23" s="115"/>
      <c r="FW23" s="115"/>
      <c r="FX23" s="115"/>
      <c r="FY23" s="115"/>
      <c r="FZ23" s="115"/>
      <c r="GA23" s="115"/>
      <c r="GB23" s="115"/>
      <c r="GC23" s="115"/>
      <c r="GD23" s="115"/>
      <c r="GE23" s="115"/>
      <c r="GF23" s="115"/>
      <c r="GG23" s="115"/>
      <c r="GH23" s="115"/>
      <c r="GI23" s="115"/>
      <c r="GJ23" s="115"/>
      <c r="GK23" s="115"/>
      <c r="GL23" s="115"/>
      <c r="GM23" s="115"/>
      <c r="GN23" s="115"/>
      <c r="GO23" s="115"/>
      <c r="GQ23" s="115"/>
      <c r="GR23" s="115"/>
      <c r="ID23" s="115"/>
      <c r="IE23" s="115"/>
      <c r="IF23" s="115"/>
      <c r="IG23" s="115"/>
      <c r="IH23" s="115"/>
      <c r="II23" s="115"/>
      <c r="IJ23" s="115"/>
      <c r="IK23" s="115"/>
      <c r="IL23" s="115"/>
      <c r="IM23" s="115"/>
      <c r="IN23" s="115"/>
      <c r="IO23" s="115"/>
      <c r="IP23" s="115"/>
      <c r="IQ23" s="115"/>
      <c r="IR23" s="115"/>
      <c r="IS23" s="115"/>
      <c r="IT23" s="115"/>
      <c r="IU23" s="115"/>
      <c r="IV23" s="115"/>
      <c r="IW23" s="115"/>
      <c r="IX23" s="115"/>
      <c r="IY23" s="115"/>
      <c r="IZ23" s="115"/>
      <c r="JA23" s="115"/>
      <c r="JB23" s="115"/>
      <c r="JC23" s="115"/>
      <c r="KP23" s="115"/>
      <c r="KQ23" s="115"/>
      <c r="KR23" s="115"/>
      <c r="KS23" s="115"/>
      <c r="KT23" s="115"/>
      <c r="KU23" s="115"/>
      <c r="KV23" s="115"/>
      <c r="KW23" s="115"/>
      <c r="KX23" s="115"/>
      <c r="KY23" s="115"/>
      <c r="KZ23" s="115"/>
      <c r="LA23" s="115"/>
      <c r="LB23" s="115"/>
      <c r="LC23" s="115"/>
      <c r="LD23" s="115"/>
      <c r="LE23" s="115"/>
      <c r="LF23" s="115"/>
      <c r="LG23" s="115"/>
      <c r="LH23" s="115"/>
      <c r="LI23" s="115"/>
      <c r="LJ23" s="115"/>
      <c r="LK23" s="115"/>
      <c r="LL23" s="115"/>
      <c r="LM23" s="115"/>
      <c r="LN23" s="115"/>
    </row>
    <row r="24" spans="1:330" ht="5" customHeight="1" x14ac:dyDescent="0.35">
      <c r="A24" s="243"/>
      <c r="B24" s="245"/>
      <c r="C24" s="116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243"/>
      <c r="BW24" s="243"/>
      <c r="BX24" s="243"/>
      <c r="BY24" s="243"/>
      <c r="BZ24" s="243"/>
      <c r="CA24" s="243"/>
      <c r="CB24" s="243"/>
      <c r="CC24" s="243"/>
      <c r="CD24" s="243"/>
      <c r="CE24" s="243"/>
      <c r="CF24" s="243"/>
      <c r="CG24" s="243"/>
      <c r="CH24" s="243"/>
      <c r="CI24" s="243"/>
      <c r="CJ24" s="243"/>
      <c r="CK24" s="243"/>
      <c r="CL24" s="243"/>
      <c r="CM24" s="243"/>
      <c r="CN24" s="243"/>
      <c r="CO24" s="243"/>
      <c r="CP24" s="243"/>
      <c r="CQ24" s="243"/>
      <c r="CR24" s="243"/>
      <c r="CS24" s="243"/>
      <c r="CT24" s="243"/>
      <c r="CU24" s="243"/>
      <c r="CV24" s="243"/>
      <c r="CW24" s="243"/>
      <c r="CX24" s="243"/>
      <c r="CY24" s="243"/>
      <c r="CZ24" s="243"/>
      <c r="DA24" s="243"/>
      <c r="DB24" s="243"/>
      <c r="DC24" s="117"/>
      <c r="DD24" s="117"/>
      <c r="DE24" s="117"/>
      <c r="DF24" s="117"/>
      <c r="DG24" s="117"/>
      <c r="DH24" s="117"/>
      <c r="DI24" s="117"/>
      <c r="DJ24" s="117"/>
      <c r="DK24" s="117"/>
      <c r="DL24" s="117"/>
      <c r="DM24" s="117"/>
      <c r="DN24" s="117"/>
      <c r="DO24" s="117"/>
      <c r="DP24" s="117"/>
      <c r="DQ24" s="117"/>
      <c r="DR24" s="117"/>
      <c r="DS24" s="117"/>
      <c r="DT24" s="117"/>
      <c r="DU24" s="117"/>
      <c r="DV24" s="117"/>
      <c r="DW24" s="117"/>
      <c r="DX24" s="117"/>
      <c r="DY24" s="117"/>
      <c r="DZ24" s="117"/>
      <c r="EA24" s="117"/>
      <c r="EB24" s="117"/>
      <c r="EC24" s="117"/>
      <c r="ED24" s="117"/>
      <c r="EE24" s="117"/>
      <c r="EF24" s="117"/>
      <c r="EG24" s="117"/>
      <c r="EH24" s="117"/>
      <c r="EI24" s="117"/>
      <c r="EJ24" s="243"/>
      <c r="EK24" s="243"/>
      <c r="EL24" s="243"/>
      <c r="EM24" s="243"/>
      <c r="EN24" s="243"/>
      <c r="EO24" s="243"/>
      <c r="EP24" s="243"/>
      <c r="EQ24" s="243"/>
      <c r="ER24" s="243"/>
      <c r="ES24" s="243"/>
      <c r="ET24" s="243"/>
      <c r="EU24" s="243"/>
      <c r="EV24" s="243"/>
      <c r="EW24" s="243"/>
      <c r="EX24" s="243"/>
      <c r="EY24" s="243"/>
      <c r="EZ24" s="243"/>
      <c r="FA24" s="243"/>
      <c r="FB24" s="243"/>
      <c r="FC24" s="243"/>
      <c r="FD24" s="243"/>
      <c r="FE24" s="243"/>
      <c r="FF24" s="243"/>
      <c r="FG24" s="243"/>
      <c r="FH24" s="243"/>
      <c r="FI24" s="243"/>
      <c r="FJ24" s="243"/>
      <c r="FK24" s="243"/>
      <c r="FL24" s="243"/>
      <c r="FM24" s="243"/>
      <c r="FN24" s="243"/>
      <c r="FO24" s="243"/>
      <c r="FP24" s="243"/>
      <c r="FQ24" s="117"/>
      <c r="FR24" s="117"/>
      <c r="FS24" s="117"/>
      <c r="FT24" s="117"/>
      <c r="FU24" s="117"/>
      <c r="FV24" s="117"/>
      <c r="FW24" s="117"/>
      <c r="FX24" s="117"/>
      <c r="FY24" s="117"/>
      <c r="FZ24" s="117"/>
      <c r="GA24" s="117"/>
      <c r="GB24" s="117"/>
      <c r="GC24" s="117"/>
      <c r="GD24" s="117"/>
      <c r="GE24" s="117"/>
      <c r="GF24" s="117"/>
      <c r="GG24" s="117"/>
      <c r="GH24" s="117"/>
      <c r="GI24" s="117"/>
      <c r="GJ24" s="117"/>
      <c r="GK24" s="117"/>
      <c r="GL24" s="117"/>
      <c r="GM24" s="117"/>
      <c r="GN24" s="117"/>
      <c r="GO24" s="117"/>
      <c r="GP24" s="117"/>
      <c r="GQ24" s="117"/>
      <c r="GR24" s="117"/>
      <c r="GS24" s="117"/>
      <c r="GT24" s="117"/>
      <c r="GU24" s="117"/>
      <c r="GV24" s="117"/>
      <c r="GW24" s="243"/>
      <c r="GX24" s="243"/>
      <c r="GY24" s="243"/>
      <c r="GZ24" s="243"/>
      <c r="HA24" s="243"/>
      <c r="HB24" s="243"/>
      <c r="HC24" s="243"/>
      <c r="HD24" s="243"/>
      <c r="HE24" s="243"/>
      <c r="HF24" s="243"/>
      <c r="HG24" s="243"/>
      <c r="HH24" s="243"/>
      <c r="HI24" s="243"/>
      <c r="HJ24" s="243"/>
      <c r="HK24" s="243"/>
      <c r="HL24" s="243"/>
      <c r="HM24" s="243"/>
      <c r="HN24" s="243"/>
      <c r="HO24" s="243"/>
      <c r="HP24" s="243"/>
      <c r="HQ24" s="243"/>
      <c r="HR24" s="243"/>
      <c r="HS24" s="243"/>
      <c r="HT24" s="243"/>
      <c r="HU24" s="243"/>
      <c r="HV24" s="243"/>
      <c r="HW24" s="243"/>
      <c r="HX24" s="243"/>
      <c r="HY24" s="243"/>
      <c r="HZ24" s="243"/>
      <c r="IA24" s="243"/>
      <c r="IB24" s="243"/>
      <c r="IC24" s="243"/>
      <c r="ID24" s="117"/>
      <c r="IE24" s="117"/>
      <c r="IF24" s="117"/>
      <c r="IG24" s="117"/>
      <c r="IH24" s="117"/>
      <c r="II24" s="117"/>
      <c r="IJ24" s="117"/>
      <c r="IK24" s="117"/>
      <c r="IL24" s="117"/>
      <c r="IM24" s="117"/>
      <c r="IN24" s="117"/>
      <c r="IO24" s="117"/>
      <c r="IP24" s="117"/>
      <c r="IQ24" s="117"/>
      <c r="IR24" s="117"/>
      <c r="IS24" s="117"/>
      <c r="IT24" s="117"/>
      <c r="IU24" s="117"/>
      <c r="IV24" s="117"/>
      <c r="IW24" s="117"/>
      <c r="IX24" s="117"/>
      <c r="IY24" s="117"/>
      <c r="IZ24" s="117"/>
      <c r="JA24" s="117"/>
      <c r="JB24" s="117"/>
      <c r="JC24" s="117"/>
      <c r="JD24" s="117"/>
      <c r="JE24" s="117"/>
      <c r="JF24" s="117"/>
      <c r="JG24" s="117"/>
      <c r="JH24" s="117"/>
      <c r="JI24" s="243"/>
      <c r="JJ24" s="243"/>
      <c r="JK24" s="243"/>
      <c r="JL24" s="243"/>
      <c r="JM24" s="243"/>
      <c r="JN24" s="243"/>
      <c r="JO24" s="243"/>
      <c r="JP24" s="243"/>
      <c r="JQ24" s="243"/>
      <c r="JR24" s="243"/>
      <c r="JS24" s="243"/>
      <c r="JT24" s="243"/>
      <c r="JU24" s="243"/>
      <c r="JV24" s="243"/>
      <c r="JW24" s="243"/>
      <c r="JX24" s="243"/>
      <c r="JY24" s="243"/>
      <c r="JZ24" s="243"/>
      <c r="KA24" s="243"/>
      <c r="KB24" s="243"/>
      <c r="KC24" s="243"/>
      <c r="KD24" s="243"/>
      <c r="KE24" s="243"/>
      <c r="KF24" s="243"/>
      <c r="KG24" s="243"/>
      <c r="KH24" s="243"/>
      <c r="KI24" s="243"/>
      <c r="KJ24" s="243"/>
      <c r="KK24" s="243"/>
      <c r="KL24" s="243"/>
      <c r="KM24" s="243"/>
      <c r="KN24" s="243"/>
      <c r="KO24" s="243"/>
      <c r="KP24" s="117"/>
      <c r="KQ24" s="117"/>
      <c r="KR24" s="117"/>
      <c r="KS24" s="117"/>
      <c r="KT24" s="117"/>
      <c r="KU24" s="117"/>
      <c r="KV24" s="117"/>
      <c r="KW24" s="117"/>
      <c r="KX24" s="117"/>
      <c r="KY24" s="117"/>
      <c r="KZ24" s="117"/>
      <c r="LA24" s="117"/>
      <c r="LB24" s="117"/>
      <c r="LC24" s="117"/>
      <c r="LD24" s="117"/>
      <c r="LE24" s="117"/>
      <c r="LF24" s="117"/>
      <c r="LG24" s="117"/>
      <c r="LH24" s="117"/>
      <c r="LI24" s="117"/>
      <c r="LJ24" s="117"/>
      <c r="LK24" s="117"/>
      <c r="LL24" s="117"/>
      <c r="LM24" s="117"/>
      <c r="LN24" s="117"/>
      <c r="LO24" s="117"/>
    </row>
  </sheetData>
  <mergeCells count="196">
    <mergeCell ref="BG20:BH20"/>
    <mergeCell ref="BG21:BH21"/>
    <mergeCell ref="AT14:AU14"/>
    <mergeCell ref="B3:LO3"/>
    <mergeCell ref="AT19:AU19"/>
    <mergeCell ref="AT20:AU20"/>
    <mergeCell ref="AT21:AU21"/>
    <mergeCell ref="DG19:DH19"/>
    <mergeCell ref="DT19:DU19"/>
    <mergeCell ref="BG13:BH13"/>
    <mergeCell ref="AT10:AU10"/>
    <mergeCell ref="AT11:AU11"/>
    <mergeCell ref="AT12:AU12"/>
    <mergeCell ref="AT13:AU13"/>
    <mergeCell ref="AQ8:AZ8"/>
    <mergeCell ref="AQ9:AZ9"/>
    <mergeCell ref="DG10:DH10"/>
    <mergeCell ref="DT10:DU10"/>
    <mergeCell ref="DG11:DH11"/>
    <mergeCell ref="DT11:DU11"/>
    <mergeCell ref="DG12:DH12"/>
    <mergeCell ref="AP6:BA6"/>
    <mergeCell ref="BC6:BN6"/>
    <mergeCell ref="BD8:BM8"/>
    <mergeCell ref="DG20:DH20"/>
    <mergeCell ref="DT20:DU20"/>
    <mergeCell ref="DG21:DH21"/>
    <mergeCell ref="DT21:DU21"/>
    <mergeCell ref="BD9:BM9"/>
    <mergeCell ref="BG10:BH10"/>
    <mergeCell ref="BG11:BH11"/>
    <mergeCell ref="BG12:BH12"/>
    <mergeCell ref="AT15:AU15"/>
    <mergeCell ref="AT16:AU16"/>
    <mergeCell ref="AT17:AU17"/>
    <mergeCell ref="AT18:AU18"/>
    <mergeCell ref="BG15:BH15"/>
    <mergeCell ref="BG16:BH16"/>
    <mergeCell ref="BG17:BH17"/>
    <mergeCell ref="DG16:DH16"/>
    <mergeCell ref="DT16:DU16"/>
    <mergeCell ref="DG17:DH17"/>
    <mergeCell ref="BG18:BH18"/>
    <mergeCell ref="BG14:BH14"/>
    <mergeCell ref="BG19:BH19"/>
    <mergeCell ref="DT17:DU17"/>
    <mergeCell ref="DG18:DH18"/>
    <mergeCell ref="DT18:DU18"/>
    <mergeCell ref="AC6:AN6"/>
    <mergeCell ref="AD8:AM8"/>
    <mergeCell ref="AD9:AM9"/>
    <mergeCell ref="G6:P6"/>
    <mergeCell ref="R6:AA6"/>
    <mergeCell ref="H8:O8"/>
    <mergeCell ref="S8:Z8"/>
    <mergeCell ref="H9:O9"/>
    <mergeCell ref="S9:Z9"/>
    <mergeCell ref="BV6:CE6"/>
    <mergeCell ref="CG6:CP6"/>
    <mergeCell ref="CR6:DA6"/>
    <mergeCell ref="DC6:DN6"/>
    <mergeCell ref="DP6:EA6"/>
    <mergeCell ref="BW8:CD8"/>
    <mergeCell ref="CH8:CO8"/>
    <mergeCell ref="CS8:CZ8"/>
    <mergeCell ref="DD8:DM8"/>
    <mergeCell ref="DQ8:DZ8"/>
    <mergeCell ref="BW9:CD9"/>
    <mergeCell ref="CH9:CO9"/>
    <mergeCell ref="CS9:CZ9"/>
    <mergeCell ref="DD9:DM9"/>
    <mergeCell ref="DQ9:DZ9"/>
    <mergeCell ref="DT12:DU12"/>
    <mergeCell ref="DG13:DH13"/>
    <mergeCell ref="DT13:DU13"/>
    <mergeCell ref="FU10:FV10"/>
    <mergeCell ref="EK9:ER9"/>
    <mergeCell ref="EV9:FC9"/>
    <mergeCell ref="FG9:FN9"/>
    <mergeCell ref="FR9:GA9"/>
    <mergeCell ref="GH10:GI10"/>
    <mergeCell ref="FU11:FV11"/>
    <mergeCell ref="GH11:GI11"/>
    <mergeCell ref="FU12:FV12"/>
    <mergeCell ref="GH12:GI12"/>
    <mergeCell ref="DG14:DH14"/>
    <mergeCell ref="DT14:DU14"/>
    <mergeCell ref="DG15:DH15"/>
    <mergeCell ref="DT15:DU15"/>
    <mergeCell ref="FU18:FV18"/>
    <mergeCell ref="GH18:GI18"/>
    <mergeCell ref="FU19:FV19"/>
    <mergeCell ref="GH19:GI19"/>
    <mergeCell ref="FU20:FV20"/>
    <mergeCell ref="GH20:GI20"/>
    <mergeCell ref="FU21:FV21"/>
    <mergeCell ref="GH21:GI21"/>
    <mergeCell ref="FU13:FV13"/>
    <mergeCell ref="GH13:GI13"/>
    <mergeCell ref="FU14:FV14"/>
    <mergeCell ref="GH14:GI14"/>
    <mergeCell ref="FU15:FV15"/>
    <mergeCell ref="GH15:GI15"/>
    <mergeCell ref="FU16:FV16"/>
    <mergeCell ref="GH16:GI16"/>
    <mergeCell ref="FU17:FV17"/>
    <mergeCell ref="GH17:GI17"/>
    <mergeCell ref="GE9:GN9"/>
    <mergeCell ref="GW6:HF6"/>
    <mergeCell ref="HH6:HQ6"/>
    <mergeCell ref="GX8:HE8"/>
    <mergeCell ref="HI8:HP8"/>
    <mergeCell ref="GX9:HE9"/>
    <mergeCell ref="HI9:HP9"/>
    <mergeCell ref="EJ6:ES6"/>
    <mergeCell ref="EU6:FD6"/>
    <mergeCell ref="FF6:FO6"/>
    <mergeCell ref="FQ6:GB6"/>
    <mergeCell ref="GD6:GO6"/>
    <mergeCell ref="EK8:ER8"/>
    <mergeCell ref="EV8:FC8"/>
    <mergeCell ref="FG8:FN8"/>
    <mergeCell ref="FR8:GA8"/>
    <mergeCell ref="GE8:GN8"/>
    <mergeCell ref="IH20:II20"/>
    <mergeCell ref="IU20:IV20"/>
    <mergeCell ref="IH21:II21"/>
    <mergeCell ref="IU21:IV21"/>
    <mergeCell ref="IH14:II14"/>
    <mergeCell ref="IU14:IV14"/>
    <mergeCell ref="IH15:II15"/>
    <mergeCell ref="IU15:IV15"/>
    <mergeCell ref="IH16:II16"/>
    <mergeCell ref="IU16:IV16"/>
    <mergeCell ref="IH17:II17"/>
    <mergeCell ref="IU17:IV17"/>
    <mergeCell ref="IH18:II18"/>
    <mergeCell ref="IU18:IV18"/>
    <mergeCell ref="IH19:II19"/>
    <mergeCell ref="IU19:IV19"/>
    <mergeCell ref="IH13:II13"/>
    <mergeCell ref="IU13:IV13"/>
    <mergeCell ref="HS6:IB6"/>
    <mergeCell ref="ID6:IO6"/>
    <mergeCell ref="IQ6:JB6"/>
    <mergeCell ref="HT8:IA8"/>
    <mergeCell ref="IE8:IN8"/>
    <mergeCell ref="IR8:JA8"/>
    <mergeCell ref="KE6:KN6"/>
    <mergeCell ref="KF9:KM9"/>
    <mergeCell ref="JJ9:JQ9"/>
    <mergeCell ref="JU9:KB9"/>
    <mergeCell ref="IH10:II10"/>
    <mergeCell ref="IU10:IV10"/>
    <mergeCell ref="IH11:II11"/>
    <mergeCell ref="IU11:IV11"/>
    <mergeCell ref="IH12:II12"/>
    <mergeCell ref="IU12:IV12"/>
    <mergeCell ref="HT9:IA9"/>
    <mergeCell ref="IE9:IN9"/>
    <mergeCell ref="IR9:JA9"/>
    <mergeCell ref="KP6:LA6"/>
    <mergeCell ref="LC6:LN6"/>
    <mergeCell ref="JJ8:JQ8"/>
    <mergeCell ref="JU8:KB8"/>
    <mergeCell ref="KF8:KM8"/>
    <mergeCell ref="KQ8:KZ8"/>
    <mergeCell ref="LD8:LM8"/>
    <mergeCell ref="JI6:JR6"/>
    <mergeCell ref="JT6:KC6"/>
    <mergeCell ref="KQ9:KZ9"/>
    <mergeCell ref="LD9:LM9"/>
    <mergeCell ref="KT10:KU10"/>
    <mergeCell ref="LG10:LH10"/>
    <mergeCell ref="KT11:KU11"/>
    <mergeCell ref="LG11:LH11"/>
    <mergeCell ref="KT12:KU12"/>
    <mergeCell ref="LG12:LH12"/>
    <mergeCell ref="KT13:KU13"/>
    <mergeCell ref="LG13:LH13"/>
    <mergeCell ref="KT14:KU14"/>
    <mergeCell ref="LG14:LH14"/>
    <mergeCell ref="KT20:KU20"/>
    <mergeCell ref="LG20:LH20"/>
    <mergeCell ref="KT21:KU21"/>
    <mergeCell ref="LG21:LH21"/>
    <mergeCell ref="KT15:KU15"/>
    <mergeCell ref="LG15:LH15"/>
    <mergeCell ref="KT16:KU16"/>
    <mergeCell ref="LG16:LH16"/>
    <mergeCell ref="KT17:KU17"/>
    <mergeCell ref="LG17:LH17"/>
    <mergeCell ref="KT18:KU18"/>
    <mergeCell ref="LG18:LH18"/>
    <mergeCell ref="KT19:KU19"/>
    <mergeCell ref="LG19:LH19"/>
  </mergeCells>
  <phoneticPr fontId="6" type="noConversion"/>
  <pageMargins left="0.511811024" right="0.511811024" top="0.78740157499999996" bottom="0.78740157499999996" header="0.31496062000000002" footer="0.31496062000000002"/>
  <pageSetup paperSize="8" scale="32" fitToHeight="0" orientation="landscape" horizontalDpi="300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E890-1A36-4956-AC6B-26B797E19324}">
  <sheetPr codeName="Planilha17">
    <pageSetUpPr fitToPage="1"/>
  </sheetPr>
  <dimension ref="A1:M26"/>
  <sheetViews>
    <sheetView view="pageBreakPreview" zoomScale="90" zoomScaleNormal="70" zoomScaleSheetLayoutView="90" workbookViewId="0">
      <selection activeCell="P8" sqref="P8"/>
    </sheetView>
  </sheetViews>
  <sheetFormatPr defaultRowHeight="14.5" x14ac:dyDescent="0.35"/>
  <cols>
    <col min="1" max="1" width="13.90625" customWidth="1"/>
    <col min="2" max="2" width="9.453125" customWidth="1"/>
    <col min="10" max="10" width="9.90625" customWidth="1"/>
    <col min="11" max="11" width="29.81640625" customWidth="1"/>
    <col min="12" max="12" width="11.36328125" customWidth="1"/>
  </cols>
  <sheetData>
    <row r="1" spans="1:13" x14ac:dyDescent="0.35">
      <c r="A1" s="388"/>
      <c r="B1" s="389"/>
      <c r="C1" s="392" t="s">
        <v>145</v>
      </c>
      <c r="D1" s="392"/>
      <c r="E1" s="392"/>
      <c r="F1" s="392"/>
      <c r="G1" s="392"/>
      <c r="H1" s="392"/>
      <c r="I1" s="392"/>
      <c r="J1" s="392"/>
      <c r="K1" s="392"/>
      <c r="L1" s="392"/>
      <c r="M1" s="393"/>
    </row>
    <row r="2" spans="1:13" x14ac:dyDescent="0.35">
      <c r="A2" s="390"/>
      <c r="B2" s="391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5"/>
    </row>
    <row r="3" spans="1:13" x14ac:dyDescent="0.35">
      <c r="A3" s="390"/>
      <c r="B3" s="391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5"/>
    </row>
    <row r="4" spans="1:13" x14ac:dyDescent="0.35">
      <c r="A4" s="289"/>
      <c r="B4" s="290" t="s">
        <v>124</v>
      </c>
      <c r="C4" s="291"/>
      <c r="D4" s="291"/>
      <c r="F4" s="290" t="s">
        <v>125</v>
      </c>
      <c r="G4" s="291"/>
      <c r="H4" s="291"/>
      <c r="J4" s="290" t="s">
        <v>126</v>
      </c>
      <c r="K4" s="291"/>
      <c r="M4" s="292"/>
    </row>
    <row r="5" spans="1:13" ht="15" thickBot="1" x14ac:dyDescent="0.4">
      <c r="A5" s="289"/>
      <c r="M5" s="292"/>
    </row>
    <row r="6" spans="1:13" ht="21" x14ac:dyDescent="0.35">
      <c r="A6" s="293" t="s">
        <v>122</v>
      </c>
      <c r="B6" s="294" t="s">
        <v>127</v>
      </c>
      <c r="C6" s="294" t="s">
        <v>128</v>
      </c>
      <c r="D6" s="294" t="s">
        <v>129</v>
      </c>
      <c r="E6" s="294" t="s">
        <v>130</v>
      </c>
      <c r="F6" s="294" t="s">
        <v>131</v>
      </c>
      <c r="G6" s="294" t="s">
        <v>132</v>
      </c>
      <c r="H6" s="294" t="s">
        <v>133</v>
      </c>
      <c r="I6" s="294" t="s">
        <v>134</v>
      </c>
      <c r="J6" s="294" t="s">
        <v>135</v>
      </c>
      <c r="K6" s="294" t="s">
        <v>136</v>
      </c>
      <c r="L6" s="295" t="s">
        <v>137</v>
      </c>
      <c r="M6" s="296" t="s">
        <v>138</v>
      </c>
    </row>
    <row r="7" spans="1:13" ht="23.4" customHeight="1" x14ac:dyDescent="0.35">
      <c r="A7" s="297"/>
      <c r="B7" s="298" t="s">
        <v>139</v>
      </c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99"/>
    </row>
    <row r="8" spans="1:13" ht="23.4" customHeight="1" x14ac:dyDescent="0.35">
      <c r="A8" s="297"/>
      <c r="B8" s="298" t="s">
        <v>140</v>
      </c>
      <c r="C8" s="288"/>
      <c r="D8" s="288"/>
      <c r="E8" s="288"/>
      <c r="F8" s="288"/>
      <c r="G8" s="288"/>
      <c r="H8" s="288"/>
      <c r="I8" s="288"/>
      <c r="J8" s="288"/>
      <c r="K8" s="288"/>
      <c r="L8" s="288"/>
      <c r="M8" s="299"/>
    </row>
    <row r="9" spans="1:13" ht="23.4" customHeight="1" x14ac:dyDescent="0.35">
      <c r="A9" s="297"/>
      <c r="B9" s="298" t="s">
        <v>77</v>
      </c>
      <c r="C9" s="288"/>
      <c r="D9" s="288"/>
      <c r="E9" s="288"/>
      <c r="F9" s="288"/>
      <c r="G9" s="288"/>
      <c r="H9" s="288"/>
      <c r="I9" s="288"/>
      <c r="J9" s="288"/>
      <c r="K9" s="288"/>
      <c r="L9" s="288"/>
      <c r="M9" s="299"/>
    </row>
    <row r="10" spans="1:13" ht="23.4" customHeight="1" x14ac:dyDescent="0.35">
      <c r="A10" s="297"/>
      <c r="B10" s="298" t="s">
        <v>78</v>
      </c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99"/>
    </row>
    <row r="11" spans="1:13" ht="23.4" customHeight="1" x14ac:dyDescent="0.35">
      <c r="A11" s="297"/>
      <c r="B11" s="298" t="s">
        <v>79</v>
      </c>
      <c r="C11" s="288"/>
      <c r="D11" s="288"/>
      <c r="E11" s="288"/>
      <c r="F11" s="288"/>
      <c r="G11" s="288"/>
      <c r="H11" s="288"/>
      <c r="I11" s="288"/>
      <c r="J11" s="288"/>
      <c r="K11" s="288"/>
      <c r="L11" s="288"/>
      <c r="M11" s="299"/>
    </row>
    <row r="12" spans="1:13" ht="23.4" customHeight="1" x14ac:dyDescent="0.35">
      <c r="A12" s="297"/>
      <c r="B12" s="298" t="s">
        <v>80</v>
      </c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99"/>
    </row>
    <row r="13" spans="1:13" ht="23.4" customHeight="1" x14ac:dyDescent="0.35">
      <c r="A13" s="297"/>
      <c r="B13" s="298" t="s">
        <v>81</v>
      </c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99"/>
    </row>
    <row r="14" spans="1:13" ht="23.4" customHeight="1" x14ac:dyDescent="0.35">
      <c r="A14" s="297"/>
      <c r="B14" s="298" t="s">
        <v>82</v>
      </c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99"/>
    </row>
    <row r="15" spans="1:13" ht="23.4" customHeight="1" x14ac:dyDescent="0.35">
      <c r="A15" s="297"/>
      <c r="B15" s="298" t="s">
        <v>83</v>
      </c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99"/>
    </row>
    <row r="16" spans="1:13" ht="23.4" customHeight="1" x14ac:dyDescent="0.35">
      <c r="A16" s="297"/>
      <c r="B16" s="298" t="s">
        <v>84</v>
      </c>
      <c r="C16" s="288"/>
      <c r="D16" s="288"/>
      <c r="E16" s="288"/>
      <c r="F16" s="288"/>
      <c r="G16" s="288"/>
      <c r="H16" s="288"/>
      <c r="I16" s="288"/>
      <c r="J16" s="288"/>
      <c r="K16" s="288"/>
      <c r="L16" s="288"/>
      <c r="M16" s="299"/>
    </row>
    <row r="17" spans="1:13" ht="23.4" customHeight="1" x14ac:dyDescent="0.35">
      <c r="A17" s="297"/>
      <c r="B17" s="298" t="s">
        <v>85</v>
      </c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99"/>
    </row>
    <row r="18" spans="1:13" ht="23.4" customHeight="1" x14ac:dyDescent="0.35">
      <c r="A18" s="297"/>
      <c r="B18" s="298" t="s">
        <v>86</v>
      </c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99"/>
    </row>
    <row r="19" spans="1:13" ht="23.4" customHeight="1" x14ac:dyDescent="0.35">
      <c r="A19" s="297"/>
      <c r="B19" s="298" t="s">
        <v>87</v>
      </c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99"/>
    </row>
    <row r="20" spans="1:13" ht="23.4" customHeight="1" x14ac:dyDescent="0.35">
      <c r="A20" s="297"/>
      <c r="B20" s="298" t="s">
        <v>88</v>
      </c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99"/>
    </row>
    <row r="21" spans="1:13" ht="23.4" customHeight="1" thickBot="1" x14ac:dyDescent="0.4">
      <c r="A21" s="300"/>
      <c r="B21" s="301" t="s">
        <v>141</v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3"/>
    </row>
    <row r="22" spans="1:13" ht="15" thickBot="1" x14ac:dyDescent="0.4">
      <c r="A22" s="289"/>
      <c r="B22" s="304"/>
      <c r="M22" s="292"/>
    </row>
    <row r="23" spans="1:13" x14ac:dyDescent="0.35">
      <c r="A23" s="289"/>
      <c r="B23" s="396" t="s">
        <v>142</v>
      </c>
      <c r="C23" s="397"/>
      <c r="M23" s="292"/>
    </row>
    <row r="24" spans="1:13" x14ac:dyDescent="0.35">
      <c r="A24" s="289"/>
      <c r="B24" s="305" t="s">
        <v>123</v>
      </c>
      <c r="C24" s="299"/>
      <c r="M24" s="292"/>
    </row>
    <row r="25" spans="1:13" ht="15" thickBot="1" x14ac:dyDescent="0.4">
      <c r="A25" s="289"/>
      <c r="B25" s="306" t="s">
        <v>143</v>
      </c>
      <c r="C25" s="303"/>
      <c r="F25" s="290" t="s">
        <v>111</v>
      </c>
      <c r="G25" s="291"/>
      <c r="H25" s="290"/>
      <c r="I25" s="304"/>
      <c r="J25" s="290" t="s">
        <v>144</v>
      </c>
      <c r="K25" s="291"/>
      <c r="M25" s="292"/>
    </row>
    <row r="26" spans="1:13" ht="15" thickBot="1" x14ac:dyDescent="0.4">
      <c r="A26" s="307"/>
      <c r="B26" s="308"/>
      <c r="C26" s="308"/>
      <c r="D26" s="308"/>
      <c r="E26" s="308"/>
      <c r="F26" s="308"/>
      <c r="G26" s="308"/>
      <c r="H26" s="308"/>
      <c r="I26" s="308"/>
      <c r="J26" s="308"/>
      <c r="K26" s="308"/>
      <c r="L26" s="308"/>
      <c r="M26" s="309"/>
    </row>
  </sheetData>
  <mergeCells count="3">
    <mergeCell ref="A1:B3"/>
    <mergeCell ref="C1:M3"/>
    <mergeCell ref="B23:C23"/>
  </mergeCells>
  <pageMargins left="0.511811024" right="0.511811024" top="0.78740157499999996" bottom="0.78740157499999996" header="0.31496062000000002" footer="0.31496062000000002"/>
  <pageSetup paperSize="9" scale="92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F2AA-5972-4F9C-A963-466E71B7E198}">
  <sheetPr codeName="Planilha18">
    <pageSetUpPr fitToPage="1"/>
  </sheetPr>
  <dimension ref="A1:M26"/>
  <sheetViews>
    <sheetView view="pageBreakPreview" zoomScale="90" zoomScaleNormal="70" zoomScaleSheetLayoutView="90" workbookViewId="0">
      <selection activeCell="K17" sqref="K17"/>
    </sheetView>
  </sheetViews>
  <sheetFormatPr defaultRowHeight="14.5" x14ac:dyDescent="0.35"/>
  <cols>
    <col min="1" max="1" width="13.90625" customWidth="1"/>
    <col min="2" max="2" width="9.453125" customWidth="1"/>
    <col min="10" max="10" width="9.90625" customWidth="1"/>
    <col min="11" max="11" width="29.81640625" customWidth="1"/>
    <col min="12" max="12" width="11.36328125" customWidth="1"/>
  </cols>
  <sheetData>
    <row r="1" spans="1:13" x14ac:dyDescent="0.35">
      <c r="A1" s="388"/>
      <c r="B1" s="389"/>
      <c r="C1" s="392" t="s">
        <v>145</v>
      </c>
      <c r="D1" s="392"/>
      <c r="E1" s="392"/>
      <c r="F1" s="392"/>
      <c r="G1" s="392"/>
      <c r="H1" s="392"/>
      <c r="I1" s="392"/>
      <c r="J1" s="392"/>
      <c r="K1" s="392"/>
      <c r="L1" s="392"/>
      <c r="M1" s="393"/>
    </row>
    <row r="2" spans="1:13" x14ac:dyDescent="0.35">
      <c r="A2" s="390"/>
      <c r="B2" s="391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5"/>
    </row>
    <row r="3" spans="1:13" x14ac:dyDescent="0.35">
      <c r="A3" s="390"/>
      <c r="B3" s="391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5"/>
    </row>
    <row r="4" spans="1:13" x14ac:dyDescent="0.35">
      <c r="A4" s="289"/>
      <c r="B4" s="290" t="s">
        <v>124</v>
      </c>
      <c r="C4" s="291"/>
      <c r="D4" s="291"/>
      <c r="F4" s="290" t="s">
        <v>125</v>
      </c>
      <c r="G4" s="291"/>
      <c r="H4" s="291"/>
      <c r="J4" s="290" t="s">
        <v>126</v>
      </c>
      <c r="K4" s="291"/>
      <c r="M4" s="292"/>
    </row>
    <row r="5" spans="1:13" ht="15" thickBot="1" x14ac:dyDescent="0.4">
      <c r="A5" s="289"/>
      <c r="M5" s="292"/>
    </row>
    <row r="6" spans="1:13" ht="21" x14ac:dyDescent="0.35">
      <c r="A6" s="293" t="s">
        <v>122</v>
      </c>
      <c r="B6" s="294" t="s">
        <v>127</v>
      </c>
      <c r="C6" s="294" t="s">
        <v>128</v>
      </c>
      <c r="D6" s="294" t="s">
        <v>129</v>
      </c>
      <c r="E6" s="294" t="s">
        <v>130</v>
      </c>
      <c r="F6" s="294" t="s">
        <v>131</v>
      </c>
      <c r="G6" s="294" t="s">
        <v>132</v>
      </c>
      <c r="H6" s="294" t="s">
        <v>133</v>
      </c>
      <c r="I6" s="294" t="s">
        <v>134</v>
      </c>
      <c r="J6" s="294" t="s">
        <v>135</v>
      </c>
      <c r="K6" s="294" t="s">
        <v>136</v>
      </c>
      <c r="L6" s="295" t="s">
        <v>137</v>
      </c>
      <c r="M6" s="296" t="s">
        <v>138</v>
      </c>
    </row>
    <row r="7" spans="1:13" ht="23.4" customHeight="1" x14ac:dyDescent="0.35">
      <c r="A7" s="297"/>
      <c r="B7" s="298" t="s">
        <v>139</v>
      </c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99"/>
    </row>
    <row r="8" spans="1:13" ht="23.4" customHeight="1" x14ac:dyDescent="0.35">
      <c r="A8" s="297"/>
      <c r="B8" s="298" t="s">
        <v>140</v>
      </c>
      <c r="C8" s="288"/>
      <c r="D8" s="288"/>
      <c r="E8" s="288"/>
      <c r="F8" s="288"/>
      <c r="G8" s="288"/>
      <c r="H8" s="288"/>
      <c r="I8" s="288"/>
      <c r="J8" s="288"/>
      <c r="K8" s="288"/>
      <c r="L8" s="288"/>
      <c r="M8" s="299"/>
    </row>
    <row r="9" spans="1:13" ht="23.4" customHeight="1" x14ac:dyDescent="0.35">
      <c r="A9" s="297"/>
      <c r="B9" s="298" t="s">
        <v>77</v>
      </c>
      <c r="C9" s="288"/>
      <c r="D9" s="288"/>
      <c r="E9" s="288"/>
      <c r="F9" s="288"/>
      <c r="G9" s="288"/>
      <c r="H9" s="288"/>
      <c r="I9" s="288"/>
      <c r="J9" s="288"/>
      <c r="K9" s="288"/>
      <c r="L9" s="288"/>
      <c r="M9" s="299"/>
    </row>
    <row r="10" spans="1:13" ht="23.4" customHeight="1" x14ac:dyDescent="0.35">
      <c r="A10" s="297"/>
      <c r="B10" s="298" t="s">
        <v>78</v>
      </c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99"/>
    </row>
    <row r="11" spans="1:13" ht="23.4" customHeight="1" x14ac:dyDescent="0.35">
      <c r="A11" s="297"/>
      <c r="B11" s="298" t="s">
        <v>79</v>
      </c>
      <c r="C11" s="288"/>
      <c r="D11" s="288"/>
      <c r="E11" s="288"/>
      <c r="F11" s="288"/>
      <c r="G11" s="288"/>
      <c r="H11" s="288"/>
      <c r="I11" s="288"/>
      <c r="J11" s="288"/>
      <c r="K11" s="288"/>
      <c r="L11" s="288"/>
      <c r="M11" s="299"/>
    </row>
    <row r="12" spans="1:13" ht="23.4" customHeight="1" x14ac:dyDescent="0.35">
      <c r="A12" s="297"/>
      <c r="B12" s="298" t="s">
        <v>80</v>
      </c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99"/>
    </row>
    <row r="13" spans="1:13" ht="23.4" customHeight="1" x14ac:dyDescent="0.35">
      <c r="A13" s="297"/>
      <c r="B13" s="298" t="s">
        <v>81</v>
      </c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99"/>
    </row>
    <row r="14" spans="1:13" ht="23.4" customHeight="1" x14ac:dyDescent="0.35">
      <c r="A14" s="297"/>
      <c r="B14" s="298" t="s">
        <v>82</v>
      </c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99"/>
    </row>
    <row r="15" spans="1:13" ht="23.4" customHeight="1" x14ac:dyDescent="0.35">
      <c r="A15" s="297"/>
      <c r="B15" s="298" t="s">
        <v>83</v>
      </c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99"/>
    </row>
    <row r="16" spans="1:13" ht="23.4" customHeight="1" x14ac:dyDescent="0.35">
      <c r="A16" s="297"/>
      <c r="B16" s="298" t="s">
        <v>84</v>
      </c>
      <c r="C16" s="288"/>
      <c r="D16" s="288"/>
      <c r="E16" s="288"/>
      <c r="F16" s="288"/>
      <c r="G16" s="288"/>
      <c r="H16" s="288"/>
      <c r="I16" s="288"/>
      <c r="J16" s="288"/>
      <c r="K16" s="288"/>
      <c r="L16" s="288"/>
      <c r="M16" s="299"/>
    </row>
    <row r="17" spans="1:13" ht="23.4" customHeight="1" x14ac:dyDescent="0.35">
      <c r="A17" s="297"/>
      <c r="B17" s="298" t="s">
        <v>85</v>
      </c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99"/>
    </row>
    <row r="18" spans="1:13" ht="23.4" customHeight="1" x14ac:dyDescent="0.35">
      <c r="A18" s="297"/>
      <c r="B18" s="298" t="s">
        <v>86</v>
      </c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99"/>
    </row>
    <row r="19" spans="1:13" ht="23.4" customHeight="1" x14ac:dyDescent="0.35">
      <c r="A19" s="297"/>
      <c r="B19" s="298" t="s">
        <v>87</v>
      </c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99"/>
    </row>
    <row r="20" spans="1:13" ht="23.4" customHeight="1" x14ac:dyDescent="0.35">
      <c r="A20" s="297"/>
      <c r="B20" s="298" t="s">
        <v>88</v>
      </c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99"/>
    </row>
    <row r="21" spans="1:13" ht="23.4" customHeight="1" thickBot="1" x14ac:dyDescent="0.4">
      <c r="A21" s="300"/>
      <c r="B21" s="301" t="s">
        <v>141</v>
      </c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3"/>
    </row>
    <row r="22" spans="1:13" ht="15" thickBot="1" x14ac:dyDescent="0.4">
      <c r="A22" s="289"/>
      <c r="B22" s="304"/>
      <c r="M22" s="292"/>
    </row>
    <row r="23" spans="1:13" x14ac:dyDescent="0.35">
      <c r="A23" s="289"/>
      <c r="B23" s="396" t="s">
        <v>142</v>
      </c>
      <c r="C23" s="397"/>
      <c r="M23" s="292"/>
    </row>
    <row r="24" spans="1:13" x14ac:dyDescent="0.35">
      <c r="A24" s="289"/>
      <c r="B24" s="305" t="s">
        <v>123</v>
      </c>
      <c r="C24" s="299"/>
      <c r="M24" s="292"/>
    </row>
    <row r="25" spans="1:13" ht="15" thickBot="1" x14ac:dyDescent="0.4">
      <c r="A25" s="289"/>
      <c r="B25" s="306" t="s">
        <v>143</v>
      </c>
      <c r="C25" s="303"/>
      <c r="F25" s="290" t="s">
        <v>111</v>
      </c>
      <c r="G25" s="291"/>
      <c r="H25" s="290"/>
      <c r="I25" s="304"/>
      <c r="J25" s="290" t="s">
        <v>144</v>
      </c>
      <c r="K25" s="291"/>
      <c r="M25" s="292"/>
    </row>
    <row r="26" spans="1:13" ht="15" thickBot="1" x14ac:dyDescent="0.4">
      <c r="A26" s="307"/>
      <c r="B26" s="308"/>
      <c r="C26" s="308"/>
      <c r="D26" s="308"/>
      <c r="E26" s="308"/>
      <c r="F26" s="308"/>
      <c r="G26" s="308"/>
      <c r="H26" s="308"/>
      <c r="I26" s="308"/>
      <c r="J26" s="308"/>
      <c r="K26" s="308"/>
      <c r="L26" s="308"/>
      <c r="M26" s="309"/>
    </row>
  </sheetData>
  <mergeCells count="3">
    <mergeCell ref="A1:B3"/>
    <mergeCell ref="C1:M3"/>
    <mergeCell ref="B23:C23"/>
  </mergeCells>
  <pageMargins left="0.511811024" right="0.511811024" top="0.78740157499999996" bottom="0.78740157499999996" header="0.31496062000000002" footer="0.31496062000000002"/>
  <pageSetup paperSize="9" scale="92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938B3F912099428DEA8AC1FB5210AA" ma:contentTypeVersion="13" ma:contentTypeDescription="Create a new document." ma:contentTypeScope="" ma:versionID="f58bd866b29f405c8617386c69946d79">
  <xsd:schema xmlns:xsd="http://www.w3.org/2001/XMLSchema" xmlns:xs="http://www.w3.org/2001/XMLSchema" xmlns:p="http://schemas.microsoft.com/office/2006/metadata/properties" xmlns:ns2="30f71d7f-e910-4f22-b37c-8c2edbe75069" xmlns:ns3="d482aa21-04f5-402a-8c97-45c487d05d05" targetNamespace="http://schemas.microsoft.com/office/2006/metadata/properties" ma:root="true" ma:fieldsID="05ba1c5be93e209b334845fe7f22f187" ns2:_="" ns3:_="">
    <xsd:import namespace="30f71d7f-e910-4f22-b37c-8c2edbe75069"/>
    <xsd:import namespace="d482aa21-04f5-402a-8c97-45c487d05d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71d7f-e910-4f22-b37c-8c2edbe75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3c16259-926b-4920-b006-2eef4437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2aa21-04f5-402a-8c97-45c487d05d0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9a52c0-a450-4544-a0dc-f0d709beddd7}" ma:internalName="TaxCatchAll" ma:showField="CatchAllData" ma:web="d482aa21-04f5-402a-8c97-45c487d05d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82aa21-04f5-402a-8c97-45c487d05d05" xsi:nil="true"/>
    <lcf76f155ced4ddcb4097134ff3c332f xmlns="30f71d7f-e910-4f22-b37c-8c2edbe75069">
      <Terms xmlns="http://schemas.microsoft.com/office/infopath/2007/PartnerControls"/>
    </lcf76f155ced4ddcb4097134ff3c332f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FFBEADA2-1DD9-4D0A-B477-99C7841C8B07}">
  <ds:schemaRefs/>
</ds:datastoreItem>
</file>

<file path=customXml/itemProps2.xml><?xml version="1.0" encoding="utf-8"?>
<ds:datastoreItem xmlns:ds="http://schemas.openxmlformats.org/officeDocument/2006/customXml" ds:itemID="{6224D896-AA33-49EE-BC61-EFA0D5C4830D}">
  <ds:schemaRefs/>
</ds:datastoreItem>
</file>

<file path=customXml/itemProps3.xml><?xml version="1.0" encoding="utf-8"?>
<ds:datastoreItem xmlns:ds="http://schemas.openxmlformats.org/officeDocument/2006/customXml" ds:itemID="{D84DD407-1903-4AD8-B838-57F7BE9BF2AD}">
  <ds:schemaRefs/>
</ds:datastoreItem>
</file>

<file path=customXml/itemProps4.xml><?xml version="1.0" encoding="utf-8"?>
<ds:datastoreItem xmlns:ds="http://schemas.openxmlformats.org/officeDocument/2006/customXml" ds:itemID="{A5A17A47-0C61-41D0-820E-DF4E9C147FFA}">
  <ds:schemaRefs/>
</ds:datastoreItem>
</file>

<file path=customXml/itemProps5.xml><?xml version="1.0" encoding="utf-8"?>
<ds:datastoreItem xmlns:ds="http://schemas.openxmlformats.org/officeDocument/2006/customXml" ds:itemID="{9908C5DF-5CDA-4D9E-B1A8-E8D2F0C0B568}">
  <ds:schemaRefs/>
</ds:datastoreItem>
</file>

<file path=customXml/itemProps6.xml><?xml version="1.0" encoding="utf-8"?>
<ds:datastoreItem xmlns:ds="http://schemas.openxmlformats.org/officeDocument/2006/customXml" ds:itemID="{6700A489-A887-4539-ADB8-C4B2931AB2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71d7f-e910-4f22-b37c-8c2edbe75069"/>
    <ds:schemaRef ds:uri="d482aa21-04f5-402a-8c97-45c487d05d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1BEA0583-57AC-46F7-A2E0-CF69A92A1F3E}">
  <ds:schemaRefs>
    <ds:schemaRef ds:uri="http://schemas.microsoft.com/office/2006/metadata/properties"/>
    <ds:schemaRef ds:uri="http://schemas.microsoft.com/office/infopath/2007/PartnerControls"/>
    <ds:schemaRef ds:uri="d482aa21-04f5-402a-8c97-45c487d05d05"/>
    <ds:schemaRef ds:uri="30f71d7f-e910-4f22-b37c-8c2edbe75069"/>
  </ds:schemaRefs>
</ds:datastoreItem>
</file>

<file path=customXml/itemProps8.xml><?xml version="1.0" encoding="utf-8"?>
<ds:datastoreItem xmlns:ds="http://schemas.openxmlformats.org/officeDocument/2006/customXml" ds:itemID="{F28366F3-60D4-44B0-8760-B18127C110B8}">
  <ds:schemaRefs/>
</ds:datastoreItem>
</file>

<file path=customXml/itemProps9.xml><?xml version="1.0" encoding="utf-8"?>
<ds:datastoreItem xmlns:ds="http://schemas.openxmlformats.org/officeDocument/2006/customXml" ds:itemID="{06950C28-856D-4D23-B34D-17A8BB75B8CB}">
  <ds:schemaRefs/>
</ds:datastoreItem>
</file>

<file path=customXml/itemProps10.xml><?xml version="1.0" encoding="utf-8"?>
<ds:datastoreItem xmlns:ds="http://schemas.openxmlformats.org/officeDocument/2006/customXml" ds:itemID="{9E1A6683-A97E-4C7A-8BF4-36AD92B116A4}">
  <ds:schemaRefs/>
</ds:datastoreItem>
</file>

<file path=customXml/itemProps11.xml><?xml version="1.0" encoding="utf-8"?>
<ds:datastoreItem xmlns:ds="http://schemas.openxmlformats.org/officeDocument/2006/customXml" ds:itemID="{8993D1AF-1FB4-4C34-8FC8-91B1B8F374D4}">
  <ds:schemaRefs/>
</ds:datastoreItem>
</file>

<file path=customXml/itemProps12.xml><?xml version="1.0" encoding="utf-8"?>
<ds:datastoreItem xmlns:ds="http://schemas.openxmlformats.org/officeDocument/2006/customXml" ds:itemID="{94FFDCF5-C053-47BE-A09A-997A350D7866}">
  <ds:schemaRefs/>
</ds:datastoreItem>
</file>

<file path=customXml/itemProps13.xml><?xml version="1.0" encoding="utf-8"?>
<ds:datastoreItem xmlns:ds="http://schemas.openxmlformats.org/officeDocument/2006/customXml" ds:itemID="{3CF6C2C8-9139-4985-BD07-4143E6AFC2A4}">
  <ds:schemaRefs/>
</ds:datastoreItem>
</file>

<file path=customXml/itemProps14.xml><?xml version="1.0" encoding="utf-8"?>
<ds:datastoreItem xmlns:ds="http://schemas.openxmlformats.org/officeDocument/2006/customXml" ds:itemID="{6F26B27C-0403-4027-83DE-347786E8F77E}">
  <ds:schemaRefs/>
</ds:datastoreItem>
</file>

<file path=customXml/itemProps15.xml><?xml version="1.0" encoding="utf-8"?>
<ds:datastoreItem xmlns:ds="http://schemas.openxmlformats.org/officeDocument/2006/customXml" ds:itemID="{ED16C2F7-E52A-4CA4-902E-070348BD9313}">
  <ds:schemaRefs/>
</ds:datastoreItem>
</file>

<file path=customXml/itemProps16.xml><?xml version="1.0" encoding="utf-8"?>
<ds:datastoreItem xmlns:ds="http://schemas.openxmlformats.org/officeDocument/2006/customXml" ds:itemID="{8D6CA6A8-17C3-495A-8A46-7B8A29F96885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A3F35F64-B422-4AD5-8B7F-AA7D1696358F}">
  <ds:schemaRefs/>
</ds:datastoreItem>
</file>

<file path=customXml/itemProps18.xml><?xml version="1.0" encoding="utf-8"?>
<ds:datastoreItem xmlns:ds="http://schemas.openxmlformats.org/officeDocument/2006/customXml" ds:itemID="{3B8B4416-8A76-451F-97A9-CC35979D5393}">
  <ds:schemaRefs/>
</ds:datastoreItem>
</file>

<file path=customXml/itemProps19.xml><?xml version="1.0" encoding="utf-8"?>
<ds:datastoreItem xmlns:ds="http://schemas.openxmlformats.org/officeDocument/2006/customXml" ds:itemID="{2EEA8EBB-1DE9-4D2E-A5F0-7640740F155C}">
  <ds:schemaRefs/>
</ds:datastoreItem>
</file>

<file path=customXml/itemProps20.xml><?xml version="1.0" encoding="utf-8"?>
<ds:datastoreItem xmlns:ds="http://schemas.openxmlformats.org/officeDocument/2006/customXml" ds:itemID="{EB185E54-0291-44CF-8BD2-87F2864C9ADA}">
  <ds:schemaRefs/>
</ds:datastoreItem>
</file>

<file path=customXml/itemProps21.xml><?xml version="1.0" encoding="utf-8"?>
<ds:datastoreItem xmlns:ds="http://schemas.openxmlformats.org/officeDocument/2006/customXml" ds:itemID="{9C623969-12C6-461C-8D4D-5B26614C7980}">
  <ds:schemaRefs/>
</ds:datastoreItem>
</file>

<file path=customXml/itemProps22.xml><?xml version="1.0" encoding="utf-8"?>
<ds:datastoreItem xmlns:ds="http://schemas.openxmlformats.org/officeDocument/2006/customXml" ds:itemID="{66BB196C-4616-450D-85C1-BB3267447F12}">
  <ds:schemaRefs/>
</ds:datastoreItem>
</file>

<file path=customXml/itemProps23.xml><?xml version="1.0" encoding="utf-8"?>
<ds:datastoreItem xmlns:ds="http://schemas.openxmlformats.org/officeDocument/2006/customXml" ds:itemID="{3513E3ED-9C6B-4194-B8A6-FBFDD26EB574}">
  <ds:schemaRefs/>
</ds:datastoreItem>
</file>

<file path=customXml/itemProps24.xml><?xml version="1.0" encoding="utf-8"?>
<ds:datastoreItem xmlns:ds="http://schemas.openxmlformats.org/officeDocument/2006/customXml" ds:itemID="{A6C63BD4-A277-48F7-BB7F-E43E25BBA1E7}">
  <ds:schemaRefs/>
</ds:datastoreItem>
</file>

<file path=customXml/itemProps25.xml><?xml version="1.0" encoding="utf-8"?>
<ds:datastoreItem xmlns:ds="http://schemas.openxmlformats.org/officeDocument/2006/customXml" ds:itemID="{B782410A-ECD2-4407-9F83-DBFA34672972}">
  <ds:schemaRefs/>
</ds:datastoreItem>
</file>

<file path=customXml/itemProps26.xml><?xml version="1.0" encoding="utf-8"?>
<ds:datastoreItem xmlns:ds="http://schemas.openxmlformats.org/officeDocument/2006/customXml" ds:itemID="{EA82F8B8-4AFD-4BA6-B2DB-D80C336E93B8}">
  <ds:schemaRefs/>
</ds:datastoreItem>
</file>

<file path=customXml/itemProps27.xml><?xml version="1.0" encoding="utf-8"?>
<ds:datastoreItem xmlns:ds="http://schemas.openxmlformats.org/officeDocument/2006/customXml" ds:itemID="{4464DCA5-872B-4BC6-9E0A-EA45F5E30D89}">
  <ds:schemaRefs/>
</ds:datastoreItem>
</file>

<file path=customXml/itemProps28.xml><?xml version="1.0" encoding="utf-8"?>
<ds:datastoreItem xmlns:ds="http://schemas.openxmlformats.org/officeDocument/2006/customXml" ds:itemID="{921A3FEB-C25B-439F-9188-3BB4FEF82381}">
  <ds:schemaRefs/>
</ds:datastoreItem>
</file>

<file path=customXml/itemProps29.xml><?xml version="1.0" encoding="utf-8"?>
<ds:datastoreItem xmlns:ds="http://schemas.openxmlformats.org/officeDocument/2006/customXml" ds:itemID="{BC8D2068-727B-4A86-943A-F3E07A84171C}">
  <ds:schemaRefs/>
</ds:datastoreItem>
</file>

<file path=customXml/itemProps30.xml><?xml version="1.0" encoding="utf-8"?>
<ds:datastoreItem xmlns:ds="http://schemas.openxmlformats.org/officeDocument/2006/customXml" ds:itemID="{247E4312-C9A3-4C1C-A231-CCC5BB7E75B0}">
  <ds:schemaRefs/>
</ds:datastoreItem>
</file>

<file path=customXml/itemProps31.xml><?xml version="1.0" encoding="utf-8"?>
<ds:datastoreItem xmlns:ds="http://schemas.openxmlformats.org/officeDocument/2006/customXml" ds:itemID="{2B3F2DDF-4798-4974-8DD1-527EEFE0981D}">
  <ds:schemaRefs/>
</ds:datastoreItem>
</file>

<file path=customXml/itemProps32.xml><?xml version="1.0" encoding="utf-8"?>
<ds:datastoreItem xmlns:ds="http://schemas.openxmlformats.org/officeDocument/2006/customXml" ds:itemID="{C53C669B-A40B-4B6F-921E-F996F97B456B}">
  <ds:schemaRefs/>
</ds:datastoreItem>
</file>

<file path=customXml/itemProps33.xml><?xml version="1.0" encoding="utf-8"?>
<ds:datastoreItem xmlns:ds="http://schemas.openxmlformats.org/officeDocument/2006/customXml" ds:itemID="{D03CB94A-9AEA-4778-80B5-9A4EE23D58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6</vt:i4>
      </vt:variant>
    </vt:vector>
  </HeadingPairs>
  <TitlesOfParts>
    <vt:vector size="23" baseType="lpstr">
      <vt:lpstr>PIVOT</vt:lpstr>
      <vt:lpstr>tbPrevisto</vt:lpstr>
      <vt:lpstr>tbPendencias</vt:lpstr>
      <vt:lpstr>tbCategoria</vt:lpstr>
      <vt:lpstr>tbMapaData</vt:lpstr>
      <vt:lpstr>tbMapa</vt:lpstr>
      <vt:lpstr>tbPavimento</vt:lpstr>
      <vt:lpstr>tbFisico</vt:lpstr>
      <vt:lpstr>tbBoletim</vt:lpstr>
      <vt:lpstr>tbFaturamento</vt:lpstr>
      <vt:lpstr>DASHBOARD</vt:lpstr>
      <vt:lpstr>1. Controle de Contrato</vt:lpstr>
      <vt:lpstr>2. Boletim de Medição</vt:lpstr>
      <vt:lpstr>3. Faturamento Direto</vt:lpstr>
      <vt:lpstr>4. Mapa Visual de Medição</vt:lpstr>
      <vt:lpstr>05. Conferencia porta T1</vt:lpstr>
      <vt:lpstr>05. Conferencia porta T2</vt:lpstr>
      <vt:lpstr>'1. Controle de Contrato'!Area_de_impressao</vt:lpstr>
      <vt:lpstr>'2. Boletim de Medição'!Area_de_impressao</vt:lpstr>
      <vt:lpstr>'3. Faturamento Direto'!Area_de_impressao</vt:lpstr>
      <vt:lpstr>'4. Mapa Visual de Medição'!Area_de_impressao</vt:lpstr>
      <vt:lpstr>tbContrato!Area_de_impressao</vt:lpstr>
      <vt:lpstr>tbFaturamento!Area_de_impressao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Renato Zampar</dc:creator>
  <cp:keywords/>
  <dc:description/>
  <cp:lastModifiedBy>Rafael A</cp:lastModifiedBy>
  <cp:revision/>
  <cp:lastPrinted>2026-05-25T00:36:05Z</cp:lastPrinted>
  <dcterms:created xsi:type="dcterms:W3CDTF">2022-11-09T12:09:37Z</dcterms:created>
  <dcterms:modified xsi:type="dcterms:W3CDTF">2026-05-26T14:16:57Z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0x01010027938B3F912099428DEA8AC1FB5210AA</vt:lpwstr>
  </property>
  <property fmtid="{D5CDD505-2E9C-101B-9397-08002B2CF9AE}" pid="3" name="_dlc_DocIdItemGuid">
    <vt:lpwstr>9bc02830-5cce-49c4-838a-0305dfd6022a</vt:lpwstr>
  </property>
  <property fmtid="{D5CDD505-2E9C-101B-9397-08002B2CF9AE}" pid="4" name="MediaServiceImageTags">
    <vt:lpwstr/>
  </property>
</Properties>
</file>