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2.xml" ContentType="application/vnd.openxmlformats-officedocument.drawing+xml"/>
  <Override PartName="/xl/charts/chart23.xml" ContentType="application/vnd.openxmlformats-officedocument.drawingml.chart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4.xml" ContentType="application/vnd.openxmlformats-officedocument.drawing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drawings/drawing5.xml" ContentType="application/vnd.openxmlformats-officedocument.drawing+xml"/>
  <Override PartName="/xl/charts/chart34.xml" ContentType="application/vnd.openxmlformats-officedocument.drawingml.chart+xml"/>
  <Override PartName="/xl/drawings/drawing6.xml" ContentType="application/vnd.openxmlformats-officedocument.drawing+xml"/>
  <Override PartName="/xl/charts/chart3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  <Override PartName="/xl/charts/colors3.xml" ContentType="application/vnd.ms-office.chartcolorstyle+xml"/>
  <Override PartName="/xl/charts/style3.xml" ContentType="application/vnd.ms-office.chartstyle+xml"/>
  <Override PartName="/xl/charts/colors4.xml" ContentType="application/vnd.ms-office.chartcolorstyle+xml"/>
  <Override PartName="/xl/charts/style4.xml" ContentType="application/vnd.ms-office.chartstyle+xml"/>
  <Override PartName="/xl/charts/colors5.xml" ContentType="application/vnd.ms-office.chartcolorstyle+xml"/>
  <Override PartName="/xl/charts/style5.xml" ContentType="application/vnd.ms-office.chartstyle+xml"/>
  <Override PartName="/xl/charts/colors6.xml" ContentType="application/vnd.ms-office.chartcolorstyle+xml"/>
  <Override PartName="/xl/charts/style6.xml" ContentType="application/vnd.ms-office.chartstyle+xml"/>
  <Override PartName="/xl/charts/colors7.xml" ContentType="application/vnd.ms-office.chartcolorstyle+xml"/>
  <Override PartName="/xl/charts/style7.xml" ContentType="application/vnd.ms-office.chartstyle+xml"/>
  <Override PartName="/xl/charts/colors8.xml" ContentType="application/vnd.ms-office.chartcolorstyle+xml"/>
  <Override PartName="/xl/charts/style8.xml" ContentType="application/vnd.ms-office.chartstyle+xml"/>
  <Override PartName="/xl/charts/colors9.xml" ContentType="application/vnd.ms-office.chartcolorstyle+xml"/>
  <Override PartName="/xl/charts/style9.xml" ContentType="application/vnd.ms-office.chartstyle+xml"/>
  <Override PartName="/xl/charts/colors10.xml" ContentType="application/vnd.ms-office.chartcolorstyle+xml"/>
  <Override PartName="/xl/charts/style10.xml" ContentType="application/vnd.ms-office.chartstyle+xml"/>
  <Override PartName="/xl/charts/colors11.xml" ContentType="application/vnd.ms-office.chartcolorstyle+xml"/>
  <Override PartName="/xl/charts/style11.xml" ContentType="application/vnd.ms-office.chartstyle+xml"/>
  <Override PartName="/xl/charts/colors12.xml" ContentType="application/vnd.ms-office.chartcolorstyle+xml"/>
  <Override PartName="/xl/charts/style12.xml" ContentType="application/vnd.ms-office.chartstyle+xml"/>
  <Override PartName="/xl/charts/colors13.xml" ContentType="application/vnd.ms-office.chartcolorstyle+xml"/>
  <Override PartName="/xl/charts/style13.xml" ContentType="application/vnd.ms-office.chartstyle+xml"/>
  <Override PartName="/xl/charts/colors14.xml" ContentType="application/vnd.ms-office.chartcolorstyle+xml"/>
  <Override PartName="/xl/charts/style14.xml" ContentType="application/vnd.ms-office.chartstyle+xml"/>
  <Override PartName="/xl/charts/colors15.xml" ContentType="application/vnd.ms-office.chartcolorstyle+xml"/>
  <Override PartName="/xl/charts/style15.xml" ContentType="application/vnd.ms-office.chartstyle+xml"/>
  <Override PartName="/xl/charts/colors16.xml" ContentType="application/vnd.ms-office.chartcolorstyle+xml"/>
  <Override PartName="/xl/charts/style16.xml" ContentType="application/vnd.ms-office.chartstyle+xml"/>
  <Override PartName="/xl/charts/colors17.xml" ContentType="application/vnd.ms-office.chartcolorstyle+xml"/>
  <Override PartName="/xl/charts/style17.xml" ContentType="application/vnd.ms-office.chartstyle+xml"/>
  <Override PartName="/xl/charts/colors18.xml" ContentType="application/vnd.ms-office.chartcolorstyle+xml"/>
  <Override PartName="/xl/charts/style18.xml" ContentType="application/vnd.ms-office.chartstyle+xml"/>
  <Override PartName="/xl/charts/colors19.xml" ContentType="application/vnd.ms-office.chartcolorstyle+xml"/>
  <Override PartName="/xl/charts/style19.xml" ContentType="application/vnd.ms-office.chartstyle+xml"/>
  <Override PartName="/xl/charts/colors20.xml" ContentType="application/vnd.ms-office.chartcolorstyle+xml"/>
  <Override PartName="/xl/charts/style20.xml" ContentType="application/vnd.ms-office.chartstyle+xml"/>
  <Override PartName="/xl/charts/colors21.xml" ContentType="application/vnd.ms-office.chartcolorstyle+xml"/>
  <Override PartName="/xl/charts/style21.xml" ContentType="application/vnd.ms-office.chartstyle+xml"/>
  <Override PartName="/xl/charts/colors22.xml" ContentType="application/vnd.ms-office.chartcolorstyle+xml"/>
  <Override PartName="/xl/charts/style22.xml" ContentType="application/vnd.ms-office.chartstyle+xml"/>
  <Override PartName="/xl/charts/colors23.xml" ContentType="application/vnd.ms-office.chartcolorstyle+xml"/>
  <Override PartName="/xl/charts/style23.xml" ContentType="application/vnd.ms-office.chartstyle+xml"/>
  <Override PartName="/xl/charts/colors24.xml" ContentType="application/vnd.ms-office.chartcolorstyle+xml"/>
  <Override PartName="/xl/charts/style24.xml" ContentType="application/vnd.ms-office.chartstyle+xml"/>
  <Override PartName="/xl/charts/colors25.xml" ContentType="application/vnd.ms-office.chartcolorstyle+xml"/>
  <Override PartName="/xl/charts/style25.xml" ContentType="application/vnd.ms-office.chartstyle+xml"/>
  <Override PartName="/xl/charts/colors26.xml" ContentType="application/vnd.ms-office.chartcolorstyle+xml"/>
  <Override PartName="/xl/charts/style26.xml" ContentType="application/vnd.ms-office.chartstyle+xml"/>
  <Override PartName="/xl/charts/colors27.xml" ContentType="application/vnd.ms-office.chartcolorstyle+xml"/>
  <Override PartName="/xl/charts/style27.xml" ContentType="application/vnd.ms-office.chartstyle+xml"/>
  <Override PartName="/xl/charts/colors28.xml" ContentType="application/vnd.ms-office.chartcolorstyle+xml"/>
  <Override PartName="/xl/charts/style28.xml" ContentType="application/vnd.ms-office.chartstyle+xml"/>
  <Override PartName="/xl/charts/colors29.xml" ContentType="application/vnd.ms-office.chartcolorstyle+xml"/>
  <Override PartName="/xl/charts/style29.xml" ContentType="application/vnd.ms-office.chartstyle+xml"/>
  <Override PartName="/xl/charts/colors30.xml" ContentType="application/vnd.ms-office.chartcolorstyle+xml"/>
  <Override PartName="/xl/charts/style30.xml" ContentType="application/vnd.ms-office.chartstyle+xml"/>
  <Override PartName="/xl/charts/colors31.xml" ContentType="application/vnd.ms-office.chartcolorstyle+xml"/>
  <Override PartName="/xl/charts/style31.xml" ContentType="application/vnd.ms-office.chartstyle+xml"/>
  <Override PartName="/xl/charts/colors32.xml" ContentType="application/vnd.ms-office.chartcolorstyle+xml"/>
  <Override PartName="/xl/charts/style32.xml" ContentType="application/vnd.ms-office.chartstyle+xml"/>
  <Override PartName="/xl/charts/colors33.xml" ContentType="application/vnd.ms-office.chartcolorstyle+xml"/>
  <Override PartName="/xl/charts/style33.xml" ContentType="application/vnd.ms-office.chartstyle+xml"/>
  <Override PartName="/xl/charts/colors34.xml" ContentType="application/vnd.ms-office.chartcolorstyle+xml"/>
  <Override PartName="/xl/charts/style34.xml" ContentType="application/vnd.ms-office.chartstyle+xml"/>
  <Override PartName="/xl/charts/colors35.xml" ContentType="application/vnd.ms-office.chartcolorstyle+xml"/>
  <Override PartName="/xl/charts/style35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showInkAnnotation="0" hidePivotFieldList="1"/>
  <bookViews>
    <workbookView xWindow="0" yWindow="456" windowWidth="23544" windowHeight="13176" tabRatio="500" activeTab="7"/>
  </bookViews>
  <sheets>
    <sheet name="Feuil2" sheetId="2" r:id="rId1"/>
    <sheet name="Courbes" sheetId="1" r:id="rId2"/>
    <sheet name="Repeatability" sheetId="5" r:id="rId3"/>
    <sheet name="Calculs" sheetId="3" r:id="rId4"/>
    <sheet name="Closure speed" sheetId="4" r:id="rId5"/>
    <sheet name="Feuil3" sheetId="7" r:id="rId6"/>
    <sheet name="Feuil4" sheetId="8" r:id="rId7"/>
    <sheet name="Graphes" sheetId="6" r:id="rId8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1" i="4" l="1"/>
  <c r="I19" i="4"/>
  <c r="I5" i="4"/>
  <c r="I12" i="4"/>
  <c r="E12" i="4"/>
  <c r="E22" i="4"/>
  <c r="E23" i="4"/>
  <c r="E24" i="4"/>
  <c r="E390" i="1"/>
  <c r="H323" i="1"/>
  <c r="J390" i="1"/>
  <c r="J371" i="1"/>
  <c r="J339" i="1"/>
  <c r="H403" i="1"/>
  <c r="H390" i="1"/>
  <c r="H371" i="1"/>
  <c r="E339" i="1"/>
  <c r="H339" i="1"/>
  <c r="D363" i="1"/>
  <c r="D362" i="1"/>
  <c r="D361" i="1"/>
  <c r="D359" i="1"/>
  <c r="D358" i="1"/>
  <c r="D357" i="1"/>
  <c r="D355" i="1"/>
  <c r="D335" i="1"/>
  <c r="D334" i="1"/>
  <c r="D333" i="1"/>
  <c r="D332" i="1"/>
  <c r="D331" i="1"/>
  <c r="D330" i="1"/>
  <c r="D329" i="1"/>
  <c r="J234" i="1"/>
  <c r="B21" i="3"/>
  <c r="B20" i="3"/>
  <c r="I17" i="4"/>
  <c r="I20" i="4"/>
  <c r="B292" i="1"/>
  <c r="B293" i="1"/>
  <c r="B294" i="1"/>
  <c r="B295" i="1"/>
  <c r="B296" i="1"/>
  <c r="B291" i="1"/>
  <c r="Q128" i="1"/>
  <c r="Q129" i="1"/>
  <c r="Q127" i="1"/>
  <c r="I16" i="4"/>
  <c r="C269" i="1"/>
  <c r="C282" i="1"/>
  <c r="C281" i="1"/>
  <c r="C280" i="1"/>
  <c r="C279" i="1"/>
  <c r="C278" i="1"/>
  <c r="C277" i="1"/>
  <c r="C276" i="1"/>
  <c r="C275" i="1"/>
  <c r="C270" i="1"/>
  <c r="C271" i="1"/>
  <c r="C272" i="1"/>
  <c r="C273" i="1"/>
  <c r="C274" i="1"/>
  <c r="H268" i="1"/>
  <c r="H269" i="1"/>
  <c r="G16" i="4"/>
  <c r="E2" i="4"/>
  <c r="E3" i="4"/>
  <c r="E4" i="4"/>
  <c r="E10" i="4"/>
  <c r="E6" i="4"/>
  <c r="E11" i="4"/>
  <c r="E8" i="4"/>
  <c r="E13" i="4"/>
  <c r="E14" i="4"/>
  <c r="E15" i="4"/>
  <c r="E9" i="4"/>
  <c r="E18" i="4"/>
  <c r="E7" i="4"/>
  <c r="E16" i="4"/>
  <c r="E20" i="4"/>
  <c r="E17" i="4"/>
  <c r="E21" i="4"/>
  <c r="E19" i="4"/>
  <c r="E5" i="4"/>
  <c r="E25" i="4"/>
  <c r="B3" i="3"/>
  <c r="F3" i="3"/>
  <c r="H3" i="3"/>
  <c r="B4" i="3"/>
  <c r="F4" i="3"/>
  <c r="H4" i="3"/>
  <c r="B5" i="3"/>
  <c r="F5" i="3"/>
  <c r="H5" i="3"/>
  <c r="B6" i="3"/>
  <c r="F6" i="3"/>
  <c r="H6" i="3"/>
  <c r="B7" i="3"/>
  <c r="F7" i="3"/>
  <c r="H7" i="3"/>
  <c r="B8" i="3"/>
  <c r="F8" i="3"/>
  <c r="H8" i="3"/>
  <c r="B9" i="3"/>
  <c r="F9" i="3"/>
  <c r="H9" i="3"/>
  <c r="B10" i="3"/>
  <c r="F10" i="3"/>
  <c r="H10" i="3"/>
  <c r="B11" i="3"/>
  <c r="F11" i="3"/>
  <c r="H11" i="3"/>
  <c r="B12" i="3"/>
  <c r="F12" i="3"/>
  <c r="H12" i="3"/>
  <c r="B13" i="3"/>
  <c r="F13" i="3"/>
  <c r="H13" i="3"/>
  <c r="B15" i="3"/>
  <c r="F15" i="3"/>
  <c r="H15" i="3"/>
  <c r="B2" i="3"/>
  <c r="F2" i="3"/>
  <c r="H2" i="3"/>
  <c r="B14" i="3"/>
  <c r="F14" i="3"/>
  <c r="P31" i="1"/>
  <c r="C9" i="1"/>
  <c r="J9" i="1"/>
  <c r="O9" i="1"/>
  <c r="C10" i="1"/>
  <c r="J10" i="1"/>
  <c r="O10" i="1"/>
  <c r="C11" i="1"/>
  <c r="J11" i="1"/>
  <c r="O11" i="1"/>
  <c r="C12" i="1"/>
  <c r="J12" i="1"/>
  <c r="O12" i="1"/>
  <c r="C13" i="1"/>
  <c r="J13" i="1"/>
  <c r="O13" i="1"/>
  <c r="C14" i="1"/>
  <c r="J14" i="1"/>
  <c r="O14" i="1"/>
  <c r="C15" i="1"/>
  <c r="J15" i="1"/>
  <c r="O15" i="1"/>
  <c r="O26" i="1"/>
  <c r="C2" i="1"/>
  <c r="O2" i="1"/>
  <c r="C3" i="1"/>
  <c r="O3" i="1"/>
  <c r="C4" i="1"/>
  <c r="O4" i="1"/>
  <c r="C5" i="1"/>
  <c r="O5" i="1"/>
  <c r="C6" i="1"/>
  <c r="O6" i="1"/>
  <c r="C7" i="1"/>
  <c r="O7" i="1"/>
  <c r="C8" i="1"/>
  <c r="O8" i="1"/>
  <c r="C16" i="1"/>
  <c r="O16" i="1"/>
  <c r="C17" i="1"/>
  <c r="O17" i="1"/>
  <c r="C18" i="1"/>
  <c r="O18" i="1"/>
  <c r="C19" i="1"/>
  <c r="O19" i="1"/>
  <c r="C20" i="1"/>
  <c r="O20" i="1"/>
  <c r="C21" i="1"/>
  <c r="O21" i="1"/>
  <c r="C22" i="1"/>
  <c r="O22" i="1"/>
  <c r="C23" i="1"/>
  <c r="O23" i="1"/>
  <c r="N9" i="1"/>
  <c r="T12" i="1"/>
  <c r="N2" i="1"/>
  <c r="N3" i="1"/>
  <c r="N4" i="1"/>
  <c r="N5" i="1"/>
  <c r="N6" i="1"/>
  <c r="N7" i="1"/>
  <c r="N8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M24" i="1"/>
  <c r="M10" i="1"/>
  <c r="M11" i="1"/>
  <c r="M12" i="1"/>
  <c r="M13" i="1"/>
  <c r="M14" i="1"/>
  <c r="M15" i="1"/>
  <c r="M9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K9" i="1"/>
  <c r="K10" i="1"/>
  <c r="K11" i="1"/>
  <c r="K12" i="1"/>
  <c r="K13" i="1"/>
  <c r="K14" i="1"/>
  <c r="K15" i="1"/>
  <c r="K233" i="1"/>
  <c r="B231" i="1"/>
  <c r="J229" i="1"/>
  <c r="B227" i="1"/>
  <c r="K185" i="1"/>
  <c r="K184" i="1"/>
  <c r="B183" i="1"/>
  <c r="K165" i="1"/>
  <c r="B163" i="1"/>
  <c r="K150" i="1"/>
  <c r="K149" i="1"/>
  <c r="B148" i="1"/>
  <c r="K137" i="1"/>
  <c r="K136" i="1"/>
  <c r="B135" i="1"/>
  <c r="K127" i="1"/>
  <c r="B125" i="1"/>
  <c r="B112" i="1"/>
  <c r="B99" i="1"/>
  <c r="B86" i="1"/>
  <c r="B76" i="1"/>
  <c r="B57" i="1"/>
  <c r="B45" i="1"/>
  <c r="B33" i="1"/>
</calcChain>
</file>

<file path=xl/sharedStrings.xml><?xml version="1.0" encoding="utf-8"?>
<sst xmlns="http://schemas.openxmlformats.org/spreadsheetml/2006/main" count="287" uniqueCount="73">
  <si>
    <t>Magnification</t>
  </si>
  <si>
    <t>Colonne11</t>
  </si>
  <si>
    <t>Colonne13</t>
  </si>
  <si>
    <t>Colonne14</t>
  </si>
  <si>
    <t>Colonne15</t>
  </si>
  <si>
    <t>Colonne16</t>
  </si>
  <si>
    <t>Voltage</t>
  </si>
  <si>
    <t>nbe scans</t>
  </si>
  <si>
    <t xml:space="preserve">diameter </t>
  </si>
  <si>
    <t>diameter</t>
  </si>
  <si>
    <t>pauses</t>
  </si>
  <si>
    <t>sans pauses</t>
  </si>
  <si>
    <t>scans</t>
  </si>
  <si>
    <t>temps</t>
  </si>
  <si>
    <t>scans/s</t>
  </si>
  <si>
    <t xml:space="preserve">nbe scans </t>
  </si>
  <si>
    <t xml:space="preserve">scans </t>
  </si>
  <si>
    <t>Position</t>
  </si>
  <si>
    <t>vitesse (scans/s)</t>
  </si>
  <si>
    <t>Area (*10^3 nm^2)</t>
  </si>
  <si>
    <t>gros trou</t>
  </si>
  <si>
    <t>vitesse (s/scans)</t>
  </si>
  <si>
    <t>oui</t>
  </si>
  <si>
    <t>non</t>
  </si>
  <si>
    <t>Pente (nm/scans)</t>
  </si>
  <si>
    <t>vitesse de closure (nm/s)</t>
  </si>
  <si>
    <t>area*vscan*gama^2</t>
  </si>
  <si>
    <t>gamma2*area</t>
  </si>
  <si>
    <t>rac area</t>
  </si>
  <si>
    <t>vscan*gamma^2</t>
  </si>
  <si>
    <t>CONSTANTE:</t>
  </si>
  <si>
    <t>Vitesse (scan/s)</t>
  </si>
  <si>
    <t>Vitesse de closure (nm/s)</t>
  </si>
  <si>
    <t>L (nm)</t>
  </si>
  <si>
    <t>Voltage (kV)</t>
  </si>
  <si>
    <t>Magnification (K)</t>
  </si>
  <si>
    <t>Vitesse de closure (nm/scans)</t>
  </si>
  <si>
    <t>Pauses</t>
  </si>
  <si>
    <t>Scan speed (scan/s)</t>
  </si>
  <si>
    <t>Closure Speed (nm/s)</t>
  </si>
  <si>
    <t>Closure speed (nm/scan)</t>
  </si>
  <si>
    <t>gamma^2 L^2</t>
  </si>
  <si>
    <t>?</t>
  </si>
  <si>
    <t>4 trous</t>
  </si>
  <si>
    <t>sec</t>
  </si>
  <si>
    <t>size (nm)</t>
  </si>
  <si>
    <t>Exp 1</t>
  </si>
  <si>
    <t>Exp 2</t>
  </si>
  <si>
    <t>Exp 3</t>
  </si>
  <si>
    <t>Number of scans</t>
  </si>
  <si>
    <t>a</t>
  </si>
  <si>
    <t>b</t>
  </si>
  <si>
    <t>exp a</t>
  </si>
  <si>
    <t>hole</t>
  </si>
  <si>
    <t>exp b</t>
  </si>
  <si>
    <t>100k</t>
  </si>
  <si>
    <t>10kV</t>
  </si>
  <si>
    <t>size</t>
  </si>
  <si>
    <t>taille</t>
  </si>
  <si>
    <t>scan speed:</t>
  </si>
  <si>
    <t>Colonne1</t>
  </si>
  <si>
    <t>5kV</t>
  </si>
  <si>
    <t>time</t>
  </si>
  <si>
    <t>scan speed</t>
  </si>
  <si>
    <t>200k</t>
  </si>
  <si>
    <t>5kv</t>
  </si>
  <si>
    <t>retour</t>
  </si>
  <si>
    <t>grandisesment</t>
  </si>
  <si>
    <t>longueur</t>
  </si>
  <si>
    <t>gamma2 L2</t>
  </si>
  <si>
    <t>kV</t>
  </si>
  <si>
    <t>nm/scan</t>
  </si>
  <si>
    <t>nm/s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</si>
</sst>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7"/>
        <bgColor indexed="64"/>
      </patternFill>
    </fill>
    <fill>
      <patternFill patternType="solid">
        <fgColor theme="7"/>
        <bgColor theme="4" tint="0.59999389629810485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9">
    <xf numFmtId="0" fontId="0" fillId="0" borderId="0" xfId="0"/>
    <xf numFmtId="2" fontId="0" fillId="0" borderId="0" xfId="0" applyNumberFormat="1"/>
    <xf numFmtId="0" fontId="0" fillId="0" borderId="0" xfId="0" applyNumberFormat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2" fontId="1" fillId="2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3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4" borderId="3" xfId="0" applyFont="1" applyFill="1" applyBorder="1" applyAlignment="1">
      <alignment horizontal="center" vertical="center"/>
    </xf>
    <xf numFmtId="0" fontId="0" fillId="4" borderId="4" xfId="0" applyFont="1" applyFill="1" applyBorder="1" applyAlignment="1">
      <alignment horizontal="center" vertical="center"/>
    </xf>
    <xf numFmtId="2" fontId="0" fillId="4" borderId="4" xfId="0" applyNumberFormat="1" applyFont="1" applyFill="1" applyBorder="1" applyAlignment="1">
      <alignment horizontal="center" vertical="center"/>
    </xf>
    <xf numFmtId="0" fontId="0" fillId="6" borderId="3" xfId="0" applyFont="1" applyFill="1" applyBorder="1" applyAlignment="1">
      <alignment horizontal="center" vertical="center"/>
    </xf>
    <xf numFmtId="0" fontId="0" fillId="6" borderId="4" xfId="0" applyFont="1" applyFill="1" applyBorder="1" applyAlignment="1">
      <alignment horizontal="center" vertical="center"/>
    </xf>
    <xf numFmtId="2" fontId="0" fillId="6" borderId="4" xfId="0" applyNumberFormat="1" applyFont="1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 applyAlignment="1"/>
    <xf numFmtId="0" fontId="0" fillId="7" borderId="0" xfId="0" applyFill="1"/>
    <xf numFmtId="0" fontId="0" fillId="0" borderId="0" xfId="0" applyFont="1" applyAlignment="1">
      <alignment horizontal="center" vertical="center"/>
    </xf>
    <xf numFmtId="2" fontId="0" fillId="7" borderId="0" xfId="0" applyNumberFormat="1" applyFill="1"/>
    <xf numFmtId="2" fontId="5" fillId="8" borderId="0" xfId="0" applyNumberFormat="1" applyFont="1" applyFill="1" applyAlignment="1">
      <alignment horizontal="center" vertical="center"/>
    </xf>
    <xf numFmtId="0" fontId="5" fillId="8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8" borderId="0" xfId="0" applyFill="1"/>
    <xf numFmtId="164" fontId="0" fillId="0" borderId="0" xfId="0" applyNumberFormat="1"/>
    <xf numFmtId="1" fontId="0" fillId="0" borderId="0" xfId="0" applyNumberFormat="1"/>
  </cellXfs>
  <cellStyles count="19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Normal" xfId="0" builtinId="0"/>
  </cellStyles>
  <dxfs count="22">
    <dxf>
      <numFmt numFmtId="2" formatCode="0.00"/>
      <alignment horizontal="center" vertical="center" textRotation="0" wrapText="0" indent="0" justifyLastLine="0" shrinkToFit="0"/>
    </dxf>
    <dxf>
      <alignment horizontal="center" vertical="center" textRotation="0" wrapText="0" indent="0" justifyLastLine="0" shrinkToFit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/>
    </dxf>
    <dxf>
      <alignment horizontal="center" vertical="center" textRotation="0" wrapText="0" indent="0" justifyLastLine="0" shrinkToFit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Courbes!$G$33</c:f>
              <c:strCache>
                <c:ptCount val="1"/>
                <c:pt idx="0">
                  <c:v>diameter 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0403513390613394E-2"/>
                  <c:y val="-0.3423745477761219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Courbes!$F$34:$F$42</c:f>
              <c:numCache>
                <c:formatCode>General</c:formatCode>
                <c:ptCount val="9"/>
                <c:pt idx="0">
                  <c:v>2</c:v>
                </c:pt>
                <c:pt idx="1">
                  <c:v>6</c:v>
                </c:pt>
                <c:pt idx="2">
                  <c:v>10</c:v>
                </c:pt>
                <c:pt idx="3">
                  <c:v>14</c:v>
                </c:pt>
                <c:pt idx="4">
                  <c:v>17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</c:numCache>
            </c:numRef>
          </c:xVal>
          <c:yVal>
            <c:numRef>
              <c:f>Courbes!$G$34:$G$42</c:f>
              <c:numCache>
                <c:formatCode>General</c:formatCode>
                <c:ptCount val="9"/>
                <c:pt idx="0">
                  <c:v>62.5</c:v>
                </c:pt>
                <c:pt idx="1">
                  <c:v>54.7</c:v>
                </c:pt>
                <c:pt idx="2">
                  <c:v>44.7</c:v>
                </c:pt>
                <c:pt idx="3">
                  <c:v>36.799999999999997</c:v>
                </c:pt>
                <c:pt idx="4">
                  <c:v>30.2</c:v>
                </c:pt>
                <c:pt idx="5">
                  <c:v>21.2</c:v>
                </c:pt>
                <c:pt idx="6">
                  <c:v>13.4</c:v>
                </c:pt>
                <c:pt idx="7">
                  <c:v>10.1</c:v>
                </c:pt>
                <c:pt idx="8">
                  <c:v>8.9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206144"/>
        <c:axId val="211207680"/>
      </c:scatterChart>
      <c:valAx>
        <c:axId val="211206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1207680"/>
        <c:crosses val="autoZero"/>
        <c:crossBetween val="midCat"/>
      </c:valAx>
      <c:valAx>
        <c:axId val="21120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1206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Courbes!$G$148</c:f>
              <c:strCache>
                <c:ptCount val="1"/>
                <c:pt idx="0">
                  <c:v>diameter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Courbes!$F$149:$F$161</c:f>
              <c:numCache>
                <c:formatCode>General</c:formatCode>
                <c:ptCount val="1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15</c:v>
                </c:pt>
                <c:pt idx="9">
                  <c:v>17</c:v>
                </c:pt>
                <c:pt idx="10">
                  <c:v>19</c:v>
                </c:pt>
                <c:pt idx="11">
                  <c:v>22</c:v>
                </c:pt>
                <c:pt idx="12">
                  <c:v>24</c:v>
                </c:pt>
              </c:numCache>
            </c:numRef>
          </c:xVal>
          <c:yVal>
            <c:numRef>
              <c:f>Courbes!$G$149:$G$161</c:f>
              <c:numCache>
                <c:formatCode>General</c:formatCode>
                <c:ptCount val="13"/>
                <c:pt idx="0">
                  <c:v>67</c:v>
                </c:pt>
                <c:pt idx="1">
                  <c:v>64</c:v>
                </c:pt>
                <c:pt idx="2">
                  <c:v>60</c:v>
                </c:pt>
                <c:pt idx="3">
                  <c:v>52</c:v>
                </c:pt>
                <c:pt idx="4">
                  <c:v>50</c:v>
                </c:pt>
                <c:pt idx="5">
                  <c:v>42</c:v>
                </c:pt>
                <c:pt idx="6">
                  <c:v>37</c:v>
                </c:pt>
                <c:pt idx="7">
                  <c:v>33</c:v>
                </c:pt>
                <c:pt idx="8">
                  <c:v>26</c:v>
                </c:pt>
                <c:pt idx="9">
                  <c:v>23</c:v>
                </c:pt>
                <c:pt idx="10">
                  <c:v>16</c:v>
                </c:pt>
                <c:pt idx="11">
                  <c:v>13</c:v>
                </c:pt>
                <c:pt idx="12">
                  <c:v>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990016"/>
        <c:axId val="211991552"/>
      </c:scatterChart>
      <c:valAx>
        <c:axId val="211990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1991552"/>
        <c:crosses val="autoZero"/>
        <c:crossBetween val="midCat"/>
      </c:valAx>
      <c:valAx>
        <c:axId val="21199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1990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Courbes!$G$163</c:f>
              <c:strCache>
                <c:ptCount val="1"/>
                <c:pt idx="0">
                  <c:v>diameter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Courbes!$F$164:$F$181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xVal>
          <c:yVal>
            <c:numRef>
              <c:f>Courbes!$G$164:$G$181</c:f>
              <c:numCache>
                <c:formatCode>General</c:formatCode>
                <c:ptCount val="18"/>
                <c:pt idx="0">
                  <c:v>67</c:v>
                </c:pt>
                <c:pt idx="1">
                  <c:v>65.7</c:v>
                </c:pt>
                <c:pt idx="2">
                  <c:v>61</c:v>
                </c:pt>
                <c:pt idx="3">
                  <c:v>60</c:v>
                </c:pt>
                <c:pt idx="4">
                  <c:v>55</c:v>
                </c:pt>
                <c:pt idx="5">
                  <c:v>52.8</c:v>
                </c:pt>
                <c:pt idx="6">
                  <c:v>51.4</c:v>
                </c:pt>
                <c:pt idx="7">
                  <c:v>47</c:v>
                </c:pt>
                <c:pt idx="8">
                  <c:v>43</c:v>
                </c:pt>
                <c:pt idx="9">
                  <c:v>39</c:v>
                </c:pt>
                <c:pt idx="10">
                  <c:v>36</c:v>
                </c:pt>
                <c:pt idx="11">
                  <c:v>33</c:v>
                </c:pt>
                <c:pt idx="12">
                  <c:v>28</c:v>
                </c:pt>
                <c:pt idx="13">
                  <c:v>25</c:v>
                </c:pt>
                <c:pt idx="14">
                  <c:v>19</c:v>
                </c:pt>
                <c:pt idx="15">
                  <c:v>14</c:v>
                </c:pt>
                <c:pt idx="16">
                  <c:v>9.6</c:v>
                </c:pt>
                <c:pt idx="17">
                  <c:v>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008320"/>
        <c:axId val="212358272"/>
      </c:scatterChart>
      <c:valAx>
        <c:axId val="212008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358272"/>
        <c:crosses val="autoZero"/>
        <c:crossBetween val="midCat"/>
      </c:valAx>
      <c:valAx>
        <c:axId val="21235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008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Courbes!$G$183</c:f>
              <c:strCache>
                <c:ptCount val="1"/>
                <c:pt idx="0">
                  <c:v>diameter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Courbes!$F$184:$F$225</c:f>
              <c:numCache>
                <c:formatCode>General</c:formatCode>
                <c:ptCount val="4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12</c:v>
                </c:pt>
                <c:pt idx="4">
                  <c:v>18</c:v>
                </c:pt>
                <c:pt idx="5">
                  <c:v>22</c:v>
                </c:pt>
                <c:pt idx="6">
                  <c:v>27</c:v>
                </c:pt>
                <c:pt idx="7">
                  <c:v>32</c:v>
                </c:pt>
                <c:pt idx="8">
                  <c:v>39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67</c:v>
                </c:pt>
                <c:pt idx="15">
                  <c:v>69</c:v>
                </c:pt>
                <c:pt idx="16">
                  <c:v>71</c:v>
                </c:pt>
                <c:pt idx="17">
                  <c:v>73</c:v>
                </c:pt>
                <c:pt idx="18">
                  <c:v>75</c:v>
                </c:pt>
                <c:pt idx="19">
                  <c:v>76</c:v>
                </c:pt>
                <c:pt idx="20">
                  <c:v>78</c:v>
                </c:pt>
                <c:pt idx="21">
                  <c:v>80</c:v>
                </c:pt>
                <c:pt idx="22">
                  <c:v>82</c:v>
                </c:pt>
                <c:pt idx="23">
                  <c:v>84</c:v>
                </c:pt>
                <c:pt idx="24">
                  <c:v>85</c:v>
                </c:pt>
                <c:pt idx="25">
                  <c:v>86</c:v>
                </c:pt>
                <c:pt idx="26">
                  <c:v>87</c:v>
                </c:pt>
                <c:pt idx="27">
                  <c:v>88</c:v>
                </c:pt>
                <c:pt idx="28">
                  <c:v>89</c:v>
                </c:pt>
                <c:pt idx="29">
                  <c:v>90</c:v>
                </c:pt>
                <c:pt idx="30">
                  <c:v>91</c:v>
                </c:pt>
                <c:pt idx="31">
                  <c:v>92</c:v>
                </c:pt>
                <c:pt idx="32">
                  <c:v>93</c:v>
                </c:pt>
                <c:pt idx="33">
                  <c:v>94</c:v>
                </c:pt>
                <c:pt idx="34">
                  <c:v>95</c:v>
                </c:pt>
                <c:pt idx="35">
                  <c:v>96</c:v>
                </c:pt>
                <c:pt idx="36">
                  <c:v>97</c:v>
                </c:pt>
                <c:pt idx="37">
                  <c:v>98</c:v>
                </c:pt>
                <c:pt idx="38">
                  <c:v>99</c:v>
                </c:pt>
                <c:pt idx="39">
                  <c:v>100</c:v>
                </c:pt>
                <c:pt idx="40">
                  <c:v>101</c:v>
                </c:pt>
                <c:pt idx="41">
                  <c:v>102</c:v>
                </c:pt>
              </c:numCache>
            </c:numRef>
          </c:xVal>
          <c:yVal>
            <c:numRef>
              <c:f>Courbes!$G$184:$G$225</c:f>
              <c:numCache>
                <c:formatCode>General</c:formatCode>
                <c:ptCount val="42"/>
                <c:pt idx="1">
                  <c:v>200</c:v>
                </c:pt>
                <c:pt idx="2">
                  <c:v>195</c:v>
                </c:pt>
                <c:pt idx="3">
                  <c:v>182</c:v>
                </c:pt>
                <c:pt idx="4">
                  <c:v>167</c:v>
                </c:pt>
                <c:pt idx="5">
                  <c:v>156</c:v>
                </c:pt>
                <c:pt idx="6">
                  <c:v>150</c:v>
                </c:pt>
                <c:pt idx="7">
                  <c:v>146</c:v>
                </c:pt>
                <c:pt idx="8">
                  <c:v>130</c:v>
                </c:pt>
                <c:pt idx="9">
                  <c:v>122</c:v>
                </c:pt>
                <c:pt idx="10">
                  <c:v>112</c:v>
                </c:pt>
                <c:pt idx="11">
                  <c:v>103</c:v>
                </c:pt>
                <c:pt idx="12">
                  <c:v>94</c:v>
                </c:pt>
                <c:pt idx="13">
                  <c:v>84</c:v>
                </c:pt>
                <c:pt idx="14">
                  <c:v>80</c:v>
                </c:pt>
                <c:pt idx="15">
                  <c:v>77</c:v>
                </c:pt>
                <c:pt idx="16">
                  <c:v>71</c:v>
                </c:pt>
                <c:pt idx="17">
                  <c:v>67</c:v>
                </c:pt>
                <c:pt idx="18">
                  <c:v>64</c:v>
                </c:pt>
                <c:pt idx="19">
                  <c:v>61</c:v>
                </c:pt>
                <c:pt idx="20">
                  <c:v>57</c:v>
                </c:pt>
                <c:pt idx="21">
                  <c:v>55</c:v>
                </c:pt>
                <c:pt idx="22">
                  <c:v>49</c:v>
                </c:pt>
                <c:pt idx="23">
                  <c:v>45</c:v>
                </c:pt>
                <c:pt idx="24">
                  <c:v>42</c:v>
                </c:pt>
                <c:pt idx="25">
                  <c:v>39</c:v>
                </c:pt>
                <c:pt idx="26">
                  <c:v>36</c:v>
                </c:pt>
                <c:pt idx="27">
                  <c:v>35</c:v>
                </c:pt>
                <c:pt idx="28">
                  <c:v>31</c:v>
                </c:pt>
                <c:pt idx="29">
                  <c:v>29</c:v>
                </c:pt>
                <c:pt idx="30">
                  <c:v>26</c:v>
                </c:pt>
                <c:pt idx="31">
                  <c:v>25</c:v>
                </c:pt>
                <c:pt idx="32">
                  <c:v>22</c:v>
                </c:pt>
                <c:pt idx="33">
                  <c:v>20</c:v>
                </c:pt>
                <c:pt idx="34">
                  <c:v>18</c:v>
                </c:pt>
                <c:pt idx="35">
                  <c:v>15</c:v>
                </c:pt>
                <c:pt idx="36">
                  <c:v>13</c:v>
                </c:pt>
                <c:pt idx="37">
                  <c:v>12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392192"/>
        <c:axId val="212398080"/>
      </c:scatterChart>
      <c:valAx>
        <c:axId val="212392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398080"/>
        <c:crosses val="autoZero"/>
        <c:crossBetween val="midCat"/>
      </c:valAx>
      <c:valAx>
        <c:axId val="21239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392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Courbes!$G$231</c:f>
              <c:strCache>
                <c:ptCount val="1"/>
                <c:pt idx="0">
                  <c:v>diameter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Courbes!$F$232:$F$262</c:f>
              <c:numCache>
                <c:formatCode>General</c:formatCode>
                <c:ptCount val="3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9</c:v>
                </c:pt>
                <c:pt idx="6">
                  <c:v>11</c:v>
                </c:pt>
                <c:pt idx="7">
                  <c:v>13</c:v>
                </c:pt>
                <c:pt idx="8">
                  <c:v>15</c:v>
                </c:pt>
                <c:pt idx="9">
                  <c:v>17</c:v>
                </c:pt>
                <c:pt idx="10">
                  <c:v>19</c:v>
                </c:pt>
                <c:pt idx="11">
                  <c:v>21</c:v>
                </c:pt>
                <c:pt idx="12">
                  <c:v>22</c:v>
                </c:pt>
                <c:pt idx="13">
                  <c:v>24</c:v>
                </c:pt>
                <c:pt idx="14">
                  <c:v>27</c:v>
                </c:pt>
                <c:pt idx="15">
                  <c:v>29</c:v>
                </c:pt>
                <c:pt idx="16">
                  <c:v>31</c:v>
                </c:pt>
                <c:pt idx="17">
                  <c:v>33</c:v>
                </c:pt>
                <c:pt idx="18">
                  <c:v>35</c:v>
                </c:pt>
                <c:pt idx="19">
                  <c:v>37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49</c:v>
                </c:pt>
                <c:pt idx="26">
                  <c:v>51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</c:numCache>
            </c:numRef>
          </c:xVal>
          <c:yVal>
            <c:numRef>
              <c:f>Courbes!$G$232:$G$262</c:f>
              <c:numCache>
                <c:formatCode>General</c:formatCode>
                <c:ptCount val="31"/>
                <c:pt idx="0">
                  <c:v>67</c:v>
                </c:pt>
                <c:pt idx="1">
                  <c:v>62</c:v>
                </c:pt>
                <c:pt idx="2">
                  <c:v>61</c:v>
                </c:pt>
                <c:pt idx="3">
                  <c:v>60</c:v>
                </c:pt>
                <c:pt idx="4">
                  <c:v>58</c:v>
                </c:pt>
                <c:pt idx="5">
                  <c:v>56</c:v>
                </c:pt>
                <c:pt idx="6">
                  <c:v>55</c:v>
                </c:pt>
                <c:pt idx="7">
                  <c:v>51</c:v>
                </c:pt>
                <c:pt idx="8">
                  <c:v>49</c:v>
                </c:pt>
                <c:pt idx="9">
                  <c:v>47</c:v>
                </c:pt>
                <c:pt idx="10">
                  <c:v>46</c:v>
                </c:pt>
                <c:pt idx="11">
                  <c:v>44</c:v>
                </c:pt>
                <c:pt idx="12">
                  <c:v>42</c:v>
                </c:pt>
                <c:pt idx="13">
                  <c:v>41</c:v>
                </c:pt>
                <c:pt idx="14">
                  <c:v>39</c:v>
                </c:pt>
                <c:pt idx="15">
                  <c:v>36</c:v>
                </c:pt>
                <c:pt idx="16">
                  <c:v>34</c:v>
                </c:pt>
                <c:pt idx="17">
                  <c:v>32</c:v>
                </c:pt>
                <c:pt idx="18">
                  <c:v>30</c:v>
                </c:pt>
                <c:pt idx="19">
                  <c:v>29</c:v>
                </c:pt>
                <c:pt idx="20">
                  <c:v>28</c:v>
                </c:pt>
                <c:pt idx="21">
                  <c:v>23</c:v>
                </c:pt>
                <c:pt idx="22">
                  <c:v>22</c:v>
                </c:pt>
                <c:pt idx="23">
                  <c:v>19</c:v>
                </c:pt>
                <c:pt idx="24">
                  <c:v>17</c:v>
                </c:pt>
                <c:pt idx="25">
                  <c:v>15</c:v>
                </c:pt>
                <c:pt idx="26">
                  <c:v>13</c:v>
                </c:pt>
                <c:pt idx="27">
                  <c:v>11</c:v>
                </c:pt>
                <c:pt idx="28">
                  <c:v>9</c:v>
                </c:pt>
                <c:pt idx="29">
                  <c:v>9</c:v>
                </c:pt>
                <c:pt idx="30">
                  <c:v>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111744"/>
        <c:axId val="212113280"/>
      </c:scatterChart>
      <c:valAx>
        <c:axId val="212111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113280"/>
        <c:crosses val="autoZero"/>
        <c:crossBetween val="midCat"/>
      </c:valAx>
      <c:valAx>
        <c:axId val="2121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111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Courbes!$D$268</c:f>
              <c:strCache>
                <c:ptCount val="1"/>
                <c:pt idx="0">
                  <c:v>size (nm)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Courbes!$B$269:$B$282</c:f>
              <c:numCache>
                <c:formatCode>General</c:formatCode>
                <c:ptCount val="14"/>
                <c:pt idx="0">
                  <c:v>0</c:v>
                </c:pt>
                <c:pt idx="1">
                  <c:v>2</c:v>
                </c:pt>
                <c:pt idx="2">
                  <c:v>9</c:v>
                </c:pt>
                <c:pt idx="3">
                  <c:v>14</c:v>
                </c:pt>
                <c:pt idx="4">
                  <c:v>25</c:v>
                </c:pt>
                <c:pt idx="5">
                  <c:v>30</c:v>
                </c:pt>
                <c:pt idx="6">
                  <c:v>39</c:v>
                </c:pt>
                <c:pt idx="7">
                  <c:v>51</c:v>
                </c:pt>
                <c:pt idx="8">
                  <c:v>74</c:v>
                </c:pt>
                <c:pt idx="9">
                  <c:v>84</c:v>
                </c:pt>
                <c:pt idx="10">
                  <c:v>102</c:v>
                </c:pt>
                <c:pt idx="11">
                  <c:v>126</c:v>
                </c:pt>
                <c:pt idx="12">
                  <c:v>145</c:v>
                </c:pt>
                <c:pt idx="13">
                  <c:v>148</c:v>
                </c:pt>
              </c:numCache>
            </c:numRef>
          </c:xVal>
          <c:yVal>
            <c:numRef>
              <c:f>Courbes!$D$269:$D$282</c:f>
              <c:numCache>
                <c:formatCode>General</c:formatCode>
                <c:ptCount val="14"/>
                <c:pt idx="0">
                  <c:v>67</c:v>
                </c:pt>
                <c:pt idx="1">
                  <c:v>65</c:v>
                </c:pt>
                <c:pt idx="2">
                  <c:v>63</c:v>
                </c:pt>
                <c:pt idx="3">
                  <c:v>60</c:v>
                </c:pt>
                <c:pt idx="4">
                  <c:v>58</c:v>
                </c:pt>
                <c:pt idx="5">
                  <c:v>55</c:v>
                </c:pt>
                <c:pt idx="6">
                  <c:v>53</c:v>
                </c:pt>
                <c:pt idx="7">
                  <c:v>47</c:v>
                </c:pt>
                <c:pt idx="8">
                  <c:v>40.200000000000003</c:v>
                </c:pt>
                <c:pt idx="9">
                  <c:v>38</c:v>
                </c:pt>
                <c:pt idx="10">
                  <c:v>31.3</c:v>
                </c:pt>
                <c:pt idx="11">
                  <c:v>22.33</c:v>
                </c:pt>
                <c:pt idx="12">
                  <c:v>13.8</c:v>
                </c:pt>
                <c:pt idx="13">
                  <c:v>13.4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130048"/>
        <c:axId val="212152704"/>
      </c:scatterChart>
      <c:valAx>
        <c:axId val="212130048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152704"/>
        <c:crosses val="autoZero"/>
        <c:crossBetween val="midCat"/>
      </c:valAx>
      <c:valAx>
        <c:axId val="21215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130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Courbes!$D$268</c:f>
              <c:strCache>
                <c:ptCount val="1"/>
                <c:pt idx="0">
                  <c:v>size (nm)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Courbes!$C$269:$C$282</c:f>
              <c:numCache>
                <c:formatCode>0.00</c:formatCode>
                <c:ptCount val="14"/>
                <c:pt idx="0">
                  <c:v>0</c:v>
                </c:pt>
                <c:pt idx="1">
                  <c:v>23.333333333333332</c:v>
                </c:pt>
                <c:pt idx="2">
                  <c:v>105</c:v>
                </c:pt>
                <c:pt idx="3">
                  <c:v>163.33333333333334</c:v>
                </c:pt>
                <c:pt idx="4">
                  <c:v>291.66666666666669</c:v>
                </c:pt>
                <c:pt idx="5">
                  <c:v>350</c:v>
                </c:pt>
                <c:pt idx="6">
                  <c:v>456</c:v>
                </c:pt>
                <c:pt idx="7">
                  <c:v>596</c:v>
                </c:pt>
                <c:pt idx="8">
                  <c:v>865</c:v>
                </c:pt>
                <c:pt idx="9">
                  <c:v>982</c:v>
                </c:pt>
                <c:pt idx="10">
                  <c:v>1192</c:v>
                </c:pt>
                <c:pt idx="11">
                  <c:v>1473</c:v>
                </c:pt>
                <c:pt idx="12">
                  <c:v>1696</c:v>
                </c:pt>
                <c:pt idx="13">
                  <c:v>1731</c:v>
                </c:pt>
              </c:numCache>
            </c:numRef>
          </c:xVal>
          <c:yVal>
            <c:numRef>
              <c:f>Courbes!$D$269:$D$282</c:f>
              <c:numCache>
                <c:formatCode>General</c:formatCode>
                <c:ptCount val="14"/>
                <c:pt idx="0">
                  <c:v>67</c:v>
                </c:pt>
                <c:pt idx="1">
                  <c:v>65</c:v>
                </c:pt>
                <c:pt idx="2">
                  <c:v>63</c:v>
                </c:pt>
                <c:pt idx="3">
                  <c:v>60</c:v>
                </c:pt>
                <c:pt idx="4">
                  <c:v>58</c:v>
                </c:pt>
                <c:pt idx="5">
                  <c:v>55</c:v>
                </c:pt>
                <c:pt idx="6">
                  <c:v>53</c:v>
                </c:pt>
                <c:pt idx="7">
                  <c:v>47</c:v>
                </c:pt>
                <c:pt idx="8">
                  <c:v>40.200000000000003</c:v>
                </c:pt>
                <c:pt idx="9">
                  <c:v>38</c:v>
                </c:pt>
                <c:pt idx="10">
                  <c:v>31.3</c:v>
                </c:pt>
                <c:pt idx="11">
                  <c:v>22.33</c:v>
                </c:pt>
                <c:pt idx="12">
                  <c:v>13.8</c:v>
                </c:pt>
                <c:pt idx="13">
                  <c:v>13.4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198912"/>
        <c:axId val="212200832"/>
      </c:scatterChart>
      <c:valAx>
        <c:axId val="212198912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200832"/>
        <c:crosses val="autoZero"/>
        <c:crossBetween val="midCat"/>
      </c:valAx>
      <c:valAx>
        <c:axId val="21220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198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Courbes!$C$290</c:f>
              <c:strCache>
                <c:ptCount val="1"/>
                <c:pt idx="0">
                  <c:v>hole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Courbes!$B$291:$B$296</c:f>
              <c:numCache>
                <c:formatCode>General</c:formatCode>
                <c:ptCount val="6"/>
                <c:pt idx="0">
                  <c:v>0</c:v>
                </c:pt>
                <c:pt idx="1">
                  <c:v>0.38</c:v>
                </c:pt>
                <c:pt idx="2">
                  <c:v>5.13</c:v>
                </c:pt>
                <c:pt idx="3">
                  <c:v>9.69</c:v>
                </c:pt>
                <c:pt idx="4">
                  <c:v>12.35</c:v>
                </c:pt>
                <c:pt idx="5">
                  <c:v>15.2</c:v>
                </c:pt>
              </c:numCache>
            </c:numRef>
          </c:xVal>
          <c:yVal>
            <c:numRef>
              <c:f>Courbes!$C$291:$C$296</c:f>
              <c:numCache>
                <c:formatCode>General</c:formatCode>
                <c:ptCount val="6"/>
                <c:pt idx="0">
                  <c:v>65.900000000000006</c:v>
                </c:pt>
                <c:pt idx="1">
                  <c:v>56.3</c:v>
                </c:pt>
                <c:pt idx="2">
                  <c:v>36.799999999999997</c:v>
                </c:pt>
                <c:pt idx="3">
                  <c:v>20</c:v>
                </c:pt>
                <c:pt idx="4">
                  <c:v>11.72</c:v>
                </c:pt>
                <c:pt idx="5">
                  <c:v>7.3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247296"/>
        <c:axId val="212249216"/>
      </c:scatterChart>
      <c:valAx>
        <c:axId val="21224729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249216"/>
        <c:crosses val="autoZero"/>
        <c:crossBetween val="midCat"/>
      </c:valAx>
      <c:valAx>
        <c:axId val="21224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247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Courbes!$B$305</c:f>
              <c:strCache>
                <c:ptCount val="1"/>
                <c:pt idx="0">
                  <c:v>hole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Courbes!$A$306:$A$312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9</c:v>
                </c:pt>
                <c:pt idx="4">
                  <c:v>14</c:v>
                </c:pt>
                <c:pt idx="5">
                  <c:v>19</c:v>
                </c:pt>
                <c:pt idx="6">
                  <c:v>24</c:v>
                </c:pt>
              </c:numCache>
            </c:numRef>
          </c:xVal>
          <c:yVal>
            <c:numRef>
              <c:f>Courbes!$B$306:$B$312</c:f>
              <c:numCache>
                <c:formatCode>General</c:formatCode>
                <c:ptCount val="7"/>
                <c:pt idx="0">
                  <c:v>67</c:v>
                </c:pt>
                <c:pt idx="1">
                  <c:v>62.5</c:v>
                </c:pt>
                <c:pt idx="2">
                  <c:v>53.6</c:v>
                </c:pt>
                <c:pt idx="3">
                  <c:v>42.43</c:v>
                </c:pt>
                <c:pt idx="4">
                  <c:v>31.2</c:v>
                </c:pt>
                <c:pt idx="5">
                  <c:v>21.21</c:v>
                </c:pt>
                <c:pt idx="6">
                  <c:v>11.1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692992"/>
        <c:axId val="212694912"/>
      </c:scatterChart>
      <c:valAx>
        <c:axId val="212692992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694912"/>
        <c:crosses val="autoZero"/>
        <c:crossBetween val="midCat"/>
      </c:valAx>
      <c:valAx>
        <c:axId val="21269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692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Courbes!$F$338</c:f>
              <c:strCache>
                <c:ptCount val="1"/>
                <c:pt idx="0">
                  <c:v>taille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Courbes!$D$339:$D$366</c:f>
              <c:numCache>
                <c:formatCode>General</c:formatCode>
                <c:ptCount val="28"/>
                <c:pt idx="0">
                  <c:v>0</c:v>
                </c:pt>
                <c:pt idx="1">
                  <c:v>9</c:v>
                </c:pt>
                <c:pt idx="2">
                  <c:v>21</c:v>
                </c:pt>
                <c:pt idx="3">
                  <c:v>30</c:v>
                </c:pt>
                <c:pt idx="4">
                  <c:v>41</c:v>
                </c:pt>
                <c:pt idx="5">
                  <c:v>51</c:v>
                </c:pt>
                <c:pt idx="6">
                  <c:v>61</c:v>
                </c:pt>
                <c:pt idx="7">
                  <c:v>71</c:v>
                </c:pt>
                <c:pt idx="8">
                  <c:v>82</c:v>
                </c:pt>
                <c:pt idx="9">
                  <c:v>92</c:v>
                </c:pt>
                <c:pt idx="10">
                  <c:v>109</c:v>
                </c:pt>
                <c:pt idx="11">
                  <c:v>118</c:v>
                </c:pt>
                <c:pt idx="12">
                  <c:v>133</c:v>
                </c:pt>
                <c:pt idx="13">
                  <c:v>144</c:v>
                </c:pt>
                <c:pt idx="14">
                  <c:v>161</c:v>
                </c:pt>
                <c:pt idx="15">
                  <c:v>171</c:v>
                </c:pt>
                <c:pt idx="16">
                  <c:v>181</c:v>
                </c:pt>
                <c:pt idx="17">
                  <c:v>197</c:v>
                </c:pt>
                <c:pt idx="18">
                  <c:v>213</c:v>
                </c:pt>
                <c:pt idx="19">
                  <c:v>233</c:v>
                </c:pt>
                <c:pt idx="20">
                  <c:v>244</c:v>
                </c:pt>
                <c:pt idx="21">
                  <c:v>260</c:v>
                </c:pt>
                <c:pt idx="22">
                  <c:v>275</c:v>
                </c:pt>
                <c:pt idx="23">
                  <c:v>285</c:v>
                </c:pt>
                <c:pt idx="24">
                  <c:v>301</c:v>
                </c:pt>
                <c:pt idx="25">
                  <c:v>311</c:v>
                </c:pt>
                <c:pt idx="26">
                  <c:v>321</c:v>
                </c:pt>
                <c:pt idx="27">
                  <c:v>333</c:v>
                </c:pt>
              </c:numCache>
            </c:numRef>
          </c:xVal>
          <c:yVal>
            <c:numRef>
              <c:f>Courbes!$F$339:$F$366</c:f>
              <c:numCache>
                <c:formatCode>General</c:formatCode>
                <c:ptCount val="28"/>
                <c:pt idx="0">
                  <c:v>54</c:v>
                </c:pt>
                <c:pt idx="1">
                  <c:v>53</c:v>
                </c:pt>
                <c:pt idx="2">
                  <c:v>52</c:v>
                </c:pt>
                <c:pt idx="3">
                  <c:v>49</c:v>
                </c:pt>
                <c:pt idx="4">
                  <c:v>48</c:v>
                </c:pt>
                <c:pt idx="5">
                  <c:v>47</c:v>
                </c:pt>
                <c:pt idx="6">
                  <c:v>45</c:v>
                </c:pt>
                <c:pt idx="7">
                  <c:v>45</c:v>
                </c:pt>
                <c:pt idx="8">
                  <c:v>41</c:v>
                </c:pt>
                <c:pt idx="9">
                  <c:v>41</c:v>
                </c:pt>
                <c:pt idx="10">
                  <c:v>39</c:v>
                </c:pt>
                <c:pt idx="11">
                  <c:v>38</c:v>
                </c:pt>
                <c:pt idx="12">
                  <c:v>34.6</c:v>
                </c:pt>
                <c:pt idx="13">
                  <c:v>33.5</c:v>
                </c:pt>
                <c:pt idx="14">
                  <c:v>31.2</c:v>
                </c:pt>
                <c:pt idx="15">
                  <c:v>27.9</c:v>
                </c:pt>
                <c:pt idx="16">
                  <c:v>27.9</c:v>
                </c:pt>
                <c:pt idx="17">
                  <c:v>25.68</c:v>
                </c:pt>
                <c:pt idx="18">
                  <c:v>23.4</c:v>
                </c:pt>
                <c:pt idx="19">
                  <c:v>20.100000000000001</c:v>
                </c:pt>
                <c:pt idx="20">
                  <c:v>17.899999999999999</c:v>
                </c:pt>
                <c:pt idx="21">
                  <c:v>15.6</c:v>
                </c:pt>
                <c:pt idx="22">
                  <c:v>13.4</c:v>
                </c:pt>
                <c:pt idx="23">
                  <c:v>12.3</c:v>
                </c:pt>
                <c:pt idx="24">
                  <c:v>11</c:v>
                </c:pt>
                <c:pt idx="25">
                  <c:v>10</c:v>
                </c:pt>
                <c:pt idx="26">
                  <c:v>6.7</c:v>
                </c:pt>
                <c:pt idx="27">
                  <c:v>6.7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720640"/>
        <c:axId val="212739200"/>
      </c:scatterChart>
      <c:valAx>
        <c:axId val="212720640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739200"/>
        <c:crosses val="autoZero"/>
        <c:crossBetween val="midCat"/>
      </c:valAx>
      <c:valAx>
        <c:axId val="21273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720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Courbes!$F$338</c:f>
              <c:strCache>
                <c:ptCount val="1"/>
                <c:pt idx="0">
                  <c:v>taille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Courbes!$E$339:$E$366</c:f>
              <c:numCache>
                <c:formatCode>General</c:formatCode>
                <c:ptCount val="2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13</c:v>
                </c:pt>
                <c:pt idx="8">
                  <c:v>16</c:v>
                </c:pt>
                <c:pt idx="9">
                  <c:v>18</c:v>
                </c:pt>
                <c:pt idx="10">
                  <c:v>21</c:v>
                </c:pt>
                <c:pt idx="11">
                  <c:v>23</c:v>
                </c:pt>
                <c:pt idx="12">
                  <c:v>26</c:v>
                </c:pt>
                <c:pt idx="13">
                  <c:v>28</c:v>
                </c:pt>
                <c:pt idx="14">
                  <c:v>31</c:v>
                </c:pt>
                <c:pt idx="15">
                  <c:v>32</c:v>
                </c:pt>
                <c:pt idx="16">
                  <c:v>35</c:v>
                </c:pt>
                <c:pt idx="17">
                  <c:v>38</c:v>
                </c:pt>
                <c:pt idx="18">
                  <c:v>41</c:v>
                </c:pt>
                <c:pt idx="19">
                  <c:v>45</c:v>
                </c:pt>
                <c:pt idx="20">
                  <c:v>47</c:v>
                </c:pt>
                <c:pt idx="21">
                  <c:v>51</c:v>
                </c:pt>
                <c:pt idx="22">
                  <c:v>53</c:v>
                </c:pt>
                <c:pt idx="23">
                  <c:v>55</c:v>
                </c:pt>
                <c:pt idx="24">
                  <c:v>58</c:v>
                </c:pt>
                <c:pt idx="25">
                  <c:v>60</c:v>
                </c:pt>
                <c:pt idx="26">
                  <c:v>62</c:v>
                </c:pt>
                <c:pt idx="27">
                  <c:v>65</c:v>
                </c:pt>
              </c:numCache>
            </c:numRef>
          </c:xVal>
          <c:yVal>
            <c:numRef>
              <c:f>Courbes!$F$339:$F$366</c:f>
              <c:numCache>
                <c:formatCode>General</c:formatCode>
                <c:ptCount val="28"/>
                <c:pt idx="0">
                  <c:v>54</c:v>
                </c:pt>
                <c:pt idx="1">
                  <c:v>53</c:v>
                </c:pt>
                <c:pt idx="2">
                  <c:v>52</c:v>
                </c:pt>
                <c:pt idx="3">
                  <c:v>49</c:v>
                </c:pt>
                <c:pt idx="4">
                  <c:v>48</c:v>
                </c:pt>
                <c:pt idx="5">
                  <c:v>47</c:v>
                </c:pt>
                <c:pt idx="6">
                  <c:v>45</c:v>
                </c:pt>
                <c:pt idx="7">
                  <c:v>45</c:v>
                </c:pt>
                <c:pt idx="8">
                  <c:v>41</c:v>
                </c:pt>
                <c:pt idx="9">
                  <c:v>41</c:v>
                </c:pt>
                <c:pt idx="10">
                  <c:v>39</c:v>
                </c:pt>
                <c:pt idx="11">
                  <c:v>38</c:v>
                </c:pt>
                <c:pt idx="12">
                  <c:v>34.6</c:v>
                </c:pt>
                <c:pt idx="13">
                  <c:v>33.5</c:v>
                </c:pt>
                <c:pt idx="14">
                  <c:v>31.2</c:v>
                </c:pt>
                <c:pt idx="15">
                  <c:v>27.9</c:v>
                </c:pt>
                <c:pt idx="16">
                  <c:v>27.9</c:v>
                </c:pt>
                <c:pt idx="17">
                  <c:v>25.68</c:v>
                </c:pt>
                <c:pt idx="18">
                  <c:v>23.4</c:v>
                </c:pt>
                <c:pt idx="19">
                  <c:v>20.100000000000001</c:v>
                </c:pt>
                <c:pt idx="20">
                  <c:v>17.899999999999999</c:v>
                </c:pt>
                <c:pt idx="21">
                  <c:v>15.6</c:v>
                </c:pt>
                <c:pt idx="22">
                  <c:v>13.4</c:v>
                </c:pt>
                <c:pt idx="23">
                  <c:v>12.3</c:v>
                </c:pt>
                <c:pt idx="24">
                  <c:v>11</c:v>
                </c:pt>
                <c:pt idx="25">
                  <c:v>10</c:v>
                </c:pt>
                <c:pt idx="26">
                  <c:v>6.7</c:v>
                </c:pt>
                <c:pt idx="27">
                  <c:v>6.7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785408"/>
        <c:axId val="212791680"/>
      </c:scatterChart>
      <c:valAx>
        <c:axId val="212785408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791680"/>
        <c:crosses val="autoZero"/>
        <c:crossBetween val="midCat"/>
      </c:valAx>
      <c:valAx>
        <c:axId val="21279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785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Courbes!$G$45</c:f>
              <c:strCache>
                <c:ptCount val="1"/>
                <c:pt idx="0">
                  <c:v>diameter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Courbes!$F$46:$F$55</c:f>
              <c:numCache>
                <c:formatCode>General</c:formatCode>
                <c:ptCount val="10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37</c:v>
                </c:pt>
              </c:numCache>
            </c:numRef>
          </c:xVal>
          <c:yVal>
            <c:numRef>
              <c:f>Courbes!$G$46:$G$55</c:f>
              <c:numCache>
                <c:formatCode>General</c:formatCode>
                <c:ptCount val="10"/>
                <c:pt idx="0">
                  <c:v>67</c:v>
                </c:pt>
                <c:pt idx="1">
                  <c:v>60.3</c:v>
                </c:pt>
                <c:pt idx="2">
                  <c:v>51.4</c:v>
                </c:pt>
                <c:pt idx="3">
                  <c:v>49.1</c:v>
                </c:pt>
                <c:pt idx="4">
                  <c:v>42.4</c:v>
                </c:pt>
                <c:pt idx="5">
                  <c:v>34.6</c:v>
                </c:pt>
                <c:pt idx="6">
                  <c:v>29</c:v>
                </c:pt>
                <c:pt idx="7">
                  <c:v>22.3</c:v>
                </c:pt>
                <c:pt idx="8">
                  <c:v>13.4</c:v>
                </c:pt>
                <c:pt idx="9">
                  <c:v>8.9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318656"/>
        <c:axId val="211320192"/>
      </c:scatterChart>
      <c:valAx>
        <c:axId val="211318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1320192"/>
        <c:crosses val="autoZero"/>
        <c:crossBetween val="midCat"/>
      </c:valAx>
      <c:valAx>
        <c:axId val="21132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1318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Courbes!$F$370</c:f>
              <c:strCache>
                <c:ptCount val="1"/>
                <c:pt idx="0">
                  <c:v>size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Courbes!$E$371:$E$381</c:f>
              <c:numCache>
                <c:formatCode>General</c:formatCode>
                <c:ptCount val="1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10</c:v>
                </c:pt>
                <c:pt idx="5">
                  <c:v>13</c:v>
                </c:pt>
                <c:pt idx="6">
                  <c:v>16</c:v>
                </c:pt>
                <c:pt idx="7">
                  <c:v>18</c:v>
                </c:pt>
                <c:pt idx="8">
                  <c:v>21</c:v>
                </c:pt>
                <c:pt idx="9">
                  <c:v>24</c:v>
                </c:pt>
                <c:pt idx="10">
                  <c:v>27</c:v>
                </c:pt>
              </c:numCache>
            </c:numRef>
          </c:xVal>
          <c:yVal>
            <c:numRef>
              <c:f>Courbes!$F$371:$F$381</c:f>
              <c:numCache>
                <c:formatCode>General</c:formatCode>
                <c:ptCount val="11"/>
                <c:pt idx="0">
                  <c:v>48</c:v>
                </c:pt>
                <c:pt idx="1">
                  <c:v>45</c:v>
                </c:pt>
                <c:pt idx="2">
                  <c:v>44</c:v>
                </c:pt>
                <c:pt idx="3">
                  <c:v>40</c:v>
                </c:pt>
                <c:pt idx="4">
                  <c:v>35</c:v>
                </c:pt>
                <c:pt idx="5">
                  <c:v>32</c:v>
                </c:pt>
                <c:pt idx="6">
                  <c:v>29</c:v>
                </c:pt>
                <c:pt idx="7">
                  <c:v>27</c:v>
                </c:pt>
                <c:pt idx="8">
                  <c:v>24</c:v>
                </c:pt>
                <c:pt idx="9">
                  <c:v>21</c:v>
                </c:pt>
                <c:pt idx="10">
                  <c:v>19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456960"/>
        <c:axId val="212458880"/>
      </c:scatterChart>
      <c:valAx>
        <c:axId val="212456960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458880"/>
        <c:crosses val="autoZero"/>
        <c:crossBetween val="midCat"/>
      </c:valAx>
      <c:valAx>
        <c:axId val="21245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456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Courbes!$F$389</c:f>
              <c:strCache>
                <c:ptCount val="1"/>
                <c:pt idx="0">
                  <c:v>size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Courbes!$E$390:$E$399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18</c:v>
                </c:pt>
              </c:numCache>
            </c:numRef>
          </c:xVal>
          <c:yVal>
            <c:numRef>
              <c:f>Courbes!$F$390:$F$399</c:f>
              <c:numCache>
                <c:formatCode>General</c:formatCode>
                <c:ptCount val="10"/>
                <c:pt idx="0">
                  <c:v>55</c:v>
                </c:pt>
                <c:pt idx="1">
                  <c:v>53</c:v>
                </c:pt>
                <c:pt idx="2">
                  <c:v>47</c:v>
                </c:pt>
                <c:pt idx="3">
                  <c:v>42</c:v>
                </c:pt>
                <c:pt idx="4">
                  <c:v>37</c:v>
                </c:pt>
                <c:pt idx="5">
                  <c:v>26</c:v>
                </c:pt>
                <c:pt idx="6">
                  <c:v>21</c:v>
                </c:pt>
                <c:pt idx="7">
                  <c:v>15</c:v>
                </c:pt>
                <c:pt idx="8">
                  <c:v>7</c:v>
                </c:pt>
                <c:pt idx="9">
                  <c:v>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481152"/>
        <c:axId val="212483072"/>
      </c:scatterChart>
      <c:valAx>
        <c:axId val="212481152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483072"/>
        <c:crosses val="autoZero"/>
        <c:crossBetween val="midCat"/>
      </c:valAx>
      <c:valAx>
        <c:axId val="21248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481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Courbes!$F$322</c:f>
              <c:strCache>
                <c:ptCount val="1"/>
                <c:pt idx="0">
                  <c:v>size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Courbes!$E$323:$E$335</c:f>
              <c:numCache>
                <c:formatCode>General</c:formatCode>
                <c:ptCount val="13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  <c:pt idx="5">
                  <c:v>49</c:v>
                </c:pt>
                <c:pt idx="6">
                  <c:v>60</c:v>
                </c:pt>
                <c:pt idx="7">
                  <c:v>68</c:v>
                </c:pt>
                <c:pt idx="8">
                  <c:v>78</c:v>
                </c:pt>
                <c:pt idx="9">
                  <c:v>85</c:v>
                </c:pt>
                <c:pt idx="10">
                  <c:v>93</c:v>
                </c:pt>
                <c:pt idx="11">
                  <c:v>101</c:v>
                </c:pt>
                <c:pt idx="12">
                  <c:v>106</c:v>
                </c:pt>
              </c:numCache>
            </c:numRef>
          </c:xVal>
          <c:yVal>
            <c:numRef>
              <c:f>Courbes!$F$323:$F$335</c:f>
              <c:numCache>
                <c:formatCode>General</c:formatCode>
                <c:ptCount val="13"/>
                <c:pt idx="0">
                  <c:v>49</c:v>
                </c:pt>
                <c:pt idx="1">
                  <c:v>46</c:v>
                </c:pt>
                <c:pt idx="2">
                  <c:v>41.87</c:v>
                </c:pt>
                <c:pt idx="3">
                  <c:v>38</c:v>
                </c:pt>
                <c:pt idx="4">
                  <c:v>34.6</c:v>
                </c:pt>
                <c:pt idx="5">
                  <c:v>28.4</c:v>
                </c:pt>
                <c:pt idx="6">
                  <c:v>23.45</c:v>
                </c:pt>
                <c:pt idx="7">
                  <c:v>19.54</c:v>
                </c:pt>
                <c:pt idx="8">
                  <c:v>16.190000000000001</c:v>
                </c:pt>
                <c:pt idx="9">
                  <c:v>12.28</c:v>
                </c:pt>
                <c:pt idx="10">
                  <c:v>10.6</c:v>
                </c:pt>
                <c:pt idx="11">
                  <c:v>9</c:v>
                </c:pt>
                <c:pt idx="12">
                  <c:v>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525440"/>
        <c:axId val="212527360"/>
      </c:scatterChart>
      <c:valAx>
        <c:axId val="212525440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527360"/>
        <c:crosses val="autoZero"/>
        <c:crossBetween val="midCat"/>
      </c:valAx>
      <c:valAx>
        <c:axId val="21252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525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Time to close the hole - Repeatability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Repeatability!$B$1</c:f>
              <c:strCache>
                <c:ptCount val="1"/>
                <c:pt idx="0">
                  <c:v>Exp 1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Repeatability!$A$2:$A$30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0</c:v>
                </c:pt>
                <c:pt idx="12">
                  <c:v>2</c:v>
                </c:pt>
                <c:pt idx="13">
                  <c:v>4</c:v>
                </c:pt>
                <c:pt idx="14">
                  <c:v>6</c:v>
                </c:pt>
                <c:pt idx="15">
                  <c:v>8</c:v>
                </c:pt>
                <c:pt idx="16">
                  <c:v>10</c:v>
                </c:pt>
                <c:pt idx="17">
                  <c:v>12</c:v>
                </c:pt>
                <c:pt idx="18">
                  <c:v>0</c:v>
                </c:pt>
                <c:pt idx="19">
                  <c:v>2</c:v>
                </c:pt>
                <c:pt idx="20">
                  <c:v>3</c:v>
                </c:pt>
                <c:pt idx="21">
                  <c:v>4</c:v>
                </c:pt>
                <c:pt idx="22">
                  <c:v>5</c:v>
                </c:pt>
                <c:pt idx="23">
                  <c:v>7</c:v>
                </c:pt>
                <c:pt idx="24">
                  <c:v>8</c:v>
                </c:pt>
                <c:pt idx="25">
                  <c:v>9</c:v>
                </c:pt>
                <c:pt idx="26">
                  <c:v>11</c:v>
                </c:pt>
                <c:pt idx="27">
                  <c:v>12</c:v>
                </c:pt>
                <c:pt idx="28">
                  <c:v>13</c:v>
                </c:pt>
              </c:numCache>
            </c:numRef>
          </c:xVal>
          <c:yVal>
            <c:numRef>
              <c:f>Repeatability!$B$2:$B$30</c:f>
              <c:numCache>
                <c:formatCode>General</c:formatCode>
                <c:ptCount val="29"/>
                <c:pt idx="0">
                  <c:v>69</c:v>
                </c:pt>
                <c:pt idx="1">
                  <c:v>68</c:v>
                </c:pt>
                <c:pt idx="2">
                  <c:v>65</c:v>
                </c:pt>
                <c:pt idx="3">
                  <c:v>58</c:v>
                </c:pt>
                <c:pt idx="4">
                  <c:v>51</c:v>
                </c:pt>
                <c:pt idx="5">
                  <c:v>42</c:v>
                </c:pt>
                <c:pt idx="6">
                  <c:v>31</c:v>
                </c:pt>
                <c:pt idx="7">
                  <c:v>21</c:v>
                </c:pt>
                <c:pt idx="8">
                  <c:v>16</c:v>
                </c:pt>
                <c:pt idx="9">
                  <c:v>11</c:v>
                </c:pt>
                <c:pt idx="10">
                  <c:v>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Repeatability!$C$1</c:f>
              <c:strCache>
                <c:ptCount val="1"/>
                <c:pt idx="0">
                  <c:v>Exp 2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Repeatability!$A$2:$A$30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0</c:v>
                </c:pt>
                <c:pt idx="12">
                  <c:v>2</c:v>
                </c:pt>
                <c:pt idx="13">
                  <c:v>4</c:v>
                </c:pt>
                <c:pt idx="14">
                  <c:v>6</c:v>
                </c:pt>
                <c:pt idx="15">
                  <c:v>8</c:v>
                </c:pt>
                <c:pt idx="16">
                  <c:v>10</c:v>
                </c:pt>
                <c:pt idx="17">
                  <c:v>12</c:v>
                </c:pt>
                <c:pt idx="18">
                  <c:v>0</c:v>
                </c:pt>
                <c:pt idx="19">
                  <c:v>2</c:v>
                </c:pt>
                <c:pt idx="20">
                  <c:v>3</c:v>
                </c:pt>
                <c:pt idx="21">
                  <c:v>4</c:v>
                </c:pt>
                <c:pt idx="22">
                  <c:v>5</c:v>
                </c:pt>
                <c:pt idx="23">
                  <c:v>7</c:v>
                </c:pt>
                <c:pt idx="24">
                  <c:v>8</c:v>
                </c:pt>
                <c:pt idx="25">
                  <c:v>9</c:v>
                </c:pt>
                <c:pt idx="26">
                  <c:v>11</c:v>
                </c:pt>
                <c:pt idx="27">
                  <c:v>12</c:v>
                </c:pt>
                <c:pt idx="28">
                  <c:v>13</c:v>
                </c:pt>
              </c:numCache>
            </c:numRef>
          </c:xVal>
          <c:yVal>
            <c:numRef>
              <c:f>Repeatability!$C$2:$C$30</c:f>
              <c:numCache>
                <c:formatCode>General</c:formatCode>
                <c:ptCount val="29"/>
                <c:pt idx="11">
                  <c:v>67</c:v>
                </c:pt>
                <c:pt idx="12">
                  <c:v>58</c:v>
                </c:pt>
                <c:pt idx="13">
                  <c:v>47.5</c:v>
                </c:pt>
                <c:pt idx="14">
                  <c:v>36.299999999999997</c:v>
                </c:pt>
                <c:pt idx="15">
                  <c:v>26.2</c:v>
                </c:pt>
                <c:pt idx="16">
                  <c:v>11.2</c:v>
                </c:pt>
                <c:pt idx="17">
                  <c:v>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Repeatability!$D$1</c:f>
              <c:strCache>
                <c:ptCount val="1"/>
                <c:pt idx="0">
                  <c:v>Exp 3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Repeatability!$A$2:$A$30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0</c:v>
                </c:pt>
                <c:pt idx="12">
                  <c:v>2</c:v>
                </c:pt>
                <c:pt idx="13">
                  <c:v>4</c:v>
                </c:pt>
                <c:pt idx="14">
                  <c:v>6</c:v>
                </c:pt>
                <c:pt idx="15">
                  <c:v>8</c:v>
                </c:pt>
                <c:pt idx="16">
                  <c:v>10</c:v>
                </c:pt>
                <c:pt idx="17">
                  <c:v>12</c:v>
                </c:pt>
                <c:pt idx="18">
                  <c:v>0</c:v>
                </c:pt>
                <c:pt idx="19">
                  <c:v>2</c:v>
                </c:pt>
                <c:pt idx="20">
                  <c:v>3</c:v>
                </c:pt>
                <c:pt idx="21">
                  <c:v>4</c:v>
                </c:pt>
                <c:pt idx="22">
                  <c:v>5</c:v>
                </c:pt>
                <c:pt idx="23">
                  <c:v>7</c:v>
                </c:pt>
                <c:pt idx="24">
                  <c:v>8</c:v>
                </c:pt>
                <c:pt idx="25">
                  <c:v>9</c:v>
                </c:pt>
                <c:pt idx="26">
                  <c:v>11</c:v>
                </c:pt>
                <c:pt idx="27">
                  <c:v>12</c:v>
                </c:pt>
                <c:pt idx="28">
                  <c:v>13</c:v>
                </c:pt>
              </c:numCache>
            </c:numRef>
          </c:xVal>
          <c:yVal>
            <c:numRef>
              <c:f>Repeatability!$D$2:$D$30</c:f>
              <c:numCache>
                <c:formatCode>General</c:formatCode>
                <c:ptCount val="29"/>
                <c:pt idx="18">
                  <c:v>68</c:v>
                </c:pt>
                <c:pt idx="19">
                  <c:v>59.7</c:v>
                </c:pt>
                <c:pt idx="20">
                  <c:v>56</c:v>
                </c:pt>
                <c:pt idx="21">
                  <c:v>54</c:v>
                </c:pt>
                <c:pt idx="22">
                  <c:v>47</c:v>
                </c:pt>
                <c:pt idx="23">
                  <c:v>38</c:v>
                </c:pt>
                <c:pt idx="24">
                  <c:v>34</c:v>
                </c:pt>
                <c:pt idx="25">
                  <c:v>28</c:v>
                </c:pt>
                <c:pt idx="26">
                  <c:v>15</c:v>
                </c:pt>
                <c:pt idx="27">
                  <c:v>12</c:v>
                </c:pt>
                <c:pt idx="28">
                  <c:v>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808064"/>
        <c:axId val="212810368"/>
      </c:scatterChart>
      <c:valAx>
        <c:axId val="212808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Number of scans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810368"/>
        <c:crosses val="autoZero"/>
        <c:crossBetween val="midCat"/>
      </c:valAx>
      <c:valAx>
        <c:axId val="21281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Hole size</a:t>
                </a:r>
                <a:r>
                  <a:rPr lang="fr-FR" baseline="0"/>
                  <a:t> (nm)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808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Influence of the magnification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'Closure speed'!$H$1</c:f>
              <c:strCache>
                <c:ptCount val="1"/>
                <c:pt idx="0">
                  <c:v>Closure speed (nm/scan)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'Closure speed'!$C$2:$C$22</c:f>
              <c:numCache>
                <c:formatCode>General</c:formatCode>
                <c:ptCount val="2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150</c:v>
                </c:pt>
                <c:pt idx="7">
                  <c:v>150</c:v>
                </c:pt>
                <c:pt idx="8">
                  <c:v>200</c:v>
                </c:pt>
                <c:pt idx="9">
                  <c:v>200</c:v>
                </c:pt>
                <c:pt idx="10">
                  <c:v>200</c:v>
                </c:pt>
                <c:pt idx="11">
                  <c:v>200</c:v>
                </c:pt>
                <c:pt idx="12">
                  <c:v>200</c:v>
                </c:pt>
                <c:pt idx="13">
                  <c:v>200</c:v>
                </c:pt>
                <c:pt idx="14">
                  <c:v>50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200</c:v>
                </c:pt>
                <c:pt idx="19">
                  <c:v>200</c:v>
                </c:pt>
              </c:numCache>
            </c:numRef>
          </c:xVal>
          <c:yVal>
            <c:numRef>
              <c:f>'Closure speed'!$H$2:$H$22</c:f>
              <c:numCache>
                <c:formatCode>General</c:formatCode>
                <c:ptCount val="21"/>
                <c:pt idx="0">
                  <c:v>1.42</c:v>
                </c:pt>
                <c:pt idx="1">
                  <c:v>1.06</c:v>
                </c:pt>
                <c:pt idx="2">
                  <c:v>1.59</c:v>
                </c:pt>
                <c:pt idx="3">
                  <c:v>1.0900000000000001</c:v>
                </c:pt>
                <c:pt idx="4">
                  <c:v>2.36</c:v>
                </c:pt>
                <c:pt idx="5">
                  <c:v>1.93</c:v>
                </c:pt>
                <c:pt idx="6">
                  <c:v>2.59</c:v>
                </c:pt>
                <c:pt idx="7">
                  <c:v>3.61</c:v>
                </c:pt>
                <c:pt idx="8">
                  <c:v>1.74</c:v>
                </c:pt>
                <c:pt idx="9">
                  <c:v>3.54</c:v>
                </c:pt>
                <c:pt idx="10">
                  <c:v>2.89</c:v>
                </c:pt>
                <c:pt idx="11">
                  <c:v>4.33</c:v>
                </c:pt>
                <c:pt idx="12">
                  <c:v>5.21</c:v>
                </c:pt>
                <c:pt idx="13">
                  <c:v>4.79</c:v>
                </c:pt>
                <c:pt idx="14">
                  <c:v>0.35299999999999998</c:v>
                </c:pt>
                <c:pt idx="15">
                  <c:v>2.2799999999999998</c:v>
                </c:pt>
                <c:pt idx="16">
                  <c:v>0.99</c:v>
                </c:pt>
                <c:pt idx="17">
                  <c:v>0.75</c:v>
                </c:pt>
                <c:pt idx="18">
                  <c:v>3.77</c:v>
                </c:pt>
                <c:pt idx="19">
                  <c:v>0.45240000000000002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145664"/>
        <c:axId val="210147968"/>
      </c:scatterChart>
      <c:valAx>
        <c:axId val="210145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Magnification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147968"/>
        <c:crosses val="autoZero"/>
        <c:crossBetween val="midCat"/>
      </c:valAx>
      <c:valAx>
        <c:axId val="21014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Closure speed (nm/scan)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145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Influence of the magnification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'Closure speed'!$I$1</c:f>
              <c:strCache>
                <c:ptCount val="1"/>
                <c:pt idx="0">
                  <c:v>Closure Speed (nm/s)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'Closure speed'!$C$2:$C$21</c:f>
              <c:numCache>
                <c:formatCode>General</c:formatCode>
                <c:ptCount val="2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150</c:v>
                </c:pt>
                <c:pt idx="7">
                  <c:v>150</c:v>
                </c:pt>
                <c:pt idx="8">
                  <c:v>200</c:v>
                </c:pt>
                <c:pt idx="9">
                  <c:v>200</c:v>
                </c:pt>
                <c:pt idx="10">
                  <c:v>200</c:v>
                </c:pt>
                <c:pt idx="11">
                  <c:v>200</c:v>
                </c:pt>
                <c:pt idx="12">
                  <c:v>200</c:v>
                </c:pt>
                <c:pt idx="13">
                  <c:v>200</c:v>
                </c:pt>
                <c:pt idx="14">
                  <c:v>50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200</c:v>
                </c:pt>
                <c:pt idx="19">
                  <c:v>200</c:v>
                </c:pt>
              </c:numCache>
            </c:numRef>
          </c:xVal>
          <c:yVal>
            <c:numRef>
              <c:f>'Closure speed'!$I$2:$I$21</c:f>
              <c:numCache>
                <c:formatCode>0.00</c:formatCode>
                <c:ptCount val="20"/>
                <c:pt idx="0">
                  <c:v>1.0787785486561543</c:v>
                </c:pt>
                <c:pt idx="1">
                  <c:v>0.80528539547572087</c:v>
                </c:pt>
                <c:pt idx="2">
                  <c:v>0.8388389536205425</c:v>
                </c:pt>
                <c:pt idx="3">
                  <c:v>0.37060000000000004</c:v>
                </c:pt>
                <c:pt idx="4">
                  <c:v>0.4482248899345993</c:v>
                </c:pt>
                <c:pt idx="5">
                  <c:v>0.1629141313698261</c:v>
                </c:pt>
                <c:pt idx="6">
                  <c:v>0.60729361002856874</c:v>
                </c:pt>
                <c:pt idx="7">
                  <c:v>0.30472539598190274</c:v>
                </c:pt>
                <c:pt idx="8">
                  <c:v>1.3218835737054284</c:v>
                </c:pt>
                <c:pt idx="9">
                  <c:v>0.67233733490189895</c:v>
                </c:pt>
                <c:pt idx="10">
                  <c:v>0.54910000000000003</c:v>
                </c:pt>
                <c:pt idx="11">
                  <c:v>0.57109633163159579</c:v>
                </c:pt>
                <c:pt idx="12">
                  <c:v>0.68716209879921797</c:v>
                </c:pt>
                <c:pt idx="13">
                  <c:v>0.63176707356012551</c:v>
                </c:pt>
                <c:pt idx="14">
                  <c:v>3.0257142857142857E-2</c:v>
                </c:pt>
                <c:pt idx="15">
                  <c:v>1.6415999999999997</c:v>
                </c:pt>
                <c:pt idx="16">
                  <c:v>0.18802654281154801</c:v>
                </c:pt>
                <c:pt idx="17">
                  <c:v>0.14250000000000002</c:v>
                </c:pt>
                <c:pt idx="18">
                  <c:v>0.71630000000000005</c:v>
                </c:pt>
                <c:pt idx="19">
                  <c:v>8.5956000000000005E-2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175488"/>
        <c:axId val="210178048"/>
      </c:scatterChart>
      <c:valAx>
        <c:axId val="210175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Magnification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178048"/>
        <c:crosses val="autoZero"/>
        <c:crossBetween val="midCat"/>
      </c:valAx>
      <c:valAx>
        <c:axId val="21017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Closure speed (nm/s)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175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Infleunce of the length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'Closure speed'!$H$1</c:f>
              <c:strCache>
                <c:ptCount val="1"/>
                <c:pt idx="0">
                  <c:v>Closure speed (nm/scan)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'Closure speed'!$D$2:$D$21</c:f>
              <c:numCache>
                <c:formatCode>General</c:formatCode>
                <c:ptCount val="20"/>
                <c:pt idx="0">
                  <c:v>250</c:v>
                </c:pt>
                <c:pt idx="1">
                  <c:v>250</c:v>
                </c:pt>
                <c:pt idx="2">
                  <c:v>300</c:v>
                </c:pt>
                <c:pt idx="3">
                  <c:v>375</c:v>
                </c:pt>
                <c:pt idx="4">
                  <c:v>500</c:v>
                </c:pt>
                <c:pt idx="5">
                  <c:v>750</c:v>
                </c:pt>
                <c:pt idx="6">
                  <c:v>300</c:v>
                </c:pt>
                <c:pt idx="7">
                  <c:v>500</c:v>
                </c:pt>
                <c:pt idx="8">
                  <c:v>125</c:v>
                </c:pt>
                <c:pt idx="9">
                  <c:v>250</c:v>
                </c:pt>
                <c:pt idx="10">
                  <c:v>250</c:v>
                </c:pt>
                <c:pt idx="11">
                  <c:v>300</c:v>
                </c:pt>
                <c:pt idx="12">
                  <c:v>300</c:v>
                </c:pt>
                <c:pt idx="13">
                  <c:v>300</c:v>
                </c:pt>
                <c:pt idx="14">
                  <c:v>1500</c:v>
                </c:pt>
                <c:pt idx="15">
                  <c:v>250</c:v>
                </c:pt>
                <c:pt idx="16">
                  <c:v>500</c:v>
                </c:pt>
                <c:pt idx="17">
                  <c:v>500</c:v>
                </c:pt>
                <c:pt idx="18">
                  <c:v>250</c:v>
                </c:pt>
                <c:pt idx="19">
                  <c:v>250</c:v>
                </c:pt>
              </c:numCache>
            </c:numRef>
          </c:xVal>
          <c:yVal>
            <c:numRef>
              <c:f>'Closure speed'!$H$2:$H$21</c:f>
              <c:numCache>
                <c:formatCode>General</c:formatCode>
                <c:ptCount val="20"/>
                <c:pt idx="0">
                  <c:v>1.42</c:v>
                </c:pt>
                <c:pt idx="1">
                  <c:v>1.06</c:v>
                </c:pt>
                <c:pt idx="2">
                  <c:v>1.59</c:v>
                </c:pt>
                <c:pt idx="3">
                  <c:v>1.0900000000000001</c:v>
                </c:pt>
                <c:pt idx="4">
                  <c:v>2.36</c:v>
                </c:pt>
                <c:pt idx="5">
                  <c:v>1.93</c:v>
                </c:pt>
                <c:pt idx="6">
                  <c:v>2.59</c:v>
                </c:pt>
                <c:pt idx="7">
                  <c:v>3.61</c:v>
                </c:pt>
                <c:pt idx="8">
                  <c:v>1.74</c:v>
                </c:pt>
                <c:pt idx="9">
                  <c:v>3.54</c:v>
                </c:pt>
                <c:pt idx="10">
                  <c:v>2.89</c:v>
                </c:pt>
                <c:pt idx="11">
                  <c:v>4.33</c:v>
                </c:pt>
                <c:pt idx="12">
                  <c:v>5.21</c:v>
                </c:pt>
                <c:pt idx="13">
                  <c:v>4.79</c:v>
                </c:pt>
                <c:pt idx="14">
                  <c:v>0.35299999999999998</c:v>
                </c:pt>
                <c:pt idx="15">
                  <c:v>2.2799999999999998</c:v>
                </c:pt>
                <c:pt idx="16">
                  <c:v>0.99</c:v>
                </c:pt>
                <c:pt idx="17">
                  <c:v>0.75</c:v>
                </c:pt>
                <c:pt idx="18">
                  <c:v>3.77</c:v>
                </c:pt>
                <c:pt idx="19">
                  <c:v>0.45240000000000002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197888"/>
        <c:axId val="213124992"/>
      </c:scatterChart>
      <c:valAx>
        <c:axId val="210197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Length of the 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124992"/>
        <c:crosses val="autoZero"/>
        <c:crossBetween val="midCat"/>
      </c:valAx>
      <c:valAx>
        <c:axId val="21312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Closure speed (nm/scan)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197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Influence of the length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'Closure speed'!$I$1</c:f>
              <c:strCache>
                <c:ptCount val="1"/>
                <c:pt idx="0">
                  <c:v>Closure Speed (nm/s)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'Closure speed'!$D$2:$D$21</c:f>
              <c:numCache>
                <c:formatCode>General</c:formatCode>
                <c:ptCount val="20"/>
                <c:pt idx="0">
                  <c:v>250</c:v>
                </c:pt>
                <c:pt idx="1">
                  <c:v>250</c:v>
                </c:pt>
                <c:pt idx="2">
                  <c:v>300</c:v>
                </c:pt>
                <c:pt idx="3">
                  <c:v>375</c:v>
                </c:pt>
                <c:pt idx="4">
                  <c:v>500</c:v>
                </c:pt>
                <c:pt idx="5">
                  <c:v>750</c:v>
                </c:pt>
                <c:pt idx="6">
                  <c:v>300</c:v>
                </c:pt>
                <c:pt idx="7">
                  <c:v>500</c:v>
                </c:pt>
                <c:pt idx="8">
                  <c:v>125</c:v>
                </c:pt>
                <c:pt idx="9">
                  <c:v>250</c:v>
                </c:pt>
                <c:pt idx="10">
                  <c:v>250</c:v>
                </c:pt>
                <c:pt idx="11">
                  <c:v>300</c:v>
                </c:pt>
                <c:pt idx="12">
                  <c:v>300</c:v>
                </c:pt>
                <c:pt idx="13">
                  <c:v>300</c:v>
                </c:pt>
                <c:pt idx="14">
                  <c:v>1500</c:v>
                </c:pt>
                <c:pt idx="15">
                  <c:v>250</c:v>
                </c:pt>
                <c:pt idx="16">
                  <c:v>500</c:v>
                </c:pt>
                <c:pt idx="17">
                  <c:v>500</c:v>
                </c:pt>
                <c:pt idx="18">
                  <c:v>250</c:v>
                </c:pt>
                <c:pt idx="19">
                  <c:v>250</c:v>
                </c:pt>
              </c:numCache>
            </c:numRef>
          </c:xVal>
          <c:yVal>
            <c:numRef>
              <c:f>'Closure speed'!$I$2:$I$22</c:f>
              <c:numCache>
                <c:formatCode>0.00</c:formatCode>
                <c:ptCount val="21"/>
                <c:pt idx="0">
                  <c:v>1.0787785486561543</c:v>
                </c:pt>
                <c:pt idx="1">
                  <c:v>0.80528539547572087</c:v>
                </c:pt>
                <c:pt idx="2">
                  <c:v>0.8388389536205425</c:v>
                </c:pt>
                <c:pt idx="3">
                  <c:v>0.37060000000000004</c:v>
                </c:pt>
                <c:pt idx="4">
                  <c:v>0.4482248899345993</c:v>
                </c:pt>
                <c:pt idx="5">
                  <c:v>0.1629141313698261</c:v>
                </c:pt>
                <c:pt idx="6">
                  <c:v>0.60729361002856874</c:v>
                </c:pt>
                <c:pt idx="7">
                  <c:v>0.30472539598190274</c:v>
                </c:pt>
                <c:pt idx="8">
                  <c:v>1.3218835737054284</c:v>
                </c:pt>
                <c:pt idx="9">
                  <c:v>0.67233733490189895</c:v>
                </c:pt>
                <c:pt idx="10">
                  <c:v>0.54910000000000003</c:v>
                </c:pt>
                <c:pt idx="11">
                  <c:v>0.57109633163159579</c:v>
                </c:pt>
                <c:pt idx="12">
                  <c:v>0.68716209879921797</c:v>
                </c:pt>
                <c:pt idx="13">
                  <c:v>0.63176707356012551</c:v>
                </c:pt>
                <c:pt idx="14">
                  <c:v>3.0257142857142857E-2</c:v>
                </c:pt>
                <c:pt idx="15">
                  <c:v>1.6415999999999997</c:v>
                </c:pt>
                <c:pt idx="16">
                  <c:v>0.18802654281154801</c:v>
                </c:pt>
                <c:pt idx="17">
                  <c:v>0.14250000000000002</c:v>
                </c:pt>
                <c:pt idx="18">
                  <c:v>0.71630000000000005</c:v>
                </c:pt>
                <c:pt idx="19">
                  <c:v>8.5956000000000005E-2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137280"/>
        <c:axId val="213164416"/>
      </c:scatterChart>
      <c:valAx>
        <c:axId val="213137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Length of th area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164416"/>
        <c:crosses val="autoZero"/>
        <c:crossBetween val="midCat"/>
      </c:valAx>
      <c:valAx>
        <c:axId val="21316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Closure speed (nm/s)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137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'Closure speed'!$I$1</c:f>
              <c:strCache>
                <c:ptCount val="1"/>
                <c:pt idx="0">
                  <c:v>Closure Speed (nm/s)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'Closure speed'!$G$2:$G$21</c:f>
              <c:numCache>
                <c:formatCode>0.00</c:formatCode>
                <c:ptCount val="20"/>
                <c:pt idx="0">
                  <c:v>0.75970320327898189</c:v>
                </c:pt>
                <c:pt idx="1">
                  <c:v>0.75970320327898189</c:v>
                </c:pt>
                <c:pt idx="2">
                  <c:v>0.52757166894373742</c:v>
                </c:pt>
                <c:pt idx="3" formatCode="General">
                  <c:v>0.34</c:v>
                </c:pt>
                <c:pt idx="4">
                  <c:v>0.18992580081974547</c:v>
                </c:pt>
                <c:pt idx="5">
                  <c:v>8.4411467030997986E-2</c:v>
                </c:pt>
                <c:pt idx="6">
                  <c:v>0.23447629730832772</c:v>
                </c:pt>
                <c:pt idx="7">
                  <c:v>8.4411467030997986E-2</c:v>
                </c:pt>
                <c:pt idx="8">
                  <c:v>0.75970320327898189</c:v>
                </c:pt>
                <c:pt idx="9">
                  <c:v>0.18992580081974547</c:v>
                </c:pt>
                <c:pt idx="10" formatCode="General">
                  <c:v>0.19</c:v>
                </c:pt>
                <c:pt idx="11">
                  <c:v>0.13189291723593435</c:v>
                </c:pt>
                <c:pt idx="12">
                  <c:v>0.13189291723593435</c:v>
                </c:pt>
                <c:pt idx="13">
                  <c:v>0.13189291723593435</c:v>
                </c:pt>
                <c:pt idx="14">
                  <c:v>8.5714285714285715E-2</c:v>
                </c:pt>
                <c:pt idx="15" formatCode="General">
                  <c:v>0.72</c:v>
                </c:pt>
                <c:pt idx="16">
                  <c:v>0.18992580081974547</c:v>
                </c:pt>
                <c:pt idx="17" formatCode="General">
                  <c:v>0.19</c:v>
                </c:pt>
                <c:pt idx="18" formatCode="General">
                  <c:v>0.19</c:v>
                </c:pt>
                <c:pt idx="19" formatCode="General">
                  <c:v>0.19</c:v>
                </c:pt>
              </c:numCache>
            </c:numRef>
          </c:xVal>
          <c:yVal>
            <c:numRef>
              <c:f>'Closure speed'!$I$2:$I$21</c:f>
              <c:numCache>
                <c:formatCode>0.00</c:formatCode>
                <c:ptCount val="20"/>
                <c:pt idx="0">
                  <c:v>1.0787785486561543</c:v>
                </c:pt>
                <c:pt idx="1">
                  <c:v>0.80528539547572087</c:v>
                </c:pt>
                <c:pt idx="2">
                  <c:v>0.8388389536205425</c:v>
                </c:pt>
                <c:pt idx="3">
                  <c:v>0.37060000000000004</c:v>
                </c:pt>
                <c:pt idx="4">
                  <c:v>0.4482248899345993</c:v>
                </c:pt>
                <c:pt idx="5">
                  <c:v>0.1629141313698261</c:v>
                </c:pt>
                <c:pt idx="6">
                  <c:v>0.60729361002856874</c:v>
                </c:pt>
                <c:pt idx="7">
                  <c:v>0.30472539598190274</c:v>
                </c:pt>
                <c:pt idx="8">
                  <c:v>1.3218835737054284</c:v>
                </c:pt>
                <c:pt idx="9">
                  <c:v>0.67233733490189895</c:v>
                </c:pt>
                <c:pt idx="10">
                  <c:v>0.54910000000000003</c:v>
                </c:pt>
                <c:pt idx="11">
                  <c:v>0.57109633163159579</c:v>
                </c:pt>
                <c:pt idx="12">
                  <c:v>0.68716209879921797</c:v>
                </c:pt>
                <c:pt idx="13">
                  <c:v>0.63176707356012551</c:v>
                </c:pt>
                <c:pt idx="14">
                  <c:v>3.0257142857142857E-2</c:v>
                </c:pt>
                <c:pt idx="15">
                  <c:v>1.6415999999999997</c:v>
                </c:pt>
                <c:pt idx="16">
                  <c:v>0.18802654281154801</c:v>
                </c:pt>
                <c:pt idx="17">
                  <c:v>0.14250000000000002</c:v>
                </c:pt>
                <c:pt idx="18">
                  <c:v>0.71630000000000005</c:v>
                </c:pt>
                <c:pt idx="19">
                  <c:v>8.5956000000000005E-2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175680"/>
        <c:axId val="213182336"/>
      </c:scatterChart>
      <c:valAx>
        <c:axId val="213175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scan speed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182336"/>
        <c:crosses val="autoZero"/>
        <c:crossBetween val="midCat"/>
      </c:valAx>
      <c:valAx>
        <c:axId val="21318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175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Closure Speed (nm/scan)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'Closure speed'!$I$1</c:f>
              <c:strCache>
                <c:ptCount val="1"/>
                <c:pt idx="0">
                  <c:v>Closure Speed (nm/s)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'Closure speed'!$G$2:$G$21</c:f>
              <c:numCache>
                <c:formatCode>0.00</c:formatCode>
                <c:ptCount val="20"/>
                <c:pt idx="0">
                  <c:v>0.75970320327898189</c:v>
                </c:pt>
                <c:pt idx="1">
                  <c:v>0.75970320327898189</c:v>
                </c:pt>
                <c:pt idx="2">
                  <c:v>0.52757166894373742</c:v>
                </c:pt>
                <c:pt idx="3" formatCode="General">
                  <c:v>0.34</c:v>
                </c:pt>
                <c:pt idx="4">
                  <c:v>0.18992580081974547</c:v>
                </c:pt>
                <c:pt idx="5">
                  <c:v>8.4411467030997986E-2</c:v>
                </c:pt>
                <c:pt idx="6">
                  <c:v>0.23447629730832772</c:v>
                </c:pt>
                <c:pt idx="7">
                  <c:v>8.4411467030997986E-2</c:v>
                </c:pt>
                <c:pt idx="8">
                  <c:v>0.75970320327898189</c:v>
                </c:pt>
                <c:pt idx="9">
                  <c:v>0.18992580081974547</c:v>
                </c:pt>
                <c:pt idx="10" formatCode="General">
                  <c:v>0.19</c:v>
                </c:pt>
                <c:pt idx="11">
                  <c:v>0.13189291723593435</c:v>
                </c:pt>
                <c:pt idx="12">
                  <c:v>0.13189291723593435</c:v>
                </c:pt>
                <c:pt idx="13">
                  <c:v>0.13189291723593435</c:v>
                </c:pt>
                <c:pt idx="14">
                  <c:v>8.5714285714285715E-2</c:v>
                </c:pt>
                <c:pt idx="15" formatCode="General">
                  <c:v>0.72</c:v>
                </c:pt>
                <c:pt idx="16">
                  <c:v>0.18992580081974547</c:v>
                </c:pt>
                <c:pt idx="17" formatCode="General">
                  <c:v>0.19</c:v>
                </c:pt>
                <c:pt idx="18" formatCode="General">
                  <c:v>0.19</c:v>
                </c:pt>
                <c:pt idx="19" formatCode="General">
                  <c:v>0.19</c:v>
                </c:pt>
              </c:numCache>
            </c:numRef>
          </c:xVal>
          <c:yVal>
            <c:numRef>
              <c:f>'Closure speed'!$H$2:$H$21</c:f>
              <c:numCache>
                <c:formatCode>General</c:formatCode>
                <c:ptCount val="20"/>
                <c:pt idx="0">
                  <c:v>1.42</c:v>
                </c:pt>
                <c:pt idx="1">
                  <c:v>1.06</c:v>
                </c:pt>
                <c:pt idx="2">
                  <c:v>1.59</c:v>
                </c:pt>
                <c:pt idx="3">
                  <c:v>1.0900000000000001</c:v>
                </c:pt>
                <c:pt idx="4">
                  <c:v>2.36</c:v>
                </c:pt>
                <c:pt idx="5">
                  <c:v>1.93</c:v>
                </c:pt>
                <c:pt idx="6">
                  <c:v>2.59</c:v>
                </c:pt>
                <c:pt idx="7">
                  <c:v>3.61</c:v>
                </c:pt>
                <c:pt idx="8">
                  <c:v>1.74</c:v>
                </c:pt>
                <c:pt idx="9">
                  <c:v>3.54</c:v>
                </c:pt>
                <c:pt idx="10">
                  <c:v>2.89</c:v>
                </c:pt>
                <c:pt idx="11">
                  <c:v>4.33</c:v>
                </c:pt>
                <c:pt idx="12">
                  <c:v>5.21</c:v>
                </c:pt>
                <c:pt idx="13">
                  <c:v>4.79</c:v>
                </c:pt>
                <c:pt idx="14">
                  <c:v>0.35299999999999998</c:v>
                </c:pt>
                <c:pt idx="15">
                  <c:v>2.2799999999999998</c:v>
                </c:pt>
                <c:pt idx="16">
                  <c:v>0.99</c:v>
                </c:pt>
                <c:pt idx="17">
                  <c:v>0.75</c:v>
                </c:pt>
                <c:pt idx="18">
                  <c:v>3.77</c:v>
                </c:pt>
                <c:pt idx="19">
                  <c:v>0.45240000000000002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219200"/>
        <c:axId val="213234048"/>
      </c:scatterChart>
      <c:valAx>
        <c:axId val="213219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scan speed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234048"/>
        <c:crosses val="autoZero"/>
        <c:crossBetween val="midCat"/>
      </c:valAx>
      <c:valAx>
        <c:axId val="21323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219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 paperSize="9" orientation="portrait" horizontalDpi="0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Courbes!$G$57</c:f>
              <c:strCache>
                <c:ptCount val="1"/>
                <c:pt idx="0">
                  <c:v>diameter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0099343832021"/>
                  <c:y val="-0.1841480752405950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Courbes!$F$58:$F$74</c:f>
              <c:numCache>
                <c:formatCode>General</c:formatCode>
                <c:ptCount val="17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46</c:v>
                </c:pt>
              </c:numCache>
            </c:numRef>
          </c:xVal>
          <c:yVal>
            <c:numRef>
              <c:f>Courbes!$G$58:$G$74</c:f>
              <c:numCache>
                <c:formatCode>General</c:formatCode>
                <c:ptCount val="17"/>
                <c:pt idx="0">
                  <c:v>70.3</c:v>
                </c:pt>
                <c:pt idx="1">
                  <c:v>68.099999999999994</c:v>
                </c:pt>
                <c:pt idx="2">
                  <c:v>63.6</c:v>
                </c:pt>
                <c:pt idx="3">
                  <c:v>60.3</c:v>
                </c:pt>
                <c:pt idx="4">
                  <c:v>58.1</c:v>
                </c:pt>
                <c:pt idx="5">
                  <c:v>55.7</c:v>
                </c:pt>
                <c:pt idx="6">
                  <c:v>50.2</c:v>
                </c:pt>
                <c:pt idx="7">
                  <c:v>46.9</c:v>
                </c:pt>
                <c:pt idx="8">
                  <c:v>42.4</c:v>
                </c:pt>
                <c:pt idx="9">
                  <c:v>40.200000000000003</c:v>
                </c:pt>
                <c:pt idx="10">
                  <c:v>35.700000000000003</c:v>
                </c:pt>
                <c:pt idx="11">
                  <c:v>26.8</c:v>
                </c:pt>
                <c:pt idx="12">
                  <c:v>22.3</c:v>
                </c:pt>
                <c:pt idx="13">
                  <c:v>16.8</c:v>
                </c:pt>
                <c:pt idx="14">
                  <c:v>12.3</c:v>
                </c:pt>
                <c:pt idx="15">
                  <c:v>7.8</c:v>
                </c:pt>
                <c:pt idx="16">
                  <c:v>6.7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94272"/>
        <c:axId val="211895808"/>
      </c:scatterChart>
      <c:valAx>
        <c:axId val="211894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1895808"/>
        <c:crosses val="autoZero"/>
        <c:crossBetween val="midCat"/>
      </c:valAx>
      <c:valAx>
        <c:axId val="21189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1894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5 kV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Feuil3!$B$2:$B$7</c:f>
              <c:numCache>
                <c:formatCode>General</c:formatCode>
                <c:ptCount val="6"/>
                <c:pt idx="0">
                  <c:v>250</c:v>
                </c:pt>
                <c:pt idx="1">
                  <c:v>250</c:v>
                </c:pt>
                <c:pt idx="2">
                  <c:v>300</c:v>
                </c:pt>
                <c:pt idx="3">
                  <c:v>375</c:v>
                </c:pt>
                <c:pt idx="4">
                  <c:v>500</c:v>
                </c:pt>
                <c:pt idx="5">
                  <c:v>750</c:v>
                </c:pt>
              </c:numCache>
            </c:numRef>
          </c:xVal>
          <c:yVal>
            <c:numRef>
              <c:f>Feuil3!$F$2:$F$7</c:f>
              <c:numCache>
                <c:formatCode>General</c:formatCode>
                <c:ptCount val="6"/>
                <c:pt idx="0">
                  <c:v>1.42</c:v>
                </c:pt>
                <c:pt idx="1">
                  <c:v>1.06</c:v>
                </c:pt>
                <c:pt idx="2">
                  <c:v>1.59</c:v>
                </c:pt>
                <c:pt idx="3">
                  <c:v>1.0900000000000001</c:v>
                </c:pt>
                <c:pt idx="4">
                  <c:v>2.36</c:v>
                </c:pt>
                <c:pt idx="5">
                  <c:v>1.93</c:v>
                </c:pt>
              </c:numCache>
            </c:numRef>
          </c:yVal>
          <c:smooth val="0"/>
        </c:ser>
        <c:ser>
          <c:idx val="1"/>
          <c:order val="1"/>
          <c:tx>
            <c:v>10 kV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Feuil3!$B$8:$B$10</c:f>
              <c:numCache>
                <c:formatCode>General</c:formatCode>
                <c:ptCount val="3"/>
                <c:pt idx="0">
                  <c:v>250</c:v>
                </c:pt>
                <c:pt idx="1">
                  <c:v>500</c:v>
                </c:pt>
                <c:pt idx="2">
                  <c:v>500</c:v>
                </c:pt>
              </c:numCache>
            </c:numRef>
          </c:xVal>
          <c:yVal>
            <c:numRef>
              <c:f>Feuil3!$F$8:$F$10</c:f>
              <c:numCache>
                <c:formatCode>General</c:formatCode>
                <c:ptCount val="3"/>
                <c:pt idx="0">
                  <c:v>2.2799999999999998</c:v>
                </c:pt>
                <c:pt idx="1">
                  <c:v>0.99</c:v>
                </c:pt>
                <c:pt idx="2">
                  <c:v>0.75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341696"/>
        <c:axId val="213356544"/>
      </c:scatterChart>
      <c:valAx>
        <c:axId val="21334169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356544"/>
        <c:crosses val="autoZero"/>
        <c:crossBetween val="midCat"/>
      </c:valAx>
      <c:valAx>
        <c:axId val="21335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341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Influence of the length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5 kV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Feuil3!$B$2:$B$7</c:f>
              <c:numCache>
                <c:formatCode>General</c:formatCode>
                <c:ptCount val="6"/>
                <c:pt idx="0">
                  <c:v>250</c:v>
                </c:pt>
                <c:pt idx="1">
                  <c:v>250</c:v>
                </c:pt>
                <c:pt idx="2">
                  <c:v>300</c:v>
                </c:pt>
                <c:pt idx="3">
                  <c:v>375</c:v>
                </c:pt>
                <c:pt idx="4">
                  <c:v>500</c:v>
                </c:pt>
                <c:pt idx="5">
                  <c:v>750</c:v>
                </c:pt>
              </c:numCache>
            </c:numRef>
          </c:xVal>
          <c:yVal>
            <c:numRef>
              <c:f>Feuil3!$G$2:$G$7</c:f>
              <c:numCache>
                <c:formatCode>General</c:formatCode>
                <c:ptCount val="6"/>
                <c:pt idx="0">
                  <c:v>1.0787785486561543</c:v>
                </c:pt>
                <c:pt idx="1">
                  <c:v>0.80528539547572087</c:v>
                </c:pt>
                <c:pt idx="2">
                  <c:v>0.8388389536205425</c:v>
                </c:pt>
                <c:pt idx="3">
                  <c:v>0.37060000000000004</c:v>
                </c:pt>
                <c:pt idx="4">
                  <c:v>0.4482248899345993</c:v>
                </c:pt>
                <c:pt idx="5">
                  <c:v>0.1629141313698261</c:v>
                </c:pt>
              </c:numCache>
            </c:numRef>
          </c:yVal>
          <c:smooth val="0"/>
        </c:ser>
        <c:ser>
          <c:idx val="1"/>
          <c:order val="1"/>
          <c:tx>
            <c:v>10 kV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Feuil3!$B$8:$B$10</c:f>
              <c:numCache>
                <c:formatCode>General</c:formatCode>
                <c:ptCount val="3"/>
                <c:pt idx="0">
                  <c:v>250</c:v>
                </c:pt>
                <c:pt idx="1">
                  <c:v>500</c:v>
                </c:pt>
                <c:pt idx="2">
                  <c:v>500</c:v>
                </c:pt>
              </c:numCache>
            </c:numRef>
          </c:xVal>
          <c:yVal>
            <c:numRef>
              <c:f>Feuil3!$G$8:$G$10</c:f>
              <c:numCache>
                <c:formatCode>General</c:formatCode>
                <c:ptCount val="3"/>
                <c:pt idx="0">
                  <c:v>1.6415999999999997</c:v>
                </c:pt>
                <c:pt idx="1">
                  <c:v>0.18802654281154801</c:v>
                </c:pt>
                <c:pt idx="2">
                  <c:v>0.14250000000000002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730048"/>
        <c:axId val="213732352"/>
      </c:scatterChart>
      <c:valAx>
        <c:axId val="213730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Length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732352"/>
        <c:crosses val="autoZero"/>
        <c:crossBetween val="midCat"/>
      </c:valAx>
      <c:valAx>
        <c:axId val="21373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Closure speed (nm/scan)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730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Influence of the scan speed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5 kV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Feuil3!$G$32:$G$45</c:f>
              <c:numCache>
                <c:formatCode>General</c:formatCode>
                <c:ptCount val="14"/>
                <c:pt idx="0">
                  <c:v>0.75970320327898189</c:v>
                </c:pt>
                <c:pt idx="1">
                  <c:v>0.75970320327898189</c:v>
                </c:pt>
                <c:pt idx="2">
                  <c:v>0.75970320327898189</c:v>
                </c:pt>
                <c:pt idx="3">
                  <c:v>0.52757166894373742</c:v>
                </c:pt>
                <c:pt idx="4">
                  <c:v>0.23447629730832772</c:v>
                </c:pt>
                <c:pt idx="5">
                  <c:v>0.34</c:v>
                </c:pt>
                <c:pt idx="6">
                  <c:v>0.18992580081974547</c:v>
                </c:pt>
                <c:pt idx="7">
                  <c:v>0.19</c:v>
                </c:pt>
                <c:pt idx="8">
                  <c:v>0.13189291723593435</c:v>
                </c:pt>
                <c:pt idx="9">
                  <c:v>8.4411467030997986E-2</c:v>
                </c:pt>
                <c:pt idx="10">
                  <c:v>0.18992580081974547</c:v>
                </c:pt>
                <c:pt idx="11">
                  <c:v>0.13189291723593435</c:v>
                </c:pt>
                <c:pt idx="12">
                  <c:v>0.13189291723593435</c:v>
                </c:pt>
                <c:pt idx="13">
                  <c:v>8.4411467030997986E-2</c:v>
                </c:pt>
              </c:numCache>
            </c:numRef>
          </c:xVal>
          <c:yVal>
            <c:numRef>
              <c:f>Feuil3!$I$32:$I$45</c:f>
              <c:numCache>
                <c:formatCode>General</c:formatCode>
                <c:ptCount val="14"/>
                <c:pt idx="0">
                  <c:v>1.0787785486561543</c:v>
                </c:pt>
                <c:pt idx="1">
                  <c:v>0.80528539547572087</c:v>
                </c:pt>
                <c:pt idx="2">
                  <c:v>1.3218835737054284</c:v>
                </c:pt>
                <c:pt idx="3">
                  <c:v>0.8388389536205425</c:v>
                </c:pt>
                <c:pt idx="4">
                  <c:v>0.60729361002856874</c:v>
                </c:pt>
                <c:pt idx="5">
                  <c:v>0.37060000000000004</c:v>
                </c:pt>
                <c:pt idx="6">
                  <c:v>0.67233733490189895</c:v>
                </c:pt>
                <c:pt idx="7">
                  <c:v>0.54910000000000003</c:v>
                </c:pt>
                <c:pt idx="8">
                  <c:v>0.57109633163159579</c:v>
                </c:pt>
                <c:pt idx="9">
                  <c:v>0.30472539598190274</c:v>
                </c:pt>
                <c:pt idx="10">
                  <c:v>0.4482248899345993</c:v>
                </c:pt>
                <c:pt idx="11">
                  <c:v>0.68716209879921797</c:v>
                </c:pt>
                <c:pt idx="12">
                  <c:v>0.63176707356012551</c:v>
                </c:pt>
                <c:pt idx="13">
                  <c:v>0.1629141313698261</c:v>
                </c:pt>
              </c:numCache>
            </c:numRef>
          </c:yVal>
          <c:smooth val="0"/>
        </c:ser>
        <c:ser>
          <c:idx val="1"/>
          <c:order val="1"/>
          <c:tx>
            <c:v>10 kV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Feuil3!$G$46:$G$51</c:f>
              <c:numCache>
                <c:formatCode>General</c:formatCode>
                <c:ptCount val="6"/>
                <c:pt idx="0">
                  <c:v>0.19</c:v>
                </c:pt>
                <c:pt idx="1">
                  <c:v>0.72</c:v>
                </c:pt>
                <c:pt idx="2">
                  <c:v>0.18992580081974547</c:v>
                </c:pt>
                <c:pt idx="3">
                  <c:v>0.19</c:v>
                </c:pt>
                <c:pt idx="4">
                  <c:v>0.19</c:v>
                </c:pt>
                <c:pt idx="5">
                  <c:v>8.5714285714285715E-2</c:v>
                </c:pt>
              </c:numCache>
            </c:numRef>
          </c:xVal>
          <c:yVal>
            <c:numRef>
              <c:f>Feuil3!$I$46:$I$51</c:f>
              <c:numCache>
                <c:formatCode>General</c:formatCode>
                <c:ptCount val="6"/>
                <c:pt idx="0">
                  <c:v>0.71630000000000005</c:v>
                </c:pt>
                <c:pt idx="1">
                  <c:v>1.6415999999999997</c:v>
                </c:pt>
                <c:pt idx="2">
                  <c:v>0.18802654281154801</c:v>
                </c:pt>
                <c:pt idx="3">
                  <c:v>0.14250000000000002</c:v>
                </c:pt>
                <c:pt idx="4">
                  <c:v>8.5956000000000005E-2</c:v>
                </c:pt>
                <c:pt idx="5">
                  <c:v>3.0257142857142857E-2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766144"/>
        <c:axId val="213768448"/>
      </c:scatterChart>
      <c:valAx>
        <c:axId val="213766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Scan speed (scan/s)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768448"/>
        <c:crosses val="autoZero"/>
        <c:crossBetween val="midCat"/>
      </c:valAx>
      <c:valAx>
        <c:axId val="21376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Closure speed (nm/s)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766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 paperSize="9" orientation="portrait" horizontalDpi="0" vertic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Influence of the scan speed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5 kV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Feuil3!$G$32:$G$45</c:f>
              <c:numCache>
                <c:formatCode>General</c:formatCode>
                <c:ptCount val="14"/>
                <c:pt idx="0">
                  <c:v>0.75970320327898189</c:v>
                </c:pt>
                <c:pt idx="1">
                  <c:v>0.75970320327898189</c:v>
                </c:pt>
                <c:pt idx="2">
                  <c:v>0.75970320327898189</c:v>
                </c:pt>
                <c:pt idx="3">
                  <c:v>0.52757166894373742</c:v>
                </c:pt>
                <c:pt idx="4">
                  <c:v>0.23447629730832772</c:v>
                </c:pt>
                <c:pt idx="5">
                  <c:v>0.34</c:v>
                </c:pt>
                <c:pt idx="6">
                  <c:v>0.18992580081974547</c:v>
                </c:pt>
                <c:pt idx="7">
                  <c:v>0.19</c:v>
                </c:pt>
                <c:pt idx="8">
                  <c:v>0.13189291723593435</c:v>
                </c:pt>
                <c:pt idx="9">
                  <c:v>8.4411467030997986E-2</c:v>
                </c:pt>
                <c:pt idx="10">
                  <c:v>0.18992580081974547</c:v>
                </c:pt>
                <c:pt idx="11">
                  <c:v>0.13189291723593435</c:v>
                </c:pt>
                <c:pt idx="12">
                  <c:v>0.13189291723593435</c:v>
                </c:pt>
                <c:pt idx="13">
                  <c:v>8.4411467030997986E-2</c:v>
                </c:pt>
              </c:numCache>
            </c:numRef>
          </c:xVal>
          <c:yVal>
            <c:numRef>
              <c:f>Feuil3!$H$32:$H$45</c:f>
              <c:numCache>
                <c:formatCode>General</c:formatCode>
                <c:ptCount val="14"/>
                <c:pt idx="0">
                  <c:v>1.42</c:v>
                </c:pt>
                <c:pt idx="1">
                  <c:v>1.06</c:v>
                </c:pt>
                <c:pt idx="2">
                  <c:v>1.74</c:v>
                </c:pt>
                <c:pt idx="3">
                  <c:v>1.59</c:v>
                </c:pt>
                <c:pt idx="4">
                  <c:v>2.59</c:v>
                </c:pt>
                <c:pt idx="5">
                  <c:v>1.0900000000000001</c:v>
                </c:pt>
                <c:pt idx="6">
                  <c:v>3.54</c:v>
                </c:pt>
                <c:pt idx="7">
                  <c:v>2.89</c:v>
                </c:pt>
                <c:pt idx="8">
                  <c:v>4.33</c:v>
                </c:pt>
                <c:pt idx="9">
                  <c:v>3.61</c:v>
                </c:pt>
                <c:pt idx="10">
                  <c:v>2.36</c:v>
                </c:pt>
                <c:pt idx="11">
                  <c:v>5.21</c:v>
                </c:pt>
                <c:pt idx="12">
                  <c:v>4.79</c:v>
                </c:pt>
                <c:pt idx="13">
                  <c:v>1.93</c:v>
                </c:pt>
              </c:numCache>
            </c:numRef>
          </c:yVal>
          <c:smooth val="0"/>
        </c:ser>
        <c:ser>
          <c:idx val="1"/>
          <c:order val="1"/>
          <c:tx>
            <c:v>10 kV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Feuil3!$G$46:$G$51</c:f>
              <c:numCache>
                <c:formatCode>General</c:formatCode>
                <c:ptCount val="6"/>
                <c:pt idx="0">
                  <c:v>0.19</c:v>
                </c:pt>
                <c:pt idx="1">
                  <c:v>0.72</c:v>
                </c:pt>
                <c:pt idx="2">
                  <c:v>0.18992580081974547</c:v>
                </c:pt>
                <c:pt idx="3">
                  <c:v>0.19</c:v>
                </c:pt>
                <c:pt idx="4">
                  <c:v>0.19</c:v>
                </c:pt>
                <c:pt idx="5">
                  <c:v>8.5714285714285715E-2</c:v>
                </c:pt>
              </c:numCache>
            </c:numRef>
          </c:xVal>
          <c:yVal>
            <c:numRef>
              <c:f>Feuil3!$H$46:$H$51</c:f>
              <c:numCache>
                <c:formatCode>General</c:formatCode>
                <c:ptCount val="6"/>
                <c:pt idx="0">
                  <c:v>3.77</c:v>
                </c:pt>
                <c:pt idx="1">
                  <c:v>2.2799999999999998</c:v>
                </c:pt>
                <c:pt idx="2">
                  <c:v>0.99</c:v>
                </c:pt>
                <c:pt idx="3">
                  <c:v>0.75</c:v>
                </c:pt>
                <c:pt idx="4">
                  <c:v>0.45240000000000002</c:v>
                </c:pt>
                <c:pt idx="5">
                  <c:v>0.35299999999999998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396480"/>
        <c:axId val="213431808"/>
      </c:scatterChart>
      <c:valAx>
        <c:axId val="213396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Scan speed (scan/s)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431808"/>
        <c:crosses val="autoZero"/>
        <c:crossBetween val="midCat"/>
      </c:valAx>
      <c:valAx>
        <c:axId val="21343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Closure speed (nm/scan)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396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 paperSize="9" orientation="portrait" horizontalDpi="0" verticalDpi="0"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Feuil4!$H$1</c:f>
              <c:strCache>
                <c:ptCount val="1"/>
                <c:pt idx="0">
                  <c:v>Closure speed (nm/scan)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Feuil4!$G$2:$G$21</c:f>
              <c:numCache>
                <c:formatCode>General</c:formatCode>
                <c:ptCount val="20"/>
                <c:pt idx="0">
                  <c:v>0.75970320327898189</c:v>
                </c:pt>
                <c:pt idx="1">
                  <c:v>0.75970320327898189</c:v>
                </c:pt>
                <c:pt idx="2">
                  <c:v>0.75970320327898189</c:v>
                </c:pt>
                <c:pt idx="3">
                  <c:v>0.52757166894373742</c:v>
                </c:pt>
                <c:pt idx="4">
                  <c:v>0.23447629730832772</c:v>
                </c:pt>
                <c:pt idx="5">
                  <c:v>0.34</c:v>
                </c:pt>
                <c:pt idx="6">
                  <c:v>0.18992580081974547</c:v>
                </c:pt>
                <c:pt idx="7">
                  <c:v>0.19</c:v>
                </c:pt>
                <c:pt idx="8">
                  <c:v>0.13189291723593435</c:v>
                </c:pt>
                <c:pt idx="9">
                  <c:v>8.4411467030997986E-2</c:v>
                </c:pt>
                <c:pt idx="10">
                  <c:v>0.18992580081974547</c:v>
                </c:pt>
                <c:pt idx="11">
                  <c:v>0.13189291723593435</c:v>
                </c:pt>
                <c:pt idx="12">
                  <c:v>0.13189291723593435</c:v>
                </c:pt>
                <c:pt idx="13">
                  <c:v>8.4411467030997986E-2</c:v>
                </c:pt>
                <c:pt idx="14">
                  <c:v>0.19</c:v>
                </c:pt>
                <c:pt idx="15">
                  <c:v>0.72</c:v>
                </c:pt>
                <c:pt idx="16">
                  <c:v>0.18992580081974547</c:v>
                </c:pt>
                <c:pt idx="17">
                  <c:v>0.19</c:v>
                </c:pt>
                <c:pt idx="18">
                  <c:v>0.19</c:v>
                </c:pt>
                <c:pt idx="19">
                  <c:v>8.5714285714285715E-2</c:v>
                </c:pt>
              </c:numCache>
            </c:numRef>
          </c:xVal>
          <c:yVal>
            <c:numRef>
              <c:f>Feuil4!$H$2:$H$21</c:f>
              <c:numCache>
                <c:formatCode>General</c:formatCode>
                <c:ptCount val="20"/>
                <c:pt idx="0">
                  <c:v>1.42</c:v>
                </c:pt>
                <c:pt idx="1">
                  <c:v>1.06</c:v>
                </c:pt>
                <c:pt idx="2">
                  <c:v>1.74</c:v>
                </c:pt>
                <c:pt idx="3">
                  <c:v>1.59</c:v>
                </c:pt>
                <c:pt idx="4">
                  <c:v>2.59</c:v>
                </c:pt>
                <c:pt idx="5">
                  <c:v>1.0900000000000001</c:v>
                </c:pt>
                <c:pt idx="6">
                  <c:v>3.54</c:v>
                </c:pt>
                <c:pt idx="7">
                  <c:v>2.89</c:v>
                </c:pt>
                <c:pt idx="8">
                  <c:v>4.33</c:v>
                </c:pt>
                <c:pt idx="9">
                  <c:v>3.61</c:v>
                </c:pt>
                <c:pt idx="10">
                  <c:v>2.36</c:v>
                </c:pt>
                <c:pt idx="11">
                  <c:v>5.21</c:v>
                </c:pt>
                <c:pt idx="12">
                  <c:v>4.79</c:v>
                </c:pt>
                <c:pt idx="13">
                  <c:v>1.93</c:v>
                </c:pt>
                <c:pt idx="14">
                  <c:v>3.77</c:v>
                </c:pt>
                <c:pt idx="15">
                  <c:v>2.2799999999999998</c:v>
                </c:pt>
                <c:pt idx="16">
                  <c:v>0.99</c:v>
                </c:pt>
                <c:pt idx="17">
                  <c:v>0.75</c:v>
                </c:pt>
                <c:pt idx="18">
                  <c:v>0.45240000000000002</c:v>
                </c:pt>
                <c:pt idx="19">
                  <c:v>0.35299999999999998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494400"/>
        <c:axId val="213493632"/>
      </c:scatterChart>
      <c:valAx>
        <c:axId val="213494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493632"/>
        <c:crosses val="autoZero"/>
        <c:crossBetween val="midCat"/>
      </c:valAx>
      <c:valAx>
        <c:axId val="21349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494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Graphes!$F$1</c:f>
              <c:strCache>
                <c:ptCount val="1"/>
                <c:pt idx="0">
                  <c:v>Closure speed (nm/scan)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Graphes!$E$2:$E$21</c:f>
              <c:numCache>
                <c:formatCode>0.0</c:formatCode>
                <c:ptCount val="20"/>
                <c:pt idx="0">
                  <c:v>0.75970320327898189</c:v>
                </c:pt>
                <c:pt idx="1">
                  <c:v>0.75970320327898189</c:v>
                </c:pt>
                <c:pt idx="2">
                  <c:v>0.52757166894373742</c:v>
                </c:pt>
                <c:pt idx="3">
                  <c:v>0.34</c:v>
                </c:pt>
                <c:pt idx="4">
                  <c:v>0.18992580081974547</c:v>
                </c:pt>
                <c:pt idx="5">
                  <c:v>8.4411467030997986E-2</c:v>
                </c:pt>
                <c:pt idx="6">
                  <c:v>0.23447629730832772</c:v>
                </c:pt>
                <c:pt idx="7">
                  <c:v>8.4411467030997986E-2</c:v>
                </c:pt>
                <c:pt idx="8">
                  <c:v>0.75970320327898189</c:v>
                </c:pt>
                <c:pt idx="9">
                  <c:v>0.18992580081974547</c:v>
                </c:pt>
                <c:pt idx="10">
                  <c:v>0.19</c:v>
                </c:pt>
                <c:pt idx="11">
                  <c:v>0.13189291723593435</c:v>
                </c:pt>
                <c:pt idx="12">
                  <c:v>0.13189291723593435</c:v>
                </c:pt>
                <c:pt idx="13">
                  <c:v>0.13189291723593435</c:v>
                </c:pt>
                <c:pt idx="14">
                  <c:v>8.5714285714285715E-2</c:v>
                </c:pt>
                <c:pt idx="15">
                  <c:v>0.72</c:v>
                </c:pt>
                <c:pt idx="16">
                  <c:v>0.18992580081974547</c:v>
                </c:pt>
                <c:pt idx="17">
                  <c:v>0.19</c:v>
                </c:pt>
                <c:pt idx="18">
                  <c:v>0.19</c:v>
                </c:pt>
                <c:pt idx="19">
                  <c:v>0.19</c:v>
                </c:pt>
              </c:numCache>
            </c:numRef>
          </c:xVal>
          <c:yVal>
            <c:numRef>
              <c:f>Graphes!$F$2:$F$21</c:f>
              <c:numCache>
                <c:formatCode>0.0</c:formatCode>
                <c:ptCount val="20"/>
                <c:pt idx="0">
                  <c:v>1.42</c:v>
                </c:pt>
                <c:pt idx="1">
                  <c:v>1.06</c:v>
                </c:pt>
                <c:pt idx="2">
                  <c:v>1.59</c:v>
                </c:pt>
                <c:pt idx="3">
                  <c:v>1.0900000000000001</c:v>
                </c:pt>
                <c:pt idx="4">
                  <c:v>2.36</c:v>
                </c:pt>
                <c:pt idx="5">
                  <c:v>1.93</c:v>
                </c:pt>
                <c:pt idx="6">
                  <c:v>2.59</c:v>
                </c:pt>
                <c:pt idx="7">
                  <c:v>3.61</c:v>
                </c:pt>
                <c:pt idx="8">
                  <c:v>1.74</c:v>
                </c:pt>
                <c:pt idx="9">
                  <c:v>3.54</c:v>
                </c:pt>
                <c:pt idx="10">
                  <c:v>2.89</c:v>
                </c:pt>
                <c:pt idx="11">
                  <c:v>4.33</c:v>
                </c:pt>
                <c:pt idx="12">
                  <c:v>5.21</c:v>
                </c:pt>
                <c:pt idx="13">
                  <c:v>4.79</c:v>
                </c:pt>
                <c:pt idx="14">
                  <c:v>0.35299999999999998</c:v>
                </c:pt>
                <c:pt idx="15">
                  <c:v>2.2799999999999998</c:v>
                </c:pt>
                <c:pt idx="16">
                  <c:v>0.99</c:v>
                </c:pt>
                <c:pt idx="17">
                  <c:v>0.75</c:v>
                </c:pt>
                <c:pt idx="18">
                  <c:v>3.77</c:v>
                </c:pt>
                <c:pt idx="19">
                  <c:v>0.45240000000000002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950400"/>
        <c:axId val="212973056"/>
      </c:scatterChart>
      <c:valAx>
        <c:axId val="212950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973056"/>
        <c:crosses val="autoZero"/>
        <c:crossBetween val="midCat"/>
      </c:valAx>
      <c:valAx>
        <c:axId val="21297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950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Courbes!$G$76</c:f>
              <c:strCache>
                <c:ptCount val="1"/>
                <c:pt idx="0">
                  <c:v>diameter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Courbes!$F$77:$F$84</c:f>
              <c:numCache>
                <c:formatCode>General</c:formatCode>
                <c:ptCount val="8"/>
                <c:pt idx="0">
                  <c:v>0</c:v>
                </c:pt>
                <c:pt idx="1">
                  <c:v>3</c:v>
                </c:pt>
                <c:pt idx="2">
                  <c:v>7</c:v>
                </c:pt>
                <c:pt idx="3">
                  <c:v>14</c:v>
                </c:pt>
                <c:pt idx="4">
                  <c:v>19</c:v>
                </c:pt>
                <c:pt idx="5">
                  <c:v>25</c:v>
                </c:pt>
                <c:pt idx="6">
                  <c:v>32</c:v>
                </c:pt>
                <c:pt idx="7">
                  <c:v>35</c:v>
                </c:pt>
              </c:numCache>
            </c:numRef>
          </c:xVal>
          <c:yVal>
            <c:numRef>
              <c:f>Courbes!$G$77:$G$84</c:f>
              <c:numCache>
                <c:formatCode>General</c:formatCode>
                <c:ptCount val="8"/>
                <c:pt idx="0">
                  <c:v>69</c:v>
                </c:pt>
                <c:pt idx="1">
                  <c:v>62</c:v>
                </c:pt>
                <c:pt idx="2">
                  <c:v>52</c:v>
                </c:pt>
                <c:pt idx="3">
                  <c:v>41</c:v>
                </c:pt>
                <c:pt idx="4">
                  <c:v>34</c:v>
                </c:pt>
                <c:pt idx="5">
                  <c:v>23</c:v>
                </c:pt>
                <c:pt idx="6">
                  <c:v>12.3</c:v>
                </c:pt>
                <c:pt idx="7">
                  <c:v>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924864"/>
        <c:axId val="211926400"/>
      </c:scatterChart>
      <c:valAx>
        <c:axId val="211924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1926400"/>
        <c:crosses val="autoZero"/>
        <c:crossBetween val="midCat"/>
      </c:valAx>
      <c:valAx>
        <c:axId val="21192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1924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Courbes!$G$86</c:f>
              <c:strCache>
                <c:ptCount val="1"/>
                <c:pt idx="0">
                  <c:v>diameter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Courbes!$F$87:$F$97</c:f>
              <c:numCache>
                <c:formatCode>General</c:formatCode>
                <c:ptCount val="11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17</c:v>
                </c:pt>
                <c:pt idx="4">
                  <c:v>22</c:v>
                </c:pt>
                <c:pt idx="5">
                  <c:v>28</c:v>
                </c:pt>
                <c:pt idx="6">
                  <c:v>34</c:v>
                </c:pt>
                <c:pt idx="7">
                  <c:v>39</c:v>
                </c:pt>
                <c:pt idx="8">
                  <c:v>45</c:v>
                </c:pt>
                <c:pt idx="9">
                  <c:v>50</c:v>
                </c:pt>
                <c:pt idx="10">
                  <c:v>58</c:v>
                </c:pt>
              </c:numCache>
            </c:numRef>
          </c:xVal>
          <c:yVal>
            <c:numRef>
              <c:f>Courbes!$G$87:$G$97</c:f>
              <c:numCache>
                <c:formatCode>General</c:formatCode>
                <c:ptCount val="11"/>
                <c:pt idx="0">
                  <c:v>71.5</c:v>
                </c:pt>
                <c:pt idx="1">
                  <c:v>61.4</c:v>
                </c:pt>
                <c:pt idx="2">
                  <c:v>54</c:v>
                </c:pt>
                <c:pt idx="3">
                  <c:v>52</c:v>
                </c:pt>
                <c:pt idx="4">
                  <c:v>49</c:v>
                </c:pt>
                <c:pt idx="5">
                  <c:v>42</c:v>
                </c:pt>
                <c:pt idx="6">
                  <c:v>34</c:v>
                </c:pt>
                <c:pt idx="7">
                  <c:v>29</c:v>
                </c:pt>
                <c:pt idx="8">
                  <c:v>21</c:v>
                </c:pt>
                <c:pt idx="9">
                  <c:v>13</c:v>
                </c:pt>
                <c:pt idx="10">
                  <c:v>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715584"/>
        <c:axId val="211717120"/>
      </c:scatterChart>
      <c:valAx>
        <c:axId val="21171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1717120"/>
        <c:crosses val="autoZero"/>
        <c:crossBetween val="midCat"/>
      </c:valAx>
      <c:valAx>
        <c:axId val="21171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171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Courbes!$G$99</c:f>
              <c:strCache>
                <c:ptCount val="1"/>
                <c:pt idx="0">
                  <c:v>diameter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Courbes!$F$100:$F$110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11</c:v>
                </c:pt>
                <c:pt idx="8">
                  <c:v>13</c:v>
                </c:pt>
                <c:pt idx="9">
                  <c:v>14</c:v>
                </c:pt>
                <c:pt idx="10">
                  <c:v>16</c:v>
                </c:pt>
              </c:numCache>
            </c:numRef>
          </c:xVal>
          <c:yVal>
            <c:numRef>
              <c:f>Courbes!$G$100:$G$110</c:f>
              <c:numCache>
                <c:formatCode>General</c:formatCode>
                <c:ptCount val="11"/>
                <c:pt idx="0">
                  <c:v>63.6</c:v>
                </c:pt>
                <c:pt idx="1">
                  <c:v>62.5</c:v>
                </c:pt>
                <c:pt idx="2">
                  <c:v>58</c:v>
                </c:pt>
                <c:pt idx="3">
                  <c:v>53.6</c:v>
                </c:pt>
                <c:pt idx="4">
                  <c:v>48</c:v>
                </c:pt>
                <c:pt idx="5">
                  <c:v>40.700000000000003</c:v>
                </c:pt>
                <c:pt idx="6">
                  <c:v>31</c:v>
                </c:pt>
                <c:pt idx="7">
                  <c:v>30</c:v>
                </c:pt>
                <c:pt idx="8">
                  <c:v>18</c:v>
                </c:pt>
                <c:pt idx="9">
                  <c:v>13.4</c:v>
                </c:pt>
                <c:pt idx="10">
                  <c:v>10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763200"/>
        <c:axId val="211764736"/>
      </c:scatterChart>
      <c:valAx>
        <c:axId val="211763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1764736"/>
        <c:crosses val="autoZero"/>
        <c:crossBetween val="midCat"/>
      </c:valAx>
      <c:valAx>
        <c:axId val="21176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1763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Courbes!$G$112</c:f>
              <c:strCache>
                <c:ptCount val="1"/>
                <c:pt idx="0">
                  <c:v>diameter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Courbes!$F$113:$F$123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xVal>
          <c:yVal>
            <c:numRef>
              <c:f>Courbes!$G$113:$G$123</c:f>
              <c:numCache>
                <c:formatCode>General</c:formatCode>
                <c:ptCount val="11"/>
                <c:pt idx="0">
                  <c:v>69</c:v>
                </c:pt>
                <c:pt idx="1">
                  <c:v>68</c:v>
                </c:pt>
                <c:pt idx="2">
                  <c:v>65</c:v>
                </c:pt>
                <c:pt idx="3">
                  <c:v>58</c:v>
                </c:pt>
                <c:pt idx="4">
                  <c:v>51</c:v>
                </c:pt>
                <c:pt idx="5">
                  <c:v>42</c:v>
                </c:pt>
                <c:pt idx="6">
                  <c:v>31</c:v>
                </c:pt>
                <c:pt idx="7">
                  <c:v>21</c:v>
                </c:pt>
                <c:pt idx="8">
                  <c:v>16</c:v>
                </c:pt>
                <c:pt idx="9">
                  <c:v>11</c:v>
                </c:pt>
                <c:pt idx="10">
                  <c:v>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01984"/>
        <c:axId val="211803520"/>
      </c:scatterChart>
      <c:valAx>
        <c:axId val="21180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1803520"/>
        <c:crosses val="autoZero"/>
        <c:crossBetween val="midCat"/>
      </c:valAx>
      <c:valAx>
        <c:axId val="21180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1801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Courbes!$G$125</c:f>
              <c:strCache>
                <c:ptCount val="1"/>
                <c:pt idx="0">
                  <c:v>diameter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Courbes!$F$126:$F$132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</c:numCache>
            </c:numRef>
          </c:xVal>
          <c:yVal>
            <c:numRef>
              <c:f>Courbes!$G$126:$G$132</c:f>
              <c:numCache>
                <c:formatCode>General</c:formatCode>
                <c:ptCount val="7"/>
                <c:pt idx="0">
                  <c:v>67</c:v>
                </c:pt>
                <c:pt idx="1">
                  <c:v>58</c:v>
                </c:pt>
                <c:pt idx="2">
                  <c:v>47.5</c:v>
                </c:pt>
                <c:pt idx="3">
                  <c:v>36.299999999999997</c:v>
                </c:pt>
                <c:pt idx="4">
                  <c:v>26.2</c:v>
                </c:pt>
                <c:pt idx="5">
                  <c:v>11.2</c:v>
                </c:pt>
                <c:pt idx="6">
                  <c:v>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31040"/>
        <c:axId val="211841024"/>
      </c:scatterChart>
      <c:valAx>
        <c:axId val="211831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1841024"/>
        <c:crosses val="autoZero"/>
        <c:crossBetween val="midCat"/>
      </c:valAx>
      <c:valAx>
        <c:axId val="21184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1831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Courbes!$G$135</c:f>
              <c:strCache>
                <c:ptCount val="1"/>
                <c:pt idx="0">
                  <c:v>diameter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Courbes!$F$136:$F$146</c:f>
              <c:numCache>
                <c:formatCode>General</c:formatCode>
                <c:ptCount val="11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</c:numCache>
            </c:numRef>
          </c:xVal>
          <c:yVal>
            <c:numRef>
              <c:f>Courbes!$G$136:$G$146</c:f>
              <c:numCache>
                <c:formatCode>General</c:formatCode>
                <c:ptCount val="11"/>
                <c:pt idx="0">
                  <c:v>68</c:v>
                </c:pt>
                <c:pt idx="1">
                  <c:v>59.7</c:v>
                </c:pt>
                <c:pt idx="2">
                  <c:v>56</c:v>
                </c:pt>
                <c:pt idx="3">
                  <c:v>54</c:v>
                </c:pt>
                <c:pt idx="4">
                  <c:v>47</c:v>
                </c:pt>
                <c:pt idx="5">
                  <c:v>38</c:v>
                </c:pt>
                <c:pt idx="6">
                  <c:v>34</c:v>
                </c:pt>
                <c:pt idx="7">
                  <c:v>28</c:v>
                </c:pt>
                <c:pt idx="8">
                  <c:v>15</c:v>
                </c:pt>
                <c:pt idx="9">
                  <c:v>12</c:v>
                </c:pt>
                <c:pt idx="10">
                  <c:v>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48576"/>
        <c:axId val="211870848"/>
      </c:scatterChart>
      <c:valAx>
        <c:axId val="211848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1870848"/>
        <c:crosses val="autoZero"/>
        <c:crossBetween val="midCat"/>
      </c:valAx>
      <c:valAx>
        <c:axId val="21187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1848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Relationship Id="rId6" Type="http://schemas.openxmlformats.org/officeDocument/2006/relationships/chart" Target="../charts/chart29.xml"/><Relationship Id="rId5" Type="http://schemas.openxmlformats.org/officeDocument/2006/relationships/chart" Target="../charts/chart28.xml"/><Relationship Id="rId4" Type="http://schemas.openxmlformats.org/officeDocument/2006/relationships/chart" Target="../charts/chart2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2.xml"/><Relationship Id="rId2" Type="http://schemas.openxmlformats.org/officeDocument/2006/relationships/chart" Target="../charts/chart31.xml"/><Relationship Id="rId1" Type="http://schemas.openxmlformats.org/officeDocument/2006/relationships/chart" Target="../charts/chart30.xml"/><Relationship Id="rId4" Type="http://schemas.openxmlformats.org/officeDocument/2006/relationships/chart" Target="../charts/chart3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508000</xdr:colOff>
      <xdr:row>30</xdr:row>
      <xdr:rowOff>190500</xdr:rowOff>
    </xdr:from>
    <xdr:to>
      <xdr:col>12</xdr:col>
      <xdr:colOff>355600</xdr:colOff>
      <xdr:row>42</xdr:row>
      <xdr:rowOff>101600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400050</xdr:colOff>
      <xdr:row>43</xdr:row>
      <xdr:rowOff>127000</xdr:rowOff>
    </xdr:from>
    <xdr:to>
      <xdr:col>12</xdr:col>
      <xdr:colOff>292100</xdr:colOff>
      <xdr:row>54</xdr:row>
      <xdr:rowOff>177800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831850</xdr:colOff>
      <xdr:row>57</xdr:row>
      <xdr:rowOff>127000</xdr:rowOff>
    </xdr:from>
    <xdr:to>
      <xdr:col>13</xdr:col>
      <xdr:colOff>120650</xdr:colOff>
      <xdr:row>71</xdr:row>
      <xdr:rowOff>25400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234950</xdr:colOff>
      <xdr:row>75</xdr:row>
      <xdr:rowOff>0</xdr:rowOff>
    </xdr:from>
    <xdr:to>
      <xdr:col>13</xdr:col>
      <xdr:colOff>393700</xdr:colOff>
      <xdr:row>84</xdr:row>
      <xdr:rowOff>63500</xdr:rowOff>
    </xdr:to>
    <xdr:graphicFrame macro="">
      <xdr:nvGraphicFramePr>
        <xdr:cNvPr id="6" name="Graphique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184150</xdr:colOff>
      <xdr:row>85</xdr:row>
      <xdr:rowOff>76200</xdr:rowOff>
    </xdr:from>
    <xdr:to>
      <xdr:col>13</xdr:col>
      <xdr:colOff>533400</xdr:colOff>
      <xdr:row>97</xdr:row>
      <xdr:rowOff>190500</xdr:rowOff>
    </xdr:to>
    <xdr:graphicFrame macro="">
      <xdr:nvGraphicFramePr>
        <xdr:cNvPr id="7" name="Graphique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793750</xdr:colOff>
      <xdr:row>99</xdr:row>
      <xdr:rowOff>63500</xdr:rowOff>
    </xdr:from>
    <xdr:to>
      <xdr:col>13</xdr:col>
      <xdr:colOff>254000</xdr:colOff>
      <xdr:row>110</xdr:row>
      <xdr:rowOff>177800</xdr:rowOff>
    </xdr:to>
    <xdr:graphicFrame macro="">
      <xdr:nvGraphicFramePr>
        <xdr:cNvPr id="8" name="Graphique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234950</xdr:colOff>
      <xdr:row>110</xdr:row>
      <xdr:rowOff>165100</xdr:rowOff>
    </xdr:from>
    <xdr:to>
      <xdr:col>14</xdr:col>
      <xdr:colOff>273050</xdr:colOff>
      <xdr:row>124</xdr:row>
      <xdr:rowOff>63500</xdr:rowOff>
    </xdr:to>
    <xdr:graphicFrame macro="">
      <xdr:nvGraphicFramePr>
        <xdr:cNvPr id="9" name="Graphique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806450</xdr:colOff>
      <xdr:row>124</xdr:row>
      <xdr:rowOff>139700</xdr:rowOff>
    </xdr:from>
    <xdr:to>
      <xdr:col>15</xdr:col>
      <xdr:colOff>254000</xdr:colOff>
      <xdr:row>133</xdr:row>
      <xdr:rowOff>127000</xdr:rowOff>
    </xdr:to>
    <xdr:graphicFrame macro="">
      <xdr:nvGraphicFramePr>
        <xdr:cNvPr id="10" name="Graphique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679450</xdr:colOff>
      <xdr:row>134</xdr:row>
      <xdr:rowOff>88900</xdr:rowOff>
    </xdr:from>
    <xdr:to>
      <xdr:col>15</xdr:col>
      <xdr:colOff>355600</xdr:colOff>
      <xdr:row>145</xdr:row>
      <xdr:rowOff>88900</xdr:rowOff>
    </xdr:to>
    <xdr:graphicFrame macro="">
      <xdr:nvGraphicFramePr>
        <xdr:cNvPr id="11" name="Graphique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44450</xdr:colOff>
      <xdr:row>147</xdr:row>
      <xdr:rowOff>12700</xdr:rowOff>
    </xdr:from>
    <xdr:to>
      <xdr:col>15</xdr:col>
      <xdr:colOff>831850</xdr:colOff>
      <xdr:row>160</xdr:row>
      <xdr:rowOff>114300</xdr:rowOff>
    </xdr:to>
    <xdr:graphicFrame macro="">
      <xdr:nvGraphicFramePr>
        <xdr:cNvPr id="12" name="Graphique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158750</xdr:colOff>
      <xdr:row>165</xdr:row>
      <xdr:rowOff>152400</xdr:rowOff>
    </xdr:from>
    <xdr:to>
      <xdr:col>13</xdr:col>
      <xdr:colOff>298450</xdr:colOff>
      <xdr:row>179</xdr:row>
      <xdr:rowOff>50800</xdr:rowOff>
    </xdr:to>
    <xdr:graphicFrame macro="">
      <xdr:nvGraphicFramePr>
        <xdr:cNvPr id="13" name="Graphique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146050</xdr:colOff>
      <xdr:row>192</xdr:row>
      <xdr:rowOff>50800</xdr:rowOff>
    </xdr:from>
    <xdr:to>
      <xdr:col>14</xdr:col>
      <xdr:colOff>184150</xdr:colOff>
      <xdr:row>205</xdr:row>
      <xdr:rowOff>152400</xdr:rowOff>
    </xdr:to>
    <xdr:graphicFrame macro="">
      <xdr:nvGraphicFramePr>
        <xdr:cNvPr id="14" name="Graphique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494030</xdr:colOff>
      <xdr:row>235</xdr:row>
      <xdr:rowOff>71120</xdr:rowOff>
    </xdr:from>
    <xdr:to>
      <xdr:col>11</xdr:col>
      <xdr:colOff>908050</xdr:colOff>
      <xdr:row>248</xdr:row>
      <xdr:rowOff>172720</xdr:rowOff>
    </xdr:to>
    <xdr:graphicFrame macro="">
      <xdr:nvGraphicFramePr>
        <xdr:cNvPr id="15" name="Graphique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736600</xdr:colOff>
      <xdr:row>271</xdr:row>
      <xdr:rowOff>177800</xdr:rowOff>
    </xdr:from>
    <xdr:to>
      <xdr:col>10</xdr:col>
      <xdr:colOff>1168400</xdr:colOff>
      <xdr:row>285</xdr:row>
      <xdr:rowOff>76200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10</xdr:col>
      <xdr:colOff>1066800</xdr:colOff>
      <xdr:row>263</xdr:row>
      <xdr:rowOff>50800</xdr:rowOff>
    </xdr:from>
    <xdr:to>
      <xdr:col>15</xdr:col>
      <xdr:colOff>431800</xdr:colOff>
      <xdr:row>276</xdr:row>
      <xdr:rowOff>152400</xdr:rowOff>
    </xdr:to>
    <xdr:graphicFrame macro="">
      <xdr:nvGraphicFramePr>
        <xdr:cNvPr id="16" name="Graphique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</xdr:col>
      <xdr:colOff>391160</xdr:colOff>
      <xdr:row>286</xdr:row>
      <xdr:rowOff>193040</xdr:rowOff>
    </xdr:from>
    <xdr:to>
      <xdr:col>8</xdr:col>
      <xdr:colOff>797560</xdr:colOff>
      <xdr:row>300</xdr:row>
      <xdr:rowOff>91440</xdr:rowOff>
    </xdr:to>
    <xdr:graphicFrame macro="">
      <xdr:nvGraphicFramePr>
        <xdr:cNvPr id="17" name="Graphique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</xdr:col>
      <xdr:colOff>695960</xdr:colOff>
      <xdr:row>302</xdr:row>
      <xdr:rowOff>20320</xdr:rowOff>
    </xdr:from>
    <xdr:to>
      <xdr:col>8</xdr:col>
      <xdr:colOff>248920</xdr:colOff>
      <xdr:row>315</xdr:row>
      <xdr:rowOff>121920</xdr:rowOff>
    </xdr:to>
    <xdr:graphicFrame macro="">
      <xdr:nvGraphicFramePr>
        <xdr:cNvPr id="18" name="Graphique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6</xdr:col>
      <xdr:colOff>350520</xdr:colOff>
      <xdr:row>340</xdr:row>
      <xdr:rowOff>30480</xdr:rowOff>
    </xdr:from>
    <xdr:to>
      <xdr:col>10</xdr:col>
      <xdr:colOff>132080</xdr:colOff>
      <xdr:row>353</xdr:row>
      <xdr:rowOff>132080</xdr:rowOff>
    </xdr:to>
    <xdr:graphicFrame macro="">
      <xdr:nvGraphicFramePr>
        <xdr:cNvPr id="19" name="Graphique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6</xdr:col>
      <xdr:colOff>299720</xdr:colOff>
      <xdr:row>353</xdr:row>
      <xdr:rowOff>152400</xdr:rowOff>
    </xdr:from>
    <xdr:to>
      <xdr:col>9</xdr:col>
      <xdr:colOff>1559560</xdr:colOff>
      <xdr:row>367</xdr:row>
      <xdr:rowOff>50800</xdr:rowOff>
    </xdr:to>
    <xdr:graphicFrame macro="">
      <xdr:nvGraphicFramePr>
        <xdr:cNvPr id="20" name="Graphique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6</xdr:col>
      <xdr:colOff>838200</xdr:colOff>
      <xdr:row>371</xdr:row>
      <xdr:rowOff>10160</xdr:rowOff>
    </xdr:from>
    <xdr:to>
      <xdr:col>10</xdr:col>
      <xdr:colOff>411480</xdr:colOff>
      <xdr:row>384</xdr:row>
      <xdr:rowOff>111760</xdr:rowOff>
    </xdr:to>
    <xdr:graphicFrame macro="">
      <xdr:nvGraphicFramePr>
        <xdr:cNvPr id="21" name="Graphique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8</xdr:col>
      <xdr:colOff>641350</xdr:colOff>
      <xdr:row>391</xdr:row>
      <xdr:rowOff>12700</xdr:rowOff>
    </xdr:from>
    <xdr:to>
      <xdr:col>12</xdr:col>
      <xdr:colOff>323850</xdr:colOff>
      <xdr:row>404</xdr:row>
      <xdr:rowOff>114300</xdr:rowOff>
    </xdr:to>
    <xdr:graphicFrame macro="">
      <xdr:nvGraphicFramePr>
        <xdr:cNvPr id="23" name="Graphique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</xdr:col>
      <xdr:colOff>209550</xdr:colOff>
      <xdr:row>323</xdr:row>
      <xdr:rowOff>139700</xdr:rowOff>
    </xdr:from>
    <xdr:to>
      <xdr:col>10</xdr:col>
      <xdr:colOff>641350</xdr:colOff>
      <xdr:row>337</xdr:row>
      <xdr:rowOff>38100</xdr:rowOff>
    </xdr:to>
    <xdr:graphicFrame macro="">
      <xdr:nvGraphicFramePr>
        <xdr:cNvPr id="24" name="Graphique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488950</xdr:colOff>
      <xdr:row>5</xdr:row>
      <xdr:rowOff>25400</xdr:rowOff>
    </xdr:from>
    <xdr:to>
      <xdr:col>11</xdr:col>
      <xdr:colOff>107950</xdr:colOff>
      <xdr:row>18</xdr:row>
      <xdr:rowOff>127000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271640</xdr:colOff>
      <xdr:row>30</xdr:row>
      <xdr:rowOff>145343</xdr:rowOff>
    </xdr:from>
    <xdr:to>
      <xdr:col>4</xdr:col>
      <xdr:colOff>1016001</xdr:colOff>
      <xdr:row>43</xdr:row>
      <xdr:rowOff>136877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1233715</xdr:colOff>
      <xdr:row>30</xdr:row>
      <xdr:rowOff>180621</xdr:rowOff>
    </xdr:from>
    <xdr:to>
      <xdr:col>8</xdr:col>
      <xdr:colOff>575028</xdr:colOff>
      <xdr:row>43</xdr:row>
      <xdr:rowOff>172155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280460</xdr:colOff>
      <xdr:row>45</xdr:row>
      <xdr:rowOff>4233</xdr:rowOff>
    </xdr:from>
    <xdr:to>
      <xdr:col>4</xdr:col>
      <xdr:colOff>997859</xdr:colOff>
      <xdr:row>58</xdr:row>
      <xdr:rowOff>7862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1215573</xdr:colOff>
      <xdr:row>45</xdr:row>
      <xdr:rowOff>110066</xdr:rowOff>
    </xdr:from>
    <xdr:to>
      <xdr:col>8</xdr:col>
      <xdr:colOff>566209</xdr:colOff>
      <xdr:row>58</xdr:row>
      <xdr:rowOff>101600</xdr:rowOff>
    </xdr:to>
    <xdr:graphicFrame macro="">
      <xdr:nvGraphicFramePr>
        <xdr:cNvPr id="9" name="Graphique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1270001</xdr:colOff>
      <xdr:row>60</xdr:row>
      <xdr:rowOff>57149</xdr:rowOff>
    </xdr:from>
    <xdr:to>
      <xdr:col>8</xdr:col>
      <xdr:colOff>636765</xdr:colOff>
      <xdr:row>73</xdr:row>
      <xdr:rowOff>48683</xdr:rowOff>
    </xdr:to>
    <xdr:graphicFrame macro="">
      <xdr:nvGraphicFramePr>
        <xdr:cNvPr id="14" name="Graphique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351014</xdr:colOff>
      <xdr:row>60</xdr:row>
      <xdr:rowOff>110066</xdr:rowOff>
    </xdr:from>
    <xdr:to>
      <xdr:col>4</xdr:col>
      <xdr:colOff>997859</xdr:colOff>
      <xdr:row>73</xdr:row>
      <xdr:rowOff>101600</xdr:rowOff>
    </xdr:to>
    <xdr:graphicFrame macro="">
      <xdr:nvGraphicFramePr>
        <xdr:cNvPr id="15" name="Graphique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330200</xdr:colOff>
      <xdr:row>1</xdr:row>
      <xdr:rowOff>76200</xdr:rowOff>
    </xdr:from>
    <xdr:to>
      <xdr:col>12</xdr:col>
      <xdr:colOff>774700</xdr:colOff>
      <xdr:row>14</xdr:row>
      <xdr:rowOff>177800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457200</xdr:colOff>
      <xdr:row>12</xdr:row>
      <xdr:rowOff>38100</xdr:rowOff>
    </xdr:from>
    <xdr:to>
      <xdr:col>6</xdr:col>
      <xdr:colOff>76200</xdr:colOff>
      <xdr:row>25</xdr:row>
      <xdr:rowOff>139700</xdr:rowOff>
    </xdr:to>
    <xdr:graphicFrame macro="">
      <xdr:nvGraphicFramePr>
        <xdr:cNvPr id="6" name="Graphique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12700</xdr:colOff>
      <xdr:row>32</xdr:row>
      <xdr:rowOff>50800</xdr:rowOff>
    </xdr:from>
    <xdr:to>
      <xdr:col>15</xdr:col>
      <xdr:colOff>457200</xdr:colOff>
      <xdr:row>45</xdr:row>
      <xdr:rowOff>152400</xdr:rowOff>
    </xdr:to>
    <xdr:graphicFrame macro="">
      <xdr:nvGraphicFramePr>
        <xdr:cNvPr id="7" name="Graphique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596900</xdr:colOff>
      <xdr:row>47</xdr:row>
      <xdr:rowOff>139700</xdr:rowOff>
    </xdr:from>
    <xdr:to>
      <xdr:col>15</xdr:col>
      <xdr:colOff>215900</xdr:colOff>
      <xdr:row>61</xdr:row>
      <xdr:rowOff>38100</xdr:rowOff>
    </xdr:to>
    <xdr:graphicFrame macro="">
      <xdr:nvGraphicFramePr>
        <xdr:cNvPr id="8" name="Graphique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120650</xdr:colOff>
      <xdr:row>3</xdr:row>
      <xdr:rowOff>101600</xdr:rowOff>
    </xdr:from>
    <xdr:to>
      <xdr:col>15</xdr:col>
      <xdr:colOff>565150</xdr:colOff>
      <xdr:row>17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552450</xdr:colOff>
      <xdr:row>3</xdr:row>
      <xdr:rowOff>88900</xdr:rowOff>
    </xdr:from>
    <xdr:to>
      <xdr:col>14</xdr:col>
      <xdr:colOff>171450</xdr:colOff>
      <xdr:row>16</xdr:row>
      <xdr:rowOff>190500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au1" displayName="Tableau1" ref="A1:R24" totalsRowCount="1">
  <autoFilter ref="A1:R23"/>
  <tableColumns count="18">
    <tableColumn id="1" name="Magnification"/>
    <tableColumn id="2" name="Area (*10^3 nm^2)"/>
    <tableColumn id="17" name="rac area" dataDxfId="21">
      <calculatedColumnFormula>SQRT(Tableau1[[#This Row],[Area (*10^3 nm^2)]]*1000)</calculatedColumnFormula>
    </tableColumn>
    <tableColumn id="3" name="Voltage"/>
    <tableColumn id="18" name="Colonne1"/>
    <tableColumn id="4" name="Pente (nm/scans)"/>
    <tableColumn id="5" name="Position"/>
    <tableColumn id="6" name="vitesse (s/scans)"/>
    <tableColumn id="7" name="pauses"/>
    <tableColumn id="8" name="vitesse (scans/s)" dataDxfId="20" totalsRowDxfId="19">
      <calculatedColumnFormula>1/Tableau1[[#This Row],[vitesse (s/scans)]]</calculatedColumnFormula>
    </tableColumn>
    <tableColumn id="9" name="vitesse de closure (nm/s)" dataDxfId="18" totalsRowDxfId="17">
      <calculatedColumnFormula>Tableau1[[#This Row],[Pente (nm/scans)]]*Tableau1[[#This Row],[vitesse (scans/s)]]</calculatedColumnFormula>
    </tableColumn>
    <tableColumn id="10" name="area*vscan*gama^2" dataDxfId="16" totalsRowDxfId="15">
      <calculatedColumnFormula>Tableau1[[#This Row],[Area (*10^3 nm^2)]]*Tableau1[[#This Row],[vitesse (s/scans)]]*Tableau1[[#This Row],[Magnification]]^2</calculatedColumnFormula>
    </tableColumn>
    <tableColumn id="11" name="Colonne11" totalsRowFunction="custom">
      <totalsRowFormula>0.09/0.23</totalsRowFormula>
    </tableColumn>
    <tableColumn id="12" name="vscan*gamma^2" dataDxfId="14" totalsRowDxfId="13">
      <calculatedColumnFormula>Tableau1[[#This Row],[vitesse (scans/s)]]*Tableau1[[#This Row],[Magnification]]^2</calculatedColumnFormula>
    </tableColumn>
    <tableColumn id="13" name="Colonne13" dataDxfId="12" totalsRowDxfId="11">
      <calculatedColumnFormula>Tableau1[[#This Row],[rac area]]^2*Tableau1[[#This Row],[vitesse (scans/s)]]*Tableau1[[#This Row],[Magnification]]^2</calculatedColumnFormula>
    </tableColumn>
    <tableColumn id="14" name="Colonne14"/>
    <tableColumn id="15" name="Colonne15"/>
    <tableColumn id="16" name="Colonne16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au2" displayName="Tableau2" ref="A1:I25" totalsRowShown="0" headerRowDxfId="10" dataDxfId="9">
  <autoFilter ref="A1:I25"/>
  <sortState ref="A2:I25">
    <sortCondition ref="F1:F25"/>
  </sortState>
  <tableColumns count="9">
    <tableColumn id="14" name="Position" dataDxfId="8"/>
    <tableColumn id="13" name="Pauses" dataDxfId="7"/>
    <tableColumn id="1" name="Magnification (K)" dataDxfId="6"/>
    <tableColumn id="2" name="L (nm)" dataDxfId="5"/>
    <tableColumn id="10" name="gamma^2 L^2" dataDxfId="4">
      <calculatedColumnFormula>(Tableau2[[#This Row],[Magnification (K)]]*Tableau2[[#This Row],[L (nm)]])^2*10^(-6)</calculatedColumnFormula>
    </tableColumn>
    <tableColumn id="3" name="Voltage (kV)" dataDxfId="3"/>
    <tableColumn id="15" name="Scan speed (scan/s)" dataDxfId="2"/>
    <tableColumn id="4" name="Closure speed (nm/scan)" dataDxfId="1"/>
    <tableColumn id="8" name="Closure Speed (nm/s)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" workbookViewId="0">
      <selection activeCell="A3" sqref="A3"/>
    </sheetView>
  </sheetViews>
  <sheetFormatPr baseColWidth="10" defaultRowHeight="15.6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03"/>
  <sheetViews>
    <sheetView topLeftCell="A225" workbookViewId="0">
      <selection activeCell="L328" sqref="L328"/>
    </sheetView>
  </sheetViews>
  <sheetFormatPr baseColWidth="10" defaultRowHeight="15.6" x14ac:dyDescent="0.3"/>
  <cols>
    <col min="1" max="7" width="11.19921875" customWidth="1"/>
    <col min="8" max="8" width="21" customWidth="1"/>
    <col min="9" max="9" width="11.19921875" customWidth="1"/>
    <col min="10" max="10" width="22.19921875" customWidth="1"/>
    <col min="11" max="11" width="18.69921875" style="1" customWidth="1"/>
    <col min="12" max="12" width="12.19921875" customWidth="1"/>
    <col min="13" max="13" width="12.5" customWidth="1"/>
    <col min="14" max="15" width="12.5" style="1" customWidth="1"/>
    <col min="16" max="18" width="12.5" customWidth="1"/>
  </cols>
  <sheetData>
    <row r="1" spans="1:20" x14ac:dyDescent="0.3">
      <c r="A1" t="s">
        <v>0</v>
      </c>
      <c r="B1" t="s">
        <v>19</v>
      </c>
      <c r="C1" t="s">
        <v>28</v>
      </c>
      <c r="D1" t="s">
        <v>6</v>
      </c>
      <c r="E1" t="s">
        <v>60</v>
      </c>
      <c r="F1" t="s">
        <v>24</v>
      </c>
      <c r="G1" t="s">
        <v>17</v>
      </c>
      <c r="H1" t="s">
        <v>21</v>
      </c>
      <c r="I1" t="s">
        <v>10</v>
      </c>
      <c r="J1" t="s">
        <v>18</v>
      </c>
      <c r="K1" s="1" t="s">
        <v>25</v>
      </c>
      <c r="L1" t="s">
        <v>26</v>
      </c>
      <c r="M1" t="s">
        <v>1</v>
      </c>
      <c r="N1" s="1" t="s">
        <v>29</v>
      </c>
      <c r="O1" s="1" t="s">
        <v>2</v>
      </c>
      <c r="P1" t="s">
        <v>3</v>
      </c>
      <c r="Q1" t="s">
        <v>4</v>
      </c>
      <c r="R1" t="s">
        <v>5</v>
      </c>
    </row>
    <row r="2" spans="1:20" x14ac:dyDescent="0.3">
      <c r="A2">
        <v>100</v>
      </c>
      <c r="B2">
        <v>250</v>
      </c>
      <c r="C2">
        <f>SQRT(Tableau1[[#This Row],[Area (*10^3 nm^2)]]*1000)</f>
        <v>500</v>
      </c>
      <c r="D2">
        <v>5</v>
      </c>
      <c r="F2">
        <v>2.36</v>
      </c>
      <c r="G2">
        <v>1.2</v>
      </c>
      <c r="I2" t="s">
        <v>23</v>
      </c>
      <c r="J2" s="1"/>
      <c r="L2">
        <f>Tableau1[[#This Row],[Area (*10^3 nm^2)]]*Tableau1[[#This Row],[vitesse (s/scans)]]*Tableau1[[#This Row],[Magnification]]^2</f>
        <v>0</v>
      </c>
      <c r="M2" t="s">
        <v>27</v>
      </c>
      <c r="N2" s="1">
        <f>Tableau1[[#This Row],[vitesse (scans/s)]]*Tableau1[[#This Row],[Magnification]]^2</f>
        <v>0</v>
      </c>
      <c r="O2" s="1">
        <f>Tableau1[[#This Row],[rac area]]^2*Tableau1[[#This Row],[vitesse (scans/s)]]*Tableau1[[#This Row],[Magnification]]^2</f>
        <v>0</v>
      </c>
    </row>
    <row r="3" spans="1:20" x14ac:dyDescent="0.3">
      <c r="A3">
        <v>100</v>
      </c>
      <c r="B3">
        <v>90</v>
      </c>
      <c r="C3">
        <f>SQRT(Tableau1[[#This Row],[Area (*10^3 nm^2)]]*1000)</f>
        <v>300</v>
      </c>
      <c r="D3">
        <v>5</v>
      </c>
      <c r="F3">
        <v>1.59</v>
      </c>
      <c r="G3">
        <v>1.3</v>
      </c>
      <c r="I3" t="s">
        <v>23</v>
      </c>
      <c r="J3" s="1"/>
      <c r="L3">
        <f>Tableau1[[#This Row],[Area (*10^3 nm^2)]]*Tableau1[[#This Row],[vitesse (s/scans)]]*Tableau1[[#This Row],[Magnification]]^2</f>
        <v>0</v>
      </c>
      <c r="N3" s="1">
        <f>Tableau1[[#This Row],[vitesse (scans/s)]]*Tableau1[[#This Row],[Magnification]]^2</f>
        <v>0</v>
      </c>
      <c r="O3" s="1">
        <f>Tableau1[[#This Row],[rac area]]^2*Tableau1[[#This Row],[vitesse (scans/s)]]*Tableau1[[#This Row],[Magnification]]^2</f>
        <v>0</v>
      </c>
    </row>
    <row r="4" spans="1:20" x14ac:dyDescent="0.3">
      <c r="A4">
        <v>100</v>
      </c>
      <c r="B4">
        <v>62.5</v>
      </c>
      <c r="C4">
        <f>SQRT(Tableau1[[#This Row],[Area (*10^3 nm^2)]]*1000)</f>
        <v>250</v>
      </c>
      <c r="D4">
        <v>5</v>
      </c>
      <c r="F4">
        <v>1.42</v>
      </c>
      <c r="G4">
        <v>1.4</v>
      </c>
      <c r="I4" t="s">
        <v>22</v>
      </c>
      <c r="J4" s="1"/>
      <c r="L4">
        <f>Tableau1[[#This Row],[Area (*10^3 nm^2)]]*Tableau1[[#This Row],[vitesse (s/scans)]]*Tableau1[[#This Row],[Magnification]]^2</f>
        <v>0</v>
      </c>
      <c r="N4" s="1">
        <f>Tableau1[[#This Row],[vitesse (scans/s)]]*Tableau1[[#This Row],[Magnification]]^2</f>
        <v>0</v>
      </c>
      <c r="O4" s="1">
        <f>Tableau1[[#This Row],[rac area]]^2*Tableau1[[#This Row],[vitesse (scans/s)]]*Tableau1[[#This Row],[Magnification]]^2</f>
        <v>0</v>
      </c>
    </row>
    <row r="5" spans="1:20" x14ac:dyDescent="0.3">
      <c r="A5">
        <v>200</v>
      </c>
      <c r="B5">
        <v>15.625</v>
      </c>
      <c r="C5">
        <f>SQRT(Tableau1[[#This Row],[Area (*10^3 nm^2)]]*1000)</f>
        <v>125</v>
      </c>
      <c r="D5">
        <v>5</v>
      </c>
      <c r="F5">
        <v>1.74</v>
      </c>
      <c r="G5">
        <v>2.5</v>
      </c>
      <c r="I5" t="s">
        <v>23</v>
      </c>
      <c r="J5" s="1"/>
      <c r="L5">
        <f>Tableau1[[#This Row],[Area (*10^3 nm^2)]]*Tableau1[[#This Row],[vitesse (s/scans)]]*Tableau1[[#This Row],[Magnification]]^2</f>
        <v>0</v>
      </c>
      <c r="N5" s="1">
        <f>Tableau1[[#This Row],[vitesse (scans/s)]]*Tableau1[[#This Row],[Magnification]]^2</f>
        <v>0</v>
      </c>
      <c r="O5" s="1">
        <f>Tableau1[[#This Row],[rac area]]^2*Tableau1[[#This Row],[vitesse (scans/s)]]*Tableau1[[#This Row],[Magnification]]^2</f>
        <v>0</v>
      </c>
    </row>
    <row r="6" spans="1:20" x14ac:dyDescent="0.3">
      <c r="A6">
        <v>100</v>
      </c>
      <c r="B6">
        <v>62.5</v>
      </c>
      <c r="C6">
        <f>SQRT(Tableau1[[#This Row],[Area (*10^3 nm^2)]]*1000)</f>
        <v>250</v>
      </c>
      <c r="D6">
        <v>5</v>
      </c>
      <c r="F6">
        <v>1.06</v>
      </c>
      <c r="G6">
        <v>1.5</v>
      </c>
      <c r="I6" t="s">
        <v>23</v>
      </c>
      <c r="J6" s="1"/>
      <c r="L6">
        <f>Tableau1[[#This Row],[Area (*10^3 nm^2)]]*Tableau1[[#This Row],[vitesse (s/scans)]]*Tableau1[[#This Row],[Magnification]]^2</f>
        <v>0</v>
      </c>
      <c r="N6" s="1">
        <f>Tableau1[[#This Row],[vitesse (scans/s)]]*Tableau1[[#This Row],[Magnification]]^2</f>
        <v>0</v>
      </c>
      <c r="O6" s="1">
        <f>Tableau1[[#This Row],[rac area]]^2*Tableau1[[#This Row],[vitesse (scans/s)]]*Tableau1[[#This Row],[Magnification]]^2</f>
        <v>0</v>
      </c>
    </row>
    <row r="7" spans="1:20" x14ac:dyDescent="0.3">
      <c r="A7">
        <v>200</v>
      </c>
      <c r="B7">
        <v>62.5</v>
      </c>
      <c r="C7">
        <f>SQRT(Tableau1[[#This Row],[Area (*10^3 nm^2)]]*1000)</f>
        <v>250</v>
      </c>
      <c r="D7">
        <v>5</v>
      </c>
      <c r="F7">
        <v>3.54</v>
      </c>
      <c r="G7">
        <v>2.2000000000000002</v>
      </c>
      <c r="I7" t="s">
        <v>23</v>
      </c>
      <c r="J7" s="1"/>
      <c r="L7">
        <f>Tableau1[[#This Row],[Area (*10^3 nm^2)]]*Tableau1[[#This Row],[vitesse (s/scans)]]*Tableau1[[#This Row],[Magnification]]^2</f>
        <v>0</v>
      </c>
      <c r="N7" s="1">
        <f>Tableau1[[#This Row],[vitesse (scans/s)]]*Tableau1[[#This Row],[Magnification]]^2</f>
        <v>0</v>
      </c>
      <c r="O7" s="1">
        <f>Tableau1[[#This Row],[rac area]]^2*Tableau1[[#This Row],[vitesse (scans/s)]]*Tableau1[[#This Row],[Magnification]]^2</f>
        <v>0</v>
      </c>
    </row>
    <row r="8" spans="1:20" x14ac:dyDescent="0.3">
      <c r="A8">
        <v>200</v>
      </c>
      <c r="B8">
        <v>90</v>
      </c>
      <c r="C8">
        <f>SQRT(Tableau1[[#This Row],[Area (*10^3 nm^2)]]*1000)</f>
        <v>300</v>
      </c>
      <c r="D8">
        <v>5</v>
      </c>
      <c r="F8">
        <v>4.33</v>
      </c>
      <c r="G8">
        <v>2.1</v>
      </c>
      <c r="I8" t="s">
        <v>23</v>
      </c>
      <c r="J8" s="1"/>
      <c r="L8">
        <f>Tableau1[[#This Row],[Area (*10^3 nm^2)]]*Tableau1[[#This Row],[vitesse (s/scans)]]*Tableau1[[#This Row],[Magnification]]^2</f>
        <v>0</v>
      </c>
      <c r="N8" s="1">
        <f>Tableau1[[#This Row],[vitesse (scans/s)]]*Tableau1[[#This Row],[Magnification]]^2</f>
        <v>0</v>
      </c>
      <c r="O8" s="1">
        <f>Tableau1[[#This Row],[rac area]]^2*Tableau1[[#This Row],[vitesse (scans/s)]]*Tableau1[[#This Row],[Magnification]]^2</f>
        <v>0</v>
      </c>
    </row>
    <row r="9" spans="1:20" x14ac:dyDescent="0.3">
      <c r="A9">
        <v>200</v>
      </c>
      <c r="B9">
        <v>90</v>
      </c>
      <c r="C9">
        <f>SQRT(Tableau1[[#This Row],[Area (*10^3 nm^2)]]*1000)</f>
        <v>300</v>
      </c>
      <c r="D9">
        <v>5</v>
      </c>
      <c r="F9">
        <v>5.21</v>
      </c>
      <c r="G9">
        <v>2.2999999999999998</v>
      </c>
      <c r="H9">
        <v>7.6</v>
      </c>
      <c r="I9" t="s">
        <v>23</v>
      </c>
      <c r="J9" s="1">
        <f>1/Tableau1[[#This Row],[vitesse (s/scans)]]</f>
        <v>0.13157894736842105</v>
      </c>
      <c r="K9" s="1">
        <f>Tableau1[[#This Row],[Pente (nm/scans)]]*Tableau1[[#This Row],[vitesse (scans/s)]]</f>
        <v>0.68552631578947365</v>
      </c>
      <c r="L9">
        <f>Tableau1[[#This Row],[Area (*10^3 nm^2)]]*Tableau1[[#This Row],[vitesse (s/scans)]]*Tableau1[[#This Row],[Magnification]]^2</f>
        <v>27360000</v>
      </c>
      <c r="M9">
        <f>Tableau1[[#This Row],[Magnification]]*Tableau1[[#This Row],[Magnification]]*Tableau1[[#This Row],[Area (*10^3 nm^2)]]</f>
        <v>3600000</v>
      </c>
      <c r="N9" s="1">
        <f>Tableau1[[#This Row],[vitesse (scans/s)]]*Tableau1[[#This Row],[Magnification]]^2</f>
        <v>5263.1578947368416</v>
      </c>
      <c r="O9" s="1">
        <f>Tableau1[[#This Row],[rac area]]^2*Tableau1[[#This Row],[vitesse (scans/s)]]*Tableau1[[#This Row],[Magnification]]^2</f>
        <v>473684210.52631575</v>
      </c>
    </row>
    <row r="10" spans="1:20" x14ac:dyDescent="0.3">
      <c r="A10">
        <v>200</v>
      </c>
      <c r="B10">
        <v>90</v>
      </c>
      <c r="C10">
        <f>SQRT(Tableau1[[#This Row],[Area (*10^3 nm^2)]]*1000)</f>
        <v>300</v>
      </c>
      <c r="D10">
        <v>5</v>
      </c>
      <c r="F10">
        <v>4.79</v>
      </c>
      <c r="G10">
        <v>2.4</v>
      </c>
      <c r="H10">
        <v>7.5</v>
      </c>
      <c r="I10" t="s">
        <v>23</v>
      </c>
      <c r="J10" s="1">
        <f>1/Tableau1[[#This Row],[vitesse (s/scans)]]</f>
        <v>0.13333333333333333</v>
      </c>
      <c r="K10" s="1">
        <f>Tableau1[[#This Row],[Pente (nm/scans)]]*Tableau1[[#This Row],[vitesse (scans/s)]]</f>
        <v>0.63866666666666672</v>
      </c>
      <c r="L10">
        <f>Tableau1[[#This Row],[Area (*10^3 nm^2)]]*Tableau1[[#This Row],[vitesse (s/scans)]]*Tableau1[[#This Row],[Magnification]]^2</f>
        <v>27000000</v>
      </c>
      <c r="M10">
        <f>Tableau1[[#This Row],[Magnification]]*Tableau1[[#This Row],[Magnification]]*Tableau1[[#This Row],[Area (*10^3 nm^2)]]</f>
        <v>3600000</v>
      </c>
      <c r="N10" s="1">
        <f>Tableau1[[#This Row],[vitesse (scans/s)]]*Tableau1[[#This Row],[Magnification]]^2</f>
        <v>5333.333333333333</v>
      </c>
      <c r="O10" s="1">
        <f>Tableau1[[#This Row],[rac area]]^2*Tableau1[[#This Row],[vitesse (scans/s)]]*Tableau1[[#This Row],[Magnification]]^2</f>
        <v>480000000</v>
      </c>
    </row>
    <row r="11" spans="1:20" x14ac:dyDescent="0.3">
      <c r="A11">
        <v>150</v>
      </c>
      <c r="B11">
        <v>90</v>
      </c>
      <c r="C11">
        <f>SQRT(Tableau1[[#This Row],[Area (*10^3 nm^2)]]*1000)</f>
        <v>300</v>
      </c>
      <c r="D11">
        <v>5</v>
      </c>
      <c r="F11">
        <v>2.59</v>
      </c>
      <c r="G11">
        <v>3.1</v>
      </c>
      <c r="H11">
        <v>4.3</v>
      </c>
      <c r="I11" t="s">
        <v>23</v>
      </c>
      <c r="J11" s="1">
        <f>1/Tableau1[[#This Row],[vitesse (s/scans)]]</f>
        <v>0.23255813953488372</v>
      </c>
      <c r="K11" s="1">
        <f>Tableau1[[#This Row],[Pente (nm/scans)]]*Tableau1[[#This Row],[vitesse (scans/s)]]</f>
        <v>0.60232558139534875</v>
      </c>
      <c r="L11">
        <f>Tableau1[[#This Row],[Area (*10^3 nm^2)]]*Tableau1[[#This Row],[vitesse (s/scans)]]*Tableau1[[#This Row],[Magnification]]^2</f>
        <v>8707500</v>
      </c>
      <c r="M11">
        <f>Tableau1[[#This Row],[Magnification]]*Tableau1[[#This Row],[Magnification]]*Tableau1[[#This Row],[Area (*10^3 nm^2)]]</f>
        <v>2025000</v>
      </c>
      <c r="N11" s="1">
        <f>Tableau1[[#This Row],[vitesse (scans/s)]]*Tableau1[[#This Row],[Magnification]]^2</f>
        <v>5232.5581395348836</v>
      </c>
      <c r="O11" s="1">
        <f>Tableau1[[#This Row],[rac area]]^2*Tableau1[[#This Row],[vitesse (scans/s)]]*Tableau1[[#This Row],[Magnification]]^2</f>
        <v>470930232.5581395</v>
      </c>
    </row>
    <row r="12" spans="1:20" x14ac:dyDescent="0.3">
      <c r="A12">
        <v>150</v>
      </c>
      <c r="B12">
        <v>250</v>
      </c>
      <c r="C12">
        <f>SQRT(Tableau1[[#This Row],[Area (*10^3 nm^2)]]*1000)</f>
        <v>500</v>
      </c>
      <c r="D12">
        <v>5</v>
      </c>
      <c r="F12">
        <v>3.61</v>
      </c>
      <c r="G12">
        <v>3.2</v>
      </c>
      <c r="H12">
        <v>11.7</v>
      </c>
      <c r="I12" t="s">
        <v>23</v>
      </c>
      <c r="J12" s="1">
        <f>1/Tableau1[[#This Row],[vitesse (s/scans)]]</f>
        <v>8.5470085470085472E-2</v>
      </c>
      <c r="K12" s="1">
        <f>Tableau1[[#This Row],[Pente (nm/scans)]]*Tableau1[[#This Row],[vitesse (scans/s)]]</f>
        <v>0.30854700854700856</v>
      </c>
      <c r="L12">
        <f>Tableau1[[#This Row],[Area (*10^3 nm^2)]]*Tableau1[[#This Row],[vitesse (s/scans)]]*Tableau1[[#This Row],[Magnification]]^2</f>
        <v>65812500</v>
      </c>
      <c r="M12">
        <f>Tableau1[[#This Row],[Magnification]]*Tableau1[[#This Row],[Magnification]]*Tableau1[[#This Row],[Area (*10^3 nm^2)]]</f>
        <v>5625000</v>
      </c>
      <c r="N12" s="1">
        <f>Tableau1[[#This Row],[vitesse (scans/s)]]*Tableau1[[#This Row],[Magnification]]^2</f>
        <v>1923.0769230769231</v>
      </c>
      <c r="O12" s="1">
        <f>Tableau1[[#This Row],[rac area]]^2*Tableau1[[#This Row],[vitesse (scans/s)]]*Tableau1[[#This Row],[Magnification]]^2</f>
        <v>480769230.76923078</v>
      </c>
      <c r="T12">
        <f>1923*90/5232</f>
        <v>33.079128440366972</v>
      </c>
    </row>
    <row r="13" spans="1:20" x14ac:dyDescent="0.3">
      <c r="A13">
        <v>100</v>
      </c>
      <c r="B13">
        <v>562.5</v>
      </c>
      <c r="C13">
        <f>SQRT(Tableau1[[#This Row],[Area (*10^3 nm^2)]]*1000)</f>
        <v>750</v>
      </c>
      <c r="D13">
        <v>5</v>
      </c>
      <c r="F13">
        <v>1.93</v>
      </c>
      <c r="G13" t="s">
        <v>20</v>
      </c>
      <c r="H13">
        <v>11.8</v>
      </c>
      <c r="I13" t="s">
        <v>23</v>
      </c>
      <c r="J13" s="1">
        <f>1/Tableau1[[#This Row],[vitesse (s/scans)]]</f>
        <v>8.4745762711864403E-2</v>
      </c>
      <c r="K13" s="1">
        <f>Tableau1[[#This Row],[Pente (nm/scans)]]*Tableau1[[#This Row],[vitesse (scans/s)]]</f>
        <v>0.16355932203389828</v>
      </c>
      <c r="L13">
        <f>Tableau1[[#This Row],[Area (*10^3 nm^2)]]*Tableau1[[#This Row],[vitesse (s/scans)]]*Tableau1[[#This Row],[Magnification]]^2</f>
        <v>66375000</v>
      </c>
      <c r="M13">
        <f>Tableau1[[#This Row],[Magnification]]*Tableau1[[#This Row],[Magnification]]*Tableau1[[#This Row],[Area (*10^3 nm^2)]]</f>
        <v>5625000</v>
      </c>
      <c r="N13" s="1">
        <f>Tableau1[[#This Row],[vitesse (scans/s)]]*Tableau1[[#This Row],[Magnification]]^2</f>
        <v>847.45762711864404</v>
      </c>
      <c r="O13" s="1">
        <f>Tableau1[[#This Row],[rac area]]^2*Tableau1[[#This Row],[vitesse (scans/s)]]*Tableau1[[#This Row],[Magnification]]^2</f>
        <v>476694915.25423729</v>
      </c>
    </row>
    <row r="14" spans="1:20" x14ac:dyDescent="0.3">
      <c r="A14">
        <v>200</v>
      </c>
      <c r="B14">
        <v>62.5</v>
      </c>
      <c r="C14">
        <f>SQRT(Tableau1[[#This Row],[Area (*10^3 nm^2)]]*1000)</f>
        <v>250</v>
      </c>
      <c r="D14">
        <v>5</v>
      </c>
      <c r="G14" t="s">
        <v>13</v>
      </c>
      <c r="H14">
        <v>5.3</v>
      </c>
      <c r="I14" t="s">
        <v>23</v>
      </c>
      <c r="J14" s="1">
        <f>1/Tableau1[[#This Row],[vitesse (s/scans)]]</f>
        <v>0.18867924528301888</v>
      </c>
      <c r="K14" s="1">
        <f>Tableau1[[#This Row],[Pente (nm/scans)]]*Tableau1[[#This Row],[vitesse (scans/s)]]</f>
        <v>0</v>
      </c>
      <c r="L14">
        <f>Tableau1[[#This Row],[Area (*10^3 nm^2)]]*Tableau1[[#This Row],[vitesse (s/scans)]]*Tableau1[[#This Row],[Magnification]]^2</f>
        <v>13250000</v>
      </c>
      <c r="M14">
        <f>Tableau1[[#This Row],[Magnification]]*Tableau1[[#This Row],[Magnification]]*Tableau1[[#This Row],[Area (*10^3 nm^2)]]</f>
        <v>2500000</v>
      </c>
      <c r="N14" s="1">
        <f>Tableau1[[#This Row],[vitesse (scans/s)]]*Tableau1[[#This Row],[Magnification]]^2</f>
        <v>7547.1698113207549</v>
      </c>
      <c r="O14" s="1">
        <f>Tableau1[[#This Row],[rac area]]^2*Tableau1[[#This Row],[vitesse (scans/s)]]*Tableau1[[#This Row],[Magnification]]^2</f>
        <v>471698113.20754719</v>
      </c>
    </row>
    <row r="15" spans="1:20" x14ac:dyDescent="0.3">
      <c r="A15">
        <v>100</v>
      </c>
      <c r="B15">
        <v>250</v>
      </c>
      <c r="C15">
        <f>SQRT(Tableau1[[#This Row],[Area (*10^3 nm^2)]]*1000)</f>
        <v>500</v>
      </c>
      <c r="D15">
        <v>10</v>
      </c>
      <c r="F15">
        <v>0.99</v>
      </c>
      <c r="G15">
        <v>4.0999999999999996</v>
      </c>
      <c r="H15">
        <v>5.32</v>
      </c>
      <c r="I15" t="s">
        <v>23</v>
      </c>
      <c r="J15" s="1">
        <f>1/Tableau1[[#This Row],[vitesse (s/scans)]]</f>
        <v>0.18796992481203006</v>
      </c>
      <c r="K15" s="1">
        <f>Tableau1[[#This Row],[Pente (nm/scans)]]*Tableau1[[#This Row],[vitesse (scans/s)]]</f>
        <v>0.18609022556390975</v>
      </c>
      <c r="L15">
        <f>Tableau1[[#This Row],[Area (*10^3 nm^2)]]*Tableau1[[#This Row],[vitesse (s/scans)]]*Tableau1[[#This Row],[Magnification]]^2</f>
        <v>13300000</v>
      </c>
      <c r="M15">
        <f>Tableau1[[#This Row],[Magnification]]*Tableau1[[#This Row],[Magnification]]*Tableau1[[#This Row],[Area (*10^3 nm^2)]]</f>
        <v>2500000</v>
      </c>
      <c r="N15" s="1">
        <f>Tableau1[[#This Row],[vitesse (scans/s)]]*Tableau1[[#This Row],[Magnification]]^2</f>
        <v>1879.6992481203006</v>
      </c>
      <c r="O15" s="1">
        <f>Tableau1[[#This Row],[rac area]]^2*Tableau1[[#This Row],[vitesse (scans/s)]]*Tableau1[[#This Row],[Magnification]]^2</f>
        <v>469924812.03007519</v>
      </c>
    </row>
    <row r="16" spans="1:20" x14ac:dyDescent="0.3">
      <c r="C16">
        <f>SQRT(Tableau1[[#This Row],[Area (*10^3 nm^2)]]*1000)</f>
        <v>0</v>
      </c>
      <c r="J16" s="1"/>
      <c r="L16">
        <f>Tableau1[[#This Row],[Area (*10^3 nm^2)]]*Tableau1[[#This Row],[vitesse (s/scans)]]*Tableau1[[#This Row],[Magnification]]^2</f>
        <v>0</v>
      </c>
      <c r="N16" s="1">
        <f>Tableau1[[#This Row],[vitesse (scans/s)]]*Tableau1[[#This Row],[Magnification]]^2</f>
        <v>0</v>
      </c>
      <c r="O16" s="1">
        <f>Tableau1[[#This Row],[rac area]]^2*Tableau1[[#This Row],[vitesse (scans/s)]]*Tableau1[[#This Row],[Magnification]]^2</f>
        <v>0</v>
      </c>
    </row>
    <row r="17" spans="3:16" x14ac:dyDescent="0.3">
      <c r="C17">
        <f>SQRT(Tableau1[[#This Row],[Area (*10^3 nm^2)]]*1000)</f>
        <v>0</v>
      </c>
      <c r="J17" s="1"/>
      <c r="L17">
        <f>Tableau1[[#This Row],[Area (*10^3 nm^2)]]*Tableau1[[#This Row],[vitesse (s/scans)]]*Tableau1[[#This Row],[Magnification]]^2</f>
        <v>0</v>
      </c>
      <c r="N17" s="1">
        <f>Tableau1[[#This Row],[vitesse (scans/s)]]*Tableau1[[#This Row],[Magnification]]^2</f>
        <v>0</v>
      </c>
      <c r="O17" s="1">
        <f>Tableau1[[#This Row],[rac area]]^2*Tableau1[[#This Row],[vitesse (scans/s)]]*Tableau1[[#This Row],[Magnification]]^2</f>
        <v>0</v>
      </c>
    </row>
    <row r="18" spans="3:16" x14ac:dyDescent="0.3">
      <c r="C18">
        <f>SQRT(Tableau1[[#This Row],[Area (*10^3 nm^2)]]*1000)</f>
        <v>0</v>
      </c>
      <c r="J18" s="1"/>
      <c r="L18">
        <f>Tableau1[[#This Row],[Area (*10^3 nm^2)]]*Tableau1[[#This Row],[vitesse (s/scans)]]*Tableau1[[#This Row],[Magnification]]^2</f>
        <v>0</v>
      </c>
      <c r="N18" s="1">
        <f>Tableau1[[#This Row],[vitesse (scans/s)]]*Tableau1[[#This Row],[Magnification]]^2</f>
        <v>0</v>
      </c>
      <c r="O18" s="1">
        <f>Tableau1[[#This Row],[rac area]]^2*Tableau1[[#This Row],[vitesse (scans/s)]]*Tableau1[[#This Row],[Magnification]]^2</f>
        <v>0</v>
      </c>
    </row>
    <row r="19" spans="3:16" x14ac:dyDescent="0.3">
      <c r="C19">
        <f>SQRT(Tableau1[[#This Row],[Area (*10^3 nm^2)]]*1000)</f>
        <v>0</v>
      </c>
      <c r="J19" s="1"/>
      <c r="L19">
        <f>Tableau1[[#This Row],[Area (*10^3 nm^2)]]*Tableau1[[#This Row],[vitesse (s/scans)]]*Tableau1[[#This Row],[Magnification]]^2</f>
        <v>0</v>
      </c>
      <c r="N19" s="1">
        <f>Tableau1[[#This Row],[vitesse (scans/s)]]*Tableau1[[#This Row],[Magnification]]^2</f>
        <v>0</v>
      </c>
      <c r="O19" s="1">
        <f>Tableau1[[#This Row],[rac area]]^2*Tableau1[[#This Row],[vitesse (scans/s)]]*Tableau1[[#This Row],[Magnification]]^2</f>
        <v>0</v>
      </c>
    </row>
    <row r="20" spans="3:16" x14ac:dyDescent="0.3">
      <c r="C20">
        <f>SQRT(Tableau1[[#This Row],[Area (*10^3 nm^2)]]*1000)</f>
        <v>0</v>
      </c>
      <c r="J20" s="1"/>
      <c r="L20">
        <f>Tableau1[[#This Row],[Area (*10^3 nm^2)]]*Tableau1[[#This Row],[vitesse (s/scans)]]*Tableau1[[#This Row],[Magnification]]^2</f>
        <v>0</v>
      </c>
      <c r="N20" s="1">
        <f>Tableau1[[#This Row],[vitesse (scans/s)]]*Tableau1[[#This Row],[Magnification]]^2</f>
        <v>0</v>
      </c>
      <c r="O20" s="1">
        <f>Tableau1[[#This Row],[rac area]]^2*Tableau1[[#This Row],[vitesse (scans/s)]]*Tableau1[[#This Row],[Magnification]]^2</f>
        <v>0</v>
      </c>
    </row>
    <row r="21" spans="3:16" x14ac:dyDescent="0.3">
      <c r="C21">
        <f>SQRT(Tableau1[[#This Row],[Area (*10^3 nm^2)]]*1000)</f>
        <v>0</v>
      </c>
      <c r="J21" s="1"/>
      <c r="L21">
        <f>Tableau1[[#This Row],[Area (*10^3 nm^2)]]*Tableau1[[#This Row],[vitesse (s/scans)]]*Tableau1[[#This Row],[Magnification]]^2</f>
        <v>0</v>
      </c>
      <c r="N21" s="1">
        <f>Tableau1[[#This Row],[vitesse (scans/s)]]*Tableau1[[#This Row],[Magnification]]^2</f>
        <v>0</v>
      </c>
      <c r="O21" s="1">
        <f>Tableau1[[#This Row],[rac area]]^2*Tableau1[[#This Row],[vitesse (scans/s)]]*Tableau1[[#This Row],[Magnification]]^2</f>
        <v>0</v>
      </c>
    </row>
    <row r="22" spans="3:16" x14ac:dyDescent="0.3">
      <c r="C22">
        <f>SQRT(Tableau1[[#This Row],[Area (*10^3 nm^2)]]*1000)</f>
        <v>0</v>
      </c>
      <c r="J22" s="1"/>
      <c r="L22">
        <f>Tableau1[[#This Row],[Area (*10^3 nm^2)]]*Tableau1[[#This Row],[vitesse (s/scans)]]*Tableau1[[#This Row],[Magnification]]^2</f>
        <v>0</v>
      </c>
      <c r="N22" s="1">
        <f>Tableau1[[#This Row],[vitesse (scans/s)]]*Tableau1[[#This Row],[Magnification]]^2</f>
        <v>0</v>
      </c>
      <c r="O22" s="1">
        <f>Tableau1[[#This Row],[rac area]]^2*Tableau1[[#This Row],[vitesse (scans/s)]]*Tableau1[[#This Row],[Magnification]]^2</f>
        <v>0</v>
      </c>
    </row>
    <row r="23" spans="3:16" x14ac:dyDescent="0.3">
      <c r="C23">
        <f>SQRT(Tableau1[[#This Row],[Area (*10^3 nm^2)]]*1000)</f>
        <v>0</v>
      </c>
      <c r="J23" s="1"/>
      <c r="L23">
        <f>Tableau1[[#This Row],[Area (*10^3 nm^2)]]*Tableau1[[#This Row],[vitesse (s/scans)]]*Tableau1[[#This Row],[Magnification]]^2</f>
        <v>0</v>
      </c>
      <c r="N23" s="1">
        <f>Tableau1[[#This Row],[vitesse (scans/s)]]*Tableau1[[#This Row],[Magnification]]^2</f>
        <v>0</v>
      </c>
      <c r="O23" s="1">
        <f>Tableau1[[#This Row],[rac area]]^2*Tableau1[[#This Row],[vitesse (scans/s)]]*Tableau1[[#This Row],[Magnification]]^2</f>
        <v>0</v>
      </c>
    </row>
    <row r="24" spans="3:16" x14ac:dyDescent="0.3">
      <c r="J24" s="1"/>
      <c r="L24" s="2"/>
      <c r="M24">
        <f>0.09/0.23</f>
        <v>0.39130434782608692</v>
      </c>
    </row>
    <row r="25" spans="3:16" x14ac:dyDescent="0.3">
      <c r="J25" s="1"/>
      <c r="L25" s="2"/>
    </row>
    <row r="26" spans="3:16" x14ac:dyDescent="0.3">
      <c r="J26" s="1"/>
      <c r="L26" s="2"/>
      <c r="N26" s="1" t="s">
        <v>30</v>
      </c>
      <c r="O26" s="1">
        <f>AVERAGE(O9:O15)</f>
        <v>474814502.04936367</v>
      </c>
    </row>
    <row r="27" spans="3:16" x14ac:dyDescent="0.3">
      <c r="J27" s="1"/>
      <c r="L27" s="2"/>
    </row>
    <row r="28" spans="3:16" x14ac:dyDescent="0.3">
      <c r="J28" s="1"/>
      <c r="L28" s="2"/>
    </row>
    <row r="29" spans="3:16" x14ac:dyDescent="0.3">
      <c r="J29" s="1"/>
      <c r="L29" s="2"/>
    </row>
    <row r="30" spans="3:16" x14ac:dyDescent="0.3">
      <c r="J30" s="1"/>
      <c r="L30" s="2"/>
    </row>
    <row r="31" spans="3:16" x14ac:dyDescent="0.3">
      <c r="O31" s="1" t="s">
        <v>30</v>
      </c>
      <c r="P31" s="1" t="e">
        <f>AVERAGE(P14:P20)</f>
        <v>#DIV/0!</v>
      </c>
    </row>
    <row r="33" spans="1:7" x14ac:dyDescent="0.3">
      <c r="A33">
        <v>100</v>
      </c>
      <c r="B33">
        <f>500*500</f>
        <v>250000</v>
      </c>
      <c r="D33">
        <v>5</v>
      </c>
      <c r="F33" t="s">
        <v>7</v>
      </c>
      <c r="G33" t="s">
        <v>8</v>
      </c>
    </row>
    <row r="34" spans="1:7" x14ac:dyDescent="0.3">
      <c r="F34">
        <v>2</v>
      </c>
      <c r="G34">
        <v>62.5</v>
      </c>
    </row>
    <row r="35" spans="1:7" x14ac:dyDescent="0.3">
      <c r="F35">
        <v>6</v>
      </c>
      <c r="G35">
        <v>54.7</v>
      </c>
    </row>
    <row r="36" spans="1:7" x14ac:dyDescent="0.3">
      <c r="F36">
        <v>10</v>
      </c>
      <c r="G36">
        <v>44.7</v>
      </c>
    </row>
    <row r="37" spans="1:7" x14ac:dyDescent="0.3">
      <c r="F37">
        <v>14</v>
      </c>
      <c r="G37">
        <v>36.799999999999997</v>
      </c>
    </row>
    <row r="38" spans="1:7" x14ac:dyDescent="0.3">
      <c r="F38">
        <v>17</v>
      </c>
      <c r="G38">
        <v>30.2</v>
      </c>
    </row>
    <row r="39" spans="1:7" x14ac:dyDescent="0.3">
      <c r="F39">
        <v>20</v>
      </c>
      <c r="G39">
        <v>21.2</v>
      </c>
    </row>
    <row r="40" spans="1:7" x14ac:dyDescent="0.3">
      <c r="F40">
        <v>22</v>
      </c>
      <c r="G40">
        <v>13.4</v>
      </c>
    </row>
    <row r="41" spans="1:7" x14ac:dyDescent="0.3">
      <c r="F41">
        <v>24</v>
      </c>
      <c r="G41">
        <v>10.1</v>
      </c>
    </row>
    <row r="42" spans="1:7" x14ac:dyDescent="0.3">
      <c r="F42">
        <v>26</v>
      </c>
      <c r="G42">
        <v>8.9</v>
      </c>
    </row>
    <row r="43" spans="1:7" x14ac:dyDescent="0.3">
      <c r="F43">
        <v>30</v>
      </c>
    </row>
    <row r="45" spans="1:7" x14ac:dyDescent="0.3">
      <c r="A45">
        <v>100</v>
      </c>
      <c r="B45">
        <f>300*300</f>
        <v>90000</v>
      </c>
      <c r="D45">
        <v>5</v>
      </c>
      <c r="F45" t="s">
        <v>7</v>
      </c>
      <c r="G45" t="s">
        <v>9</v>
      </c>
    </row>
    <row r="46" spans="1:7" x14ac:dyDescent="0.3">
      <c r="F46">
        <v>0</v>
      </c>
      <c r="G46">
        <v>67</v>
      </c>
    </row>
    <row r="47" spans="1:7" x14ac:dyDescent="0.3">
      <c r="F47">
        <v>4</v>
      </c>
      <c r="G47">
        <v>60.3</v>
      </c>
    </row>
    <row r="48" spans="1:7" x14ac:dyDescent="0.3">
      <c r="F48">
        <v>8</v>
      </c>
      <c r="G48">
        <v>51.4</v>
      </c>
    </row>
    <row r="49" spans="1:8" x14ac:dyDescent="0.3">
      <c r="F49">
        <v>12</v>
      </c>
      <c r="G49">
        <v>49.1</v>
      </c>
    </row>
    <row r="50" spans="1:8" x14ac:dyDescent="0.3">
      <c r="F50">
        <v>16</v>
      </c>
      <c r="G50">
        <v>42.4</v>
      </c>
    </row>
    <row r="51" spans="1:8" x14ac:dyDescent="0.3">
      <c r="F51">
        <v>20</v>
      </c>
      <c r="G51">
        <v>34.6</v>
      </c>
    </row>
    <row r="52" spans="1:8" x14ac:dyDescent="0.3">
      <c r="F52">
        <v>24</v>
      </c>
      <c r="G52">
        <v>29</v>
      </c>
    </row>
    <row r="53" spans="1:8" x14ac:dyDescent="0.3">
      <c r="F53">
        <v>28</v>
      </c>
      <c r="G53">
        <v>22.3</v>
      </c>
    </row>
    <row r="54" spans="1:8" x14ac:dyDescent="0.3">
      <c r="F54">
        <v>32</v>
      </c>
      <c r="G54">
        <v>13.4</v>
      </c>
    </row>
    <row r="55" spans="1:8" x14ac:dyDescent="0.3">
      <c r="F55">
        <v>37</v>
      </c>
      <c r="G55">
        <v>8.9</v>
      </c>
    </row>
    <row r="57" spans="1:8" x14ac:dyDescent="0.3">
      <c r="A57">
        <v>100</v>
      </c>
      <c r="B57">
        <f>250*250</f>
        <v>62500</v>
      </c>
      <c r="D57">
        <v>5</v>
      </c>
      <c r="F57" t="s">
        <v>7</v>
      </c>
      <c r="G57" t="s">
        <v>9</v>
      </c>
      <c r="H57" t="s">
        <v>10</v>
      </c>
    </row>
    <row r="58" spans="1:8" x14ac:dyDescent="0.3">
      <c r="F58">
        <v>0</v>
      </c>
      <c r="G58">
        <v>70.3</v>
      </c>
    </row>
    <row r="59" spans="1:8" x14ac:dyDescent="0.3">
      <c r="F59">
        <v>3</v>
      </c>
      <c r="G59">
        <v>68.099999999999994</v>
      </c>
    </row>
    <row r="60" spans="1:8" x14ac:dyDescent="0.3">
      <c r="F60">
        <v>6</v>
      </c>
      <c r="G60">
        <v>63.6</v>
      </c>
    </row>
    <row r="61" spans="1:8" x14ac:dyDescent="0.3">
      <c r="F61">
        <v>9</v>
      </c>
      <c r="G61">
        <v>60.3</v>
      </c>
    </row>
    <row r="62" spans="1:8" x14ac:dyDescent="0.3">
      <c r="F62">
        <v>12</v>
      </c>
      <c r="G62">
        <v>58.1</v>
      </c>
    </row>
    <row r="63" spans="1:8" x14ac:dyDescent="0.3">
      <c r="F63">
        <v>15</v>
      </c>
      <c r="G63">
        <v>55.7</v>
      </c>
    </row>
    <row r="64" spans="1:8" x14ac:dyDescent="0.3">
      <c r="F64">
        <v>18</v>
      </c>
      <c r="G64">
        <v>50.2</v>
      </c>
    </row>
    <row r="65" spans="1:9" x14ac:dyDescent="0.3">
      <c r="F65">
        <v>21</v>
      </c>
      <c r="G65">
        <v>46.9</v>
      </c>
    </row>
    <row r="66" spans="1:9" x14ac:dyDescent="0.3">
      <c r="F66">
        <v>24</v>
      </c>
      <c r="G66">
        <v>42.4</v>
      </c>
    </row>
    <row r="67" spans="1:9" x14ac:dyDescent="0.3">
      <c r="F67">
        <v>27</v>
      </c>
      <c r="G67">
        <v>40.200000000000003</v>
      </c>
    </row>
    <row r="68" spans="1:9" x14ac:dyDescent="0.3">
      <c r="F68">
        <v>30</v>
      </c>
      <c r="G68">
        <v>35.700000000000003</v>
      </c>
    </row>
    <row r="69" spans="1:9" x14ac:dyDescent="0.3">
      <c r="F69">
        <v>33</v>
      </c>
      <c r="G69">
        <v>26.8</v>
      </c>
    </row>
    <row r="70" spans="1:9" x14ac:dyDescent="0.3">
      <c r="F70">
        <v>36</v>
      </c>
      <c r="G70">
        <v>22.3</v>
      </c>
    </row>
    <row r="71" spans="1:9" x14ac:dyDescent="0.3">
      <c r="F71">
        <v>39</v>
      </c>
      <c r="G71">
        <v>16.8</v>
      </c>
    </row>
    <row r="72" spans="1:9" x14ac:dyDescent="0.3">
      <c r="F72">
        <v>42</v>
      </c>
      <c r="G72">
        <v>12.3</v>
      </c>
    </row>
    <row r="73" spans="1:9" x14ac:dyDescent="0.3">
      <c r="F73">
        <v>45</v>
      </c>
      <c r="G73">
        <v>7.8</v>
      </c>
    </row>
    <row r="74" spans="1:9" x14ac:dyDescent="0.3">
      <c r="F74">
        <v>46</v>
      </c>
      <c r="G74">
        <v>6.7</v>
      </c>
    </row>
    <row r="76" spans="1:9" x14ac:dyDescent="0.3">
      <c r="A76">
        <v>200</v>
      </c>
      <c r="B76">
        <f>125*125</f>
        <v>15625</v>
      </c>
      <c r="D76">
        <v>5</v>
      </c>
      <c r="F76" t="s">
        <v>7</v>
      </c>
      <c r="G76" t="s">
        <v>9</v>
      </c>
      <c r="H76" t="s">
        <v>11</v>
      </c>
      <c r="I76">
        <v>2.5</v>
      </c>
    </row>
    <row r="77" spans="1:9" x14ac:dyDescent="0.3">
      <c r="F77">
        <v>0</v>
      </c>
      <c r="G77">
        <v>69</v>
      </c>
    </row>
    <row r="78" spans="1:9" x14ac:dyDescent="0.3">
      <c r="F78">
        <v>3</v>
      </c>
      <c r="G78">
        <v>62</v>
      </c>
    </row>
    <row r="79" spans="1:9" x14ac:dyDescent="0.3">
      <c r="F79">
        <v>7</v>
      </c>
      <c r="G79">
        <v>52</v>
      </c>
    </row>
    <row r="80" spans="1:9" x14ac:dyDescent="0.3">
      <c r="F80">
        <v>14</v>
      </c>
      <c r="G80">
        <v>41</v>
      </c>
    </row>
    <row r="81" spans="1:9" x14ac:dyDescent="0.3">
      <c r="F81">
        <v>19</v>
      </c>
      <c r="G81">
        <v>34</v>
      </c>
    </row>
    <row r="82" spans="1:9" x14ac:dyDescent="0.3">
      <c r="F82">
        <v>25</v>
      </c>
      <c r="G82">
        <v>23</v>
      </c>
    </row>
    <row r="83" spans="1:9" x14ac:dyDescent="0.3">
      <c r="F83">
        <v>32</v>
      </c>
      <c r="G83">
        <v>12.3</v>
      </c>
    </row>
    <row r="84" spans="1:9" x14ac:dyDescent="0.3">
      <c r="F84">
        <v>35</v>
      </c>
      <c r="G84">
        <v>6</v>
      </c>
    </row>
    <row r="86" spans="1:9" x14ac:dyDescent="0.3">
      <c r="A86">
        <v>100</v>
      </c>
      <c r="B86">
        <f>250*250</f>
        <v>62500</v>
      </c>
      <c r="D86">
        <v>5</v>
      </c>
      <c r="F86" t="s">
        <v>7</v>
      </c>
      <c r="G86" t="s">
        <v>9</v>
      </c>
      <c r="H86" t="s">
        <v>11</v>
      </c>
      <c r="I86">
        <v>1.5</v>
      </c>
    </row>
    <row r="87" spans="1:9" x14ac:dyDescent="0.3">
      <c r="F87">
        <v>0</v>
      </c>
      <c r="G87">
        <v>71.5</v>
      </c>
    </row>
    <row r="88" spans="1:9" x14ac:dyDescent="0.3">
      <c r="F88">
        <v>6</v>
      </c>
      <c r="G88">
        <v>61.4</v>
      </c>
    </row>
    <row r="89" spans="1:9" x14ac:dyDescent="0.3">
      <c r="F89">
        <v>12</v>
      </c>
      <c r="G89">
        <v>54</v>
      </c>
    </row>
    <row r="90" spans="1:9" x14ac:dyDescent="0.3">
      <c r="F90">
        <v>17</v>
      </c>
      <c r="G90">
        <v>52</v>
      </c>
    </row>
    <row r="91" spans="1:9" x14ac:dyDescent="0.3">
      <c r="F91">
        <v>22</v>
      </c>
      <c r="G91">
        <v>49</v>
      </c>
    </row>
    <row r="92" spans="1:9" x14ac:dyDescent="0.3">
      <c r="F92">
        <v>28</v>
      </c>
      <c r="G92">
        <v>42</v>
      </c>
    </row>
    <row r="93" spans="1:9" x14ac:dyDescent="0.3">
      <c r="F93">
        <v>34</v>
      </c>
      <c r="G93">
        <v>34</v>
      </c>
    </row>
    <row r="94" spans="1:9" x14ac:dyDescent="0.3">
      <c r="F94">
        <v>39</v>
      </c>
      <c r="G94">
        <v>29</v>
      </c>
    </row>
    <row r="95" spans="1:9" x14ac:dyDescent="0.3">
      <c r="F95">
        <v>45</v>
      </c>
      <c r="G95">
        <v>21</v>
      </c>
    </row>
    <row r="96" spans="1:9" x14ac:dyDescent="0.3">
      <c r="F96">
        <v>50</v>
      </c>
      <c r="G96">
        <v>13</v>
      </c>
    </row>
    <row r="97" spans="1:9" x14ac:dyDescent="0.3">
      <c r="F97">
        <v>58</v>
      </c>
      <c r="G97">
        <v>11</v>
      </c>
    </row>
    <row r="99" spans="1:9" x14ac:dyDescent="0.3">
      <c r="A99">
        <v>200</v>
      </c>
      <c r="B99">
        <f>250*250</f>
        <v>62500</v>
      </c>
      <c r="D99">
        <v>5</v>
      </c>
      <c r="F99" t="s">
        <v>7</v>
      </c>
      <c r="G99" t="s">
        <v>9</v>
      </c>
      <c r="H99" t="s">
        <v>11</v>
      </c>
      <c r="I99">
        <v>2.2000000000000002</v>
      </c>
    </row>
    <row r="100" spans="1:9" x14ac:dyDescent="0.3">
      <c r="F100">
        <v>0</v>
      </c>
      <c r="G100">
        <v>63.6</v>
      </c>
    </row>
    <row r="101" spans="1:9" x14ac:dyDescent="0.3">
      <c r="F101">
        <v>1</v>
      </c>
      <c r="G101">
        <v>62.5</v>
      </c>
    </row>
    <row r="102" spans="1:9" x14ac:dyDescent="0.3">
      <c r="F102">
        <v>2</v>
      </c>
      <c r="G102">
        <v>58</v>
      </c>
    </row>
    <row r="103" spans="1:9" x14ac:dyDescent="0.3">
      <c r="F103">
        <v>4</v>
      </c>
      <c r="G103">
        <v>53.6</v>
      </c>
    </row>
    <row r="104" spans="1:9" x14ac:dyDescent="0.3">
      <c r="F104">
        <v>6</v>
      </c>
      <c r="G104">
        <v>48</v>
      </c>
    </row>
    <row r="105" spans="1:9" x14ac:dyDescent="0.3">
      <c r="F105">
        <v>8</v>
      </c>
      <c r="G105">
        <v>40.700000000000003</v>
      </c>
    </row>
    <row r="106" spans="1:9" x14ac:dyDescent="0.3">
      <c r="F106">
        <v>10</v>
      </c>
      <c r="G106">
        <v>31</v>
      </c>
    </row>
    <row r="107" spans="1:9" x14ac:dyDescent="0.3">
      <c r="F107">
        <v>11</v>
      </c>
      <c r="G107">
        <v>30</v>
      </c>
    </row>
    <row r="108" spans="1:9" x14ac:dyDescent="0.3">
      <c r="F108">
        <v>13</v>
      </c>
      <c r="G108">
        <v>18</v>
      </c>
    </row>
    <row r="109" spans="1:9" x14ac:dyDescent="0.3">
      <c r="F109">
        <v>14</v>
      </c>
      <c r="G109">
        <v>13.4</v>
      </c>
    </row>
    <row r="110" spans="1:9" x14ac:dyDescent="0.3">
      <c r="F110">
        <v>16</v>
      </c>
      <c r="G110">
        <v>10</v>
      </c>
    </row>
    <row r="112" spans="1:9" x14ac:dyDescent="0.3">
      <c r="A112" s="20">
        <v>200</v>
      </c>
      <c r="B112">
        <f>300*300</f>
        <v>90000</v>
      </c>
      <c r="D112">
        <v>5</v>
      </c>
      <c r="F112" t="s">
        <v>7</v>
      </c>
      <c r="G112" t="s">
        <v>9</v>
      </c>
      <c r="H112" t="s">
        <v>11</v>
      </c>
      <c r="I112">
        <v>2.1</v>
      </c>
    </row>
    <row r="113" spans="1:17" x14ac:dyDescent="0.3">
      <c r="A113" s="20"/>
      <c r="F113">
        <v>0</v>
      </c>
      <c r="G113">
        <v>69</v>
      </c>
    </row>
    <row r="114" spans="1:17" x14ac:dyDescent="0.3">
      <c r="A114" s="20"/>
      <c r="F114">
        <v>1</v>
      </c>
      <c r="G114">
        <v>68</v>
      </c>
    </row>
    <row r="115" spans="1:17" x14ac:dyDescent="0.3">
      <c r="A115" s="20"/>
      <c r="F115">
        <v>2</v>
      </c>
      <c r="G115">
        <v>65</v>
      </c>
    </row>
    <row r="116" spans="1:17" x14ac:dyDescent="0.3">
      <c r="A116" s="20"/>
      <c r="F116">
        <v>4</v>
      </c>
      <c r="G116">
        <v>58</v>
      </c>
    </row>
    <row r="117" spans="1:17" x14ac:dyDescent="0.3">
      <c r="A117" s="20"/>
      <c r="F117">
        <v>6</v>
      </c>
      <c r="G117">
        <v>51</v>
      </c>
    </row>
    <row r="118" spans="1:17" x14ac:dyDescent="0.3">
      <c r="A118" s="20"/>
      <c r="F118">
        <v>8</v>
      </c>
      <c r="G118">
        <v>42</v>
      </c>
    </row>
    <row r="119" spans="1:17" x14ac:dyDescent="0.3">
      <c r="A119" s="20"/>
      <c r="F119">
        <v>10</v>
      </c>
      <c r="G119">
        <v>31</v>
      </c>
    </row>
    <row r="120" spans="1:17" x14ac:dyDescent="0.3">
      <c r="A120" s="20"/>
      <c r="F120">
        <v>12</v>
      </c>
      <c r="G120">
        <v>21</v>
      </c>
    </row>
    <row r="121" spans="1:17" x14ac:dyDescent="0.3">
      <c r="A121" s="20"/>
      <c r="F121">
        <v>13</v>
      </c>
      <c r="G121">
        <v>16</v>
      </c>
    </row>
    <row r="122" spans="1:17" x14ac:dyDescent="0.3">
      <c r="A122" s="20"/>
      <c r="F122">
        <v>14</v>
      </c>
      <c r="G122">
        <v>11</v>
      </c>
    </row>
    <row r="123" spans="1:17" x14ac:dyDescent="0.3">
      <c r="A123" s="20"/>
      <c r="F123">
        <v>15</v>
      </c>
      <c r="G123">
        <v>7</v>
      </c>
    </row>
    <row r="124" spans="1:17" x14ac:dyDescent="0.3">
      <c r="A124" s="20"/>
      <c r="Q124">
        <v>4.33</v>
      </c>
    </row>
    <row r="125" spans="1:17" x14ac:dyDescent="0.3">
      <c r="A125" s="20">
        <v>200</v>
      </c>
      <c r="B125">
        <f>300*300</f>
        <v>90000</v>
      </c>
      <c r="D125">
        <v>5</v>
      </c>
      <c r="F125" t="s">
        <v>7</v>
      </c>
      <c r="G125" t="s">
        <v>9</v>
      </c>
      <c r="H125" t="s">
        <v>11</v>
      </c>
      <c r="I125">
        <v>2.2999999999999998</v>
      </c>
      <c r="J125" t="s">
        <v>12</v>
      </c>
      <c r="K125" s="1" t="s">
        <v>13</v>
      </c>
      <c r="Q125">
        <v>5.21</v>
      </c>
    </row>
    <row r="126" spans="1:17" x14ac:dyDescent="0.3">
      <c r="A126" s="20"/>
      <c r="F126">
        <v>0</v>
      </c>
      <c r="G126">
        <v>67</v>
      </c>
      <c r="J126">
        <v>12</v>
      </c>
      <c r="K126" s="1">
        <v>91</v>
      </c>
      <c r="Q126">
        <v>4.79</v>
      </c>
    </row>
    <row r="127" spans="1:17" x14ac:dyDescent="0.3">
      <c r="A127" s="20"/>
      <c r="F127">
        <v>2</v>
      </c>
      <c r="G127">
        <v>58</v>
      </c>
      <c r="J127">
        <v>1</v>
      </c>
      <c r="K127" s="1">
        <f>K126/J126</f>
        <v>7.583333333333333</v>
      </c>
      <c r="L127" t="s">
        <v>14</v>
      </c>
      <c r="Q127">
        <f>Q125-Q124</f>
        <v>0.87999999999999989</v>
      </c>
    </row>
    <row r="128" spans="1:17" x14ac:dyDescent="0.3">
      <c r="A128" s="20"/>
      <c r="F128">
        <v>4</v>
      </c>
      <c r="G128">
        <v>47.5</v>
      </c>
      <c r="Q128">
        <f>(Q124+Q125)</f>
        <v>9.5399999999999991</v>
      </c>
    </row>
    <row r="129" spans="1:17" x14ac:dyDescent="0.3">
      <c r="A129" s="20"/>
      <c r="F129">
        <v>6</v>
      </c>
      <c r="G129">
        <v>36.299999999999997</v>
      </c>
      <c r="Q129">
        <f>Q127/Q128</f>
        <v>9.2243186582809222E-2</v>
      </c>
    </row>
    <row r="130" spans="1:17" x14ac:dyDescent="0.3">
      <c r="A130" s="20"/>
      <c r="F130">
        <v>8</v>
      </c>
      <c r="G130">
        <v>26.2</v>
      </c>
    </row>
    <row r="131" spans="1:17" x14ac:dyDescent="0.3">
      <c r="A131" s="20"/>
      <c r="F131">
        <v>10</v>
      </c>
      <c r="G131">
        <v>11.2</v>
      </c>
    </row>
    <row r="132" spans="1:17" x14ac:dyDescent="0.3">
      <c r="A132" s="20"/>
      <c r="F132">
        <v>12</v>
      </c>
      <c r="G132">
        <v>8</v>
      </c>
    </row>
    <row r="133" spans="1:17" x14ac:dyDescent="0.3">
      <c r="A133" s="20"/>
      <c r="F133">
        <v>13</v>
      </c>
    </row>
    <row r="134" spans="1:17" x14ac:dyDescent="0.3">
      <c r="A134" s="20"/>
    </row>
    <row r="135" spans="1:17" x14ac:dyDescent="0.3">
      <c r="A135" s="20">
        <v>200</v>
      </c>
      <c r="B135">
        <f>300*300</f>
        <v>90000</v>
      </c>
      <c r="D135">
        <v>5</v>
      </c>
      <c r="F135" t="s">
        <v>7</v>
      </c>
      <c r="G135" t="s">
        <v>9</v>
      </c>
      <c r="H135" t="s">
        <v>11</v>
      </c>
      <c r="I135">
        <v>2.4</v>
      </c>
      <c r="J135" t="s">
        <v>12</v>
      </c>
      <c r="K135" s="1" t="s">
        <v>13</v>
      </c>
    </row>
    <row r="136" spans="1:17" x14ac:dyDescent="0.3">
      <c r="A136" s="20"/>
      <c r="F136">
        <v>0</v>
      </c>
      <c r="G136">
        <v>68</v>
      </c>
      <c r="J136">
        <v>13</v>
      </c>
      <c r="K136" s="1">
        <f>60+38</f>
        <v>98</v>
      </c>
    </row>
    <row r="137" spans="1:17" x14ac:dyDescent="0.3">
      <c r="A137" s="20"/>
      <c r="F137">
        <v>2</v>
      </c>
      <c r="G137">
        <v>59.7</v>
      </c>
      <c r="J137">
        <v>1</v>
      </c>
      <c r="K137" s="1">
        <f>K136/J136</f>
        <v>7.5384615384615383</v>
      </c>
      <c r="L137" t="s">
        <v>14</v>
      </c>
    </row>
    <row r="138" spans="1:17" x14ac:dyDescent="0.3">
      <c r="A138" s="20"/>
      <c r="F138">
        <v>3</v>
      </c>
      <c r="G138">
        <v>56</v>
      </c>
    </row>
    <row r="139" spans="1:17" x14ac:dyDescent="0.3">
      <c r="A139" s="20"/>
      <c r="F139">
        <v>4</v>
      </c>
      <c r="G139">
        <v>54</v>
      </c>
    </row>
    <row r="140" spans="1:17" x14ac:dyDescent="0.3">
      <c r="A140" s="20"/>
      <c r="F140">
        <v>5</v>
      </c>
      <c r="G140">
        <v>47</v>
      </c>
    </row>
    <row r="141" spans="1:17" x14ac:dyDescent="0.3">
      <c r="A141" s="20"/>
      <c r="F141">
        <v>7</v>
      </c>
      <c r="G141">
        <v>38</v>
      </c>
    </row>
    <row r="142" spans="1:17" x14ac:dyDescent="0.3">
      <c r="A142" s="20"/>
      <c r="F142">
        <v>8</v>
      </c>
      <c r="G142">
        <v>34</v>
      </c>
    </row>
    <row r="143" spans="1:17" x14ac:dyDescent="0.3">
      <c r="A143" s="20"/>
      <c r="F143">
        <v>9</v>
      </c>
      <c r="G143">
        <v>28</v>
      </c>
    </row>
    <row r="144" spans="1:17" x14ac:dyDescent="0.3">
      <c r="A144" s="20"/>
      <c r="F144">
        <v>11</v>
      </c>
      <c r="G144">
        <v>15</v>
      </c>
    </row>
    <row r="145" spans="1:11" x14ac:dyDescent="0.3">
      <c r="A145" s="20"/>
      <c r="F145">
        <v>12</v>
      </c>
      <c r="G145">
        <v>12</v>
      </c>
    </row>
    <row r="146" spans="1:11" x14ac:dyDescent="0.3">
      <c r="A146" s="20"/>
      <c r="F146">
        <v>13</v>
      </c>
      <c r="G146">
        <v>8</v>
      </c>
    </row>
    <row r="147" spans="1:11" x14ac:dyDescent="0.3">
      <c r="A147" s="20"/>
    </row>
    <row r="148" spans="1:11" x14ac:dyDescent="0.3">
      <c r="A148">
        <v>150</v>
      </c>
      <c r="B148">
        <f>300*300</f>
        <v>90000</v>
      </c>
      <c r="D148">
        <v>5</v>
      </c>
      <c r="F148" t="s">
        <v>7</v>
      </c>
      <c r="G148" t="s">
        <v>9</v>
      </c>
      <c r="H148" t="s">
        <v>11</v>
      </c>
      <c r="I148">
        <v>3.1</v>
      </c>
      <c r="J148" t="s">
        <v>12</v>
      </c>
      <c r="K148" s="1" t="s">
        <v>13</v>
      </c>
    </row>
    <row r="149" spans="1:11" x14ac:dyDescent="0.3">
      <c r="F149">
        <v>0</v>
      </c>
      <c r="G149">
        <v>67</v>
      </c>
      <c r="J149">
        <v>24</v>
      </c>
      <c r="K149" s="1">
        <f>60+43</f>
        <v>103</v>
      </c>
    </row>
    <row r="150" spans="1:11" x14ac:dyDescent="0.3">
      <c r="F150">
        <v>2</v>
      </c>
      <c r="G150">
        <v>64</v>
      </c>
      <c r="J150">
        <v>1</v>
      </c>
      <c r="K150" s="1">
        <f>K149/J149</f>
        <v>4.291666666666667</v>
      </c>
    </row>
    <row r="151" spans="1:11" x14ac:dyDescent="0.3">
      <c r="F151">
        <v>4</v>
      </c>
      <c r="G151">
        <v>60</v>
      </c>
    </row>
    <row r="152" spans="1:11" x14ac:dyDescent="0.3">
      <c r="F152">
        <v>6</v>
      </c>
      <c r="G152">
        <v>52</v>
      </c>
    </row>
    <row r="153" spans="1:11" x14ac:dyDescent="0.3">
      <c r="F153">
        <v>8</v>
      </c>
      <c r="G153">
        <v>50</v>
      </c>
    </row>
    <row r="154" spans="1:11" x14ac:dyDescent="0.3">
      <c r="F154">
        <v>10</v>
      </c>
      <c r="G154">
        <v>42</v>
      </c>
    </row>
    <row r="155" spans="1:11" x14ac:dyDescent="0.3">
      <c r="F155">
        <v>12</v>
      </c>
      <c r="G155">
        <v>37</v>
      </c>
    </row>
    <row r="156" spans="1:11" x14ac:dyDescent="0.3">
      <c r="F156">
        <v>14</v>
      </c>
      <c r="G156">
        <v>33</v>
      </c>
    </row>
    <row r="157" spans="1:11" x14ac:dyDescent="0.3">
      <c r="F157">
        <v>15</v>
      </c>
      <c r="G157">
        <v>26</v>
      </c>
    </row>
    <row r="158" spans="1:11" x14ac:dyDescent="0.3">
      <c r="F158">
        <v>17</v>
      </c>
      <c r="G158">
        <v>23</v>
      </c>
    </row>
    <row r="159" spans="1:11" x14ac:dyDescent="0.3">
      <c r="F159">
        <v>19</v>
      </c>
      <c r="G159">
        <v>16</v>
      </c>
    </row>
    <row r="160" spans="1:11" x14ac:dyDescent="0.3">
      <c r="F160">
        <v>22</v>
      </c>
      <c r="G160">
        <v>13</v>
      </c>
    </row>
    <row r="161" spans="1:11" x14ac:dyDescent="0.3">
      <c r="F161">
        <v>24</v>
      </c>
      <c r="G161">
        <v>9</v>
      </c>
    </row>
    <row r="163" spans="1:11" x14ac:dyDescent="0.3">
      <c r="A163">
        <v>150</v>
      </c>
      <c r="B163">
        <f>500*500</f>
        <v>250000</v>
      </c>
      <c r="D163">
        <v>5</v>
      </c>
      <c r="F163" t="s">
        <v>15</v>
      </c>
      <c r="G163" t="s">
        <v>9</v>
      </c>
      <c r="H163" t="s">
        <v>11</v>
      </c>
      <c r="I163">
        <v>3.2</v>
      </c>
      <c r="J163" t="s">
        <v>12</v>
      </c>
      <c r="K163" s="1" t="s">
        <v>13</v>
      </c>
    </row>
    <row r="164" spans="1:11" x14ac:dyDescent="0.3">
      <c r="F164">
        <v>0</v>
      </c>
      <c r="G164">
        <v>67</v>
      </c>
      <c r="J164">
        <v>17</v>
      </c>
      <c r="K164" s="1">
        <v>199</v>
      </c>
    </row>
    <row r="165" spans="1:11" x14ac:dyDescent="0.3">
      <c r="F165">
        <v>1</v>
      </c>
      <c r="G165">
        <v>65.7</v>
      </c>
      <c r="J165">
        <v>1</v>
      </c>
      <c r="K165" s="1">
        <f>K164/J164</f>
        <v>11.705882352941176</v>
      </c>
    </row>
    <row r="166" spans="1:11" x14ac:dyDescent="0.3">
      <c r="F166">
        <v>2</v>
      </c>
      <c r="G166">
        <v>61</v>
      </c>
    </row>
    <row r="167" spans="1:11" x14ac:dyDescent="0.3">
      <c r="F167">
        <v>3</v>
      </c>
      <c r="G167">
        <v>60</v>
      </c>
    </row>
    <row r="168" spans="1:11" x14ac:dyDescent="0.3">
      <c r="F168">
        <v>4</v>
      </c>
      <c r="G168">
        <v>55</v>
      </c>
    </row>
    <row r="169" spans="1:11" x14ac:dyDescent="0.3">
      <c r="F169">
        <v>5</v>
      </c>
      <c r="G169">
        <v>52.8</v>
      </c>
    </row>
    <row r="170" spans="1:11" x14ac:dyDescent="0.3">
      <c r="F170">
        <v>6</v>
      </c>
      <c r="G170">
        <v>51.4</v>
      </c>
    </row>
    <row r="171" spans="1:11" x14ac:dyDescent="0.3">
      <c r="F171">
        <v>7</v>
      </c>
      <c r="G171">
        <v>47</v>
      </c>
    </row>
    <row r="172" spans="1:11" x14ac:dyDescent="0.3">
      <c r="F172">
        <v>8</v>
      </c>
      <c r="G172">
        <v>43</v>
      </c>
    </row>
    <row r="173" spans="1:11" x14ac:dyDescent="0.3">
      <c r="F173">
        <v>9</v>
      </c>
      <c r="G173">
        <v>39</v>
      </c>
    </row>
    <row r="174" spans="1:11" x14ac:dyDescent="0.3">
      <c r="F174">
        <v>10</v>
      </c>
      <c r="G174">
        <v>36</v>
      </c>
    </row>
    <row r="175" spans="1:11" x14ac:dyDescent="0.3">
      <c r="F175">
        <v>11</v>
      </c>
      <c r="G175">
        <v>33</v>
      </c>
    </row>
    <row r="176" spans="1:11" x14ac:dyDescent="0.3">
      <c r="F176">
        <v>12</v>
      </c>
      <c r="G176">
        <v>28</v>
      </c>
    </row>
    <row r="177" spans="1:11" x14ac:dyDescent="0.3">
      <c r="F177">
        <v>13</v>
      </c>
      <c r="G177">
        <v>25</v>
      </c>
    </row>
    <row r="178" spans="1:11" x14ac:dyDescent="0.3">
      <c r="F178">
        <v>14</v>
      </c>
      <c r="G178">
        <v>19</v>
      </c>
    </row>
    <row r="179" spans="1:11" x14ac:dyDescent="0.3">
      <c r="F179">
        <v>15</v>
      </c>
      <c r="G179">
        <v>14</v>
      </c>
    </row>
    <row r="180" spans="1:11" x14ac:dyDescent="0.3">
      <c r="F180">
        <v>16</v>
      </c>
      <c r="G180">
        <v>9.6</v>
      </c>
    </row>
    <row r="181" spans="1:11" x14ac:dyDescent="0.3">
      <c r="F181">
        <v>17</v>
      </c>
      <c r="G181">
        <v>7</v>
      </c>
    </row>
    <row r="183" spans="1:11" x14ac:dyDescent="0.3">
      <c r="A183">
        <v>100</v>
      </c>
      <c r="B183">
        <f>750*750</f>
        <v>562500</v>
      </c>
      <c r="D183">
        <v>5</v>
      </c>
      <c r="F183" t="s">
        <v>7</v>
      </c>
      <c r="G183" t="s">
        <v>9</v>
      </c>
      <c r="H183" t="s">
        <v>11</v>
      </c>
      <c r="J183" t="s">
        <v>16</v>
      </c>
      <c r="K183" s="1" t="s">
        <v>13</v>
      </c>
    </row>
    <row r="184" spans="1:11" x14ac:dyDescent="0.3">
      <c r="F184">
        <v>0</v>
      </c>
      <c r="J184">
        <v>107</v>
      </c>
      <c r="K184" s="1">
        <f>21*60+1</f>
        <v>1261</v>
      </c>
    </row>
    <row r="185" spans="1:11" x14ac:dyDescent="0.3">
      <c r="F185">
        <v>1</v>
      </c>
      <c r="G185">
        <v>200</v>
      </c>
      <c r="J185">
        <v>1</v>
      </c>
      <c r="K185" s="1">
        <f>K184/J184</f>
        <v>11.785046728971963</v>
      </c>
    </row>
    <row r="186" spans="1:11" x14ac:dyDescent="0.3">
      <c r="F186">
        <v>2</v>
      </c>
      <c r="G186">
        <v>195</v>
      </c>
    </row>
    <row r="187" spans="1:11" x14ac:dyDescent="0.3">
      <c r="F187">
        <v>12</v>
      </c>
      <c r="G187">
        <v>182</v>
      </c>
    </row>
    <row r="188" spans="1:11" x14ac:dyDescent="0.3">
      <c r="F188">
        <v>18</v>
      </c>
      <c r="G188">
        <v>167</v>
      </c>
    </row>
    <row r="189" spans="1:11" x14ac:dyDescent="0.3">
      <c r="F189">
        <v>22</v>
      </c>
      <c r="G189">
        <v>156</v>
      </c>
    </row>
    <row r="190" spans="1:11" x14ac:dyDescent="0.3">
      <c r="F190">
        <v>27</v>
      </c>
      <c r="G190">
        <v>150</v>
      </c>
    </row>
    <row r="191" spans="1:11" x14ac:dyDescent="0.3">
      <c r="F191">
        <v>32</v>
      </c>
      <c r="G191">
        <v>146</v>
      </c>
    </row>
    <row r="192" spans="1:11" x14ac:dyDescent="0.3">
      <c r="F192">
        <v>39</v>
      </c>
      <c r="G192">
        <v>130</v>
      </c>
    </row>
    <row r="193" spans="6:7" x14ac:dyDescent="0.3">
      <c r="F193">
        <v>45</v>
      </c>
      <c r="G193">
        <v>122</v>
      </c>
    </row>
    <row r="194" spans="6:7" x14ac:dyDescent="0.3">
      <c r="F194">
        <v>50</v>
      </c>
      <c r="G194">
        <v>112</v>
      </c>
    </row>
    <row r="195" spans="6:7" x14ac:dyDescent="0.3">
      <c r="F195">
        <v>55</v>
      </c>
      <c r="G195">
        <v>103</v>
      </c>
    </row>
    <row r="196" spans="6:7" x14ac:dyDescent="0.3">
      <c r="F196">
        <v>60</v>
      </c>
      <c r="G196">
        <v>94</v>
      </c>
    </row>
    <row r="197" spans="6:7" x14ac:dyDescent="0.3">
      <c r="F197">
        <v>65</v>
      </c>
      <c r="G197">
        <v>84</v>
      </c>
    </row>
    <row r="198" spans="6:7" x14ac:dyDescent="0.3">
      <c r="F198">
        <v>67</v>
      </c>
      <c r="G198">
        <v>80</v>
      </c>
    </row>
    <row r="199" spans="6:7" x14ac:dyDescent="0.3">
      <c r="F199">
        <v>69</v>
      </c>
      <c r="G199">
        <v>77</v>
      </c>
    </row>
    <row r="200" spans="6:7" x14ac:dyDescent="0.3">
      <c r="F200">
        <v>71</v>
      </c>
      <c r="G200">
        <v>71</v>
      </c>
    </row>
    <row r="201" spans="6:7" x14ac:dyDescent="0.3">
      <c r="F201">
        <v>73</v>
      </c>
      <c r="G201">
        <v>67</v>
      </c>
    </row>
    <row r="202" spans="6:7" x14ac:dyDescent="0.3">
      <c r="F202">
        <v>75</v>
      </c>
      <c r="G202">
        <v>64</v>
      </c>
    </row>
    <row r="203" spans="6:7" x14ac:dyDescent="0.3">
      <c r="F203">
        <v>76</v>
      </c>
      <c r="G203">
        <v>61</v>
      </c>
    </row>
    <row r="204" spans="6:7" x14ac:dyDescent="0.3">
      <c r="F204">
        <v>78</v>
      </c>
      <c r="G204">
        <v>57</v>
      </c>
    </row>
    <row r="205" spans="6:7" x14ac:dyDescent="0.3">
      <c r="F205">
        <v>80</v>
      </c>
      <c r="G205">
        <v>55</v>
      </c>
    </row>
    <row r="206" spans="6:7" x14ac:dyDescent="0.3">
      <c r="F206">
        <v>82</v>
      </c>
      <c r="G206">
        <v>49</v>
      </c>
    </row>
    <row r="207" spans="6:7" x14ac:dyDescent="0.3">
      <c r="F207">
        <v>84</v>
      </c>
      <c r="G207">
        <v>45</v>
      </c>
    </row>
    <row r="208" spans="6:7" x14ac:dyDescent="0.3">
      <c r="F208">
        <v>85</v>
      </c>
      <c r="G208">
        <v>42</v>
      </c>
    </row>
    <row r="209" spans="6:7" x14ac:dyDescent="0.3">
      <c r="F209">
        <v>86</v>
      </c>
      <c r="G209">
        <v>39</v>
      </c>
    </row>
    <row r="210" spans="6:7" x14ac:dyDescent="0.3">
      <c r="F210">
        <v>87</v>
      </c>
      <c r="G210">
        <v>36</v>
      </c>
    </row>
    <row r="211" spans="6:7" x14ac:dyDescent="0.3">
      <c r="F211">
        <v>88</v>
      </c>
      <c r="G211">
        <v>35</v>
      </c>
    </row>
    <row r="212" spans="6:7" x14ac:dyDescent="0.3">
      <c r="F212">
        <v>89</v>
      </c>
      <c r="G212">
        <v>31</v>
      </c>
    </row>
    <row r="213" spans="6:7" x14ac:dyDescent="0.3">
      <c r="F213">
        <v>90</v>
      </c>
      <c r="G213">
        <v>29</v>
      </c>
    </row>
    <row r="214" spans="6:7" x14ac:dyDescent="0.3">
      <c r="F214">
        <v>91</v>
      </c>
      <c r="G214">
        <v>26</v>
      </c>
    </row>
    <row r="215" spans="6:7" x14ac:dyDescent="0.3">
      <c r="F215">
        <v>92</v>
      </c>
      <c r="G215">
        <v>25</v>
      </c>
    </row>
    <row r="216" spans="6:7" x14ac:dyDescent="0.3">
      <c r="F216">
        <v>93</v>
      </c>
      <c r="G216">
        <v>22</v>
      </c>
    </row>
    <row r="217" spans="6:7" x14ac:dyDescent="0.3">
      <c r="F217">
        <v>94</v>
      </c>
      <c r="G217">
        <v>20</v>
      </c>
    </row>
    <row r="218" spans="6:7" x14ac:dyDescent="0.3">
      <c r="F218">
        <v>95</v>
      </c>
      <c r="G218">
        <v>18</v>
      </c>
    </row>
    <row r="219" spans="6:7" x14ac:dyDescent="0.3">
      <c r="F219">
        <v>96</v>
      </c>
      <c r="G219">
        <v>15</v>
      </c>
    </row>
    <row r="220" spans="6:7" x14ac:dyDescent="0.3">
      <c r="F220">
        <v>97</v>
      </c>
      <c r="G220">
        <v>13</v>
      </c>
    </row>
    <row r="221" spans="6:7" x14ac:dyDescent="0.3">
      <c r="F221">
        <v>98</v>
      </c>
      <c r="G221">
        <v>12</v>
      </c>
    </row>
    <row r="222" spans="6:7" x14ac:dyDescent="0.3">
      <c r="F222">
        <v>99</v>
      </c>
      <c r="G222">
        <v>10</v>
      </c>
    </row>
    <row r="223" spans="6:7" x14ac:dyDescent="0.3">
      <c r="F223">
        <v>100</v>
      </c>
      <c r="G223">
        <v>10</v>
      </c>
    </row>
    <row r="224" spans="6:7" x14ac:dyDescent="0.3">
      <c r="F224">
        <v>101</v>
      </c>
      <c r="G224">
        <v>10</v>
      </c>
    </row>
    <row r="225" spans="1:11" x14ac:dyDescent="0.3">
      <c r="F225">
        <v>102</v>
      </c>
      <c r="G225">
        <v>10</v>
      </c>
    </row>
    <row r="227" spans="1:11" x14ac:dyDescent="0.3">
      <c r="A227">
        <v>200</v>
      </c>
      <c r="B227">
        <f>250*250</f>
        <v>62500</v>
      </c>
      <c r="D227">
        <v>5</v>
      </c>
      <c r="I227" t="s">
        <v>7</v>
      </c>
      <c r="J227" t="s">
        <v>13</v>
      </c>
    </row>
    <row r="228" spans="1:11" x14ac:dyDescent="0.3">
      <c r="I228">
        <v>20</v>
      </c>
      <c r="J228">
        <v>106</v>
      </c>
    </row>
    <row r="229" spans="1:11" x14ac:dyDescent="0.3">
      <c r="I229">
        <v>1</v>
      </c>
      <c r="J229">
        <f>J228/I228</f>
        <v>5.3</v>
      </c>
    </row>
    <row r="231" spans="1:11" x14ac:dyDescent="0.3">
      <c r="A231">
        <v>100</v>
      </c>
      <c r="B231">
        <f>500*500</f>
        <v>250000</v>
      </c>
      <c r="D231">
        <v>10</v>
      </c>
      <c r="F231" t="s">
        <v>7</v>
      </c>
      <c r="G231" t="s">
        <v>9</v>
      </c>
      <c r="H231" t="s">
        <v>11</v>
      </c>
      <c r="I231">
        <v>4.0999999999999996</v>
      </c>
      <c r="J231" t="s">
        <v>7</v>
      </c>
      <c r="K231" s="1" t="s">
        <v>13</v>
      </c>
    </row>
    <row r="232" spans="1:11" x14ac:dyDescent="0.3">
      <c r="F232">
        <v>0</v>
      </c>
      <c r="G232">
        <v>67</v>
      </c>
      <c r="J232">
        <v>66</v>
      </c>
      <c r="K232" s="1">
        <v>351</v>
      </c>
    </row>
    <row r="233" spans="1:11" x14ac:dyDescent="0.3">
      <c r="F233">
        <v>2</v>
      </c>
      <c r="G233">
        <v>62</v>
      </c>
      <c r="J233">
        <v>1</v>
      </c>
      <c r="K233" s="1">
        <f>K232/J232</f>
        <v>5.3181818181818183</v>
      </c>
    </row>
    <row r="234" spans="1:11" x14ac:dyDescent="0.3">
      <c r="F234">
        <v>4</v>
      </c>
      <c r="G234">
        <v>61</v>
      </c>
      <c r="J234">
        <f>J232/K232</f>
        <v>0.18803418803418803</v>
      </c>
      <c r="K234" s="1">
        <v>1</v>
      </c>
    </row>
    <row r="235" spans="1:11" x14ac:dyDescent="0.3">
      <c r="F235">
        <v>5</v>
      </c>
      <c r="G235">
        <v>60</v>
      </c>
    </row>
    <row r="236" spans="1:11" x14ac:dyDescent="0.3">
      <c r="F236">
        <v>7</v>
      </c>
      <c r="G236">
        <v>58</v>
      </c>
    </row>
    <row r="237" spans="1:11" x14ac:dyDescent="0.3">
      <c r="F237">
        <v>9</v>
      </c>
      <c r="G237">
        <v>56</v>
      </c>
    </row>
    <row r="238" spans="1:11" x14ac:dyDescent="0.3">
      <c r="F238">
        <v>11</v>
      </c>
      <c r="G238">
        <v>55</v>
      </c>
    </row>
    <row r="239" spans="1:11" x14ac:dyDescent="0.3">
      <c r="F239">
        <v>13</v>
      </c>
      <c r="G239">
        <v>51</v>
      </c>
    </row>
    <row r="240" spans="1:11" x14ac:dyDescent="0.3">
      <c r="F240">
        <v>15</v>
      </c>
      <c r="G240">
        <v>49</v>
      </c>
    </row>
    <row r="241" spans="6:7" x14ac:dyDescent="0.3">
      <c r="F241">
        <v>17</v>
      </c>
      <c r="G241">
        <v>47</v>
      </c>
    </row>
    <row r="242" spans="6:7" x14ac:dyDescent="0.3">
      <c r="F242">
        <v>19</v>
      </c>
      <c r="G242">
        <v>46</v>
      </c>
    </row>
    <row r="243" spans="6:7" x14ac:dyDescent="0.3">
      <c r="F243">
        <v>21</v>
      </c>
      <c r="G243">
        <v>44</v>
      </c>
    </row>
    <row r="244" spans="6:7" x14ac:dyDescent="0.3">
      <c r="F244">
        <v>22</v>
      </c>
      <c r="G244">
        <v>42</v>
      </c>
    </row>
    <row r="245" spans="6:7" x14ac:dyDescent="0.3">
      <c r="F245">
        <v>24</v>
      </c>
      <c r="G245">
        <v>41</v>
      </c>
    </row>
    <row r="246" spans="6:7" x14ac:dyDescent="0.3">
      <c r="F246">
        <v>27</v>
      </c>
      <c r="G246">
        <v>39</v>
      </c>
    </row>
    <row r="247" spans="6:7" x14ac:dyDescent="0.3">
      <c r="F247">
        <v>29</v>
      </c>
      <c r="G247">
        <v>36</v>
      </c>
    </row>
    <row r="248" spans="6:7" x14ac:dyDescent="0.3">
      <c r="F248">
        <v>31</v>
      </c>
      <c r="G248">
        <v>34</v>
      </c>
    </row>
    <row r="249" spans="6:7" x14ac:dyDescent="0.3">
      <c r="F249">
        <v>33</v>
      </c>
      <c r="G249">
        <v>32</v>
      </c>
    </row>
    <row r="250" spans="6:7" x14ac:dyDescent="0.3">
      <c r="F250">
        <v>35</v>
      </c>
      <c r="G250">
        <v>30</v>
      </c>
    </row>
    <row r="251" spans="6:7" x14ac:dyDescent="0.3">
      <c r="F251">
        <v>37</v>
      </c>
      <c r="G251">
        <v>29</v>
      </c>
    </row>
    <row r="252" spans="6:7" x14ac:dyDescent="0.3">
      <c r="F252">
        <v>40</v>
      </c>
      <c r="G252">
        <v>28</v>
      </c>
    </row>
    <row r="253" spans="6:7" x14ac:dyDescent="0.3">
      <c r="F253">
        <v>42</v>
      </c>
      <c r="G253">
        <v>23</v>
      </c>
    </row>
    <row r="254" spans="6:7" x14ac:dyDescent="0.3">
      <c r="F254">
        <v>44</v>
      </c>
      <c r="G254">
        <v>22</v>
      </c>
    </row>
    <row r="255" spans="6:7" x14ac:dyDescent="0.3">
      <c r="F255">
        <v>46</v>
      </c>
      <c r="G255">
        <v>19</v>
      </c>
    </row>
    <row r="256" spans="6:7" x14ac:dyDescent="0.3">
      <c r="F256">
        <v>48</v>
      </c>
      <c r="G256">
        <v>17</v>
      </c>
    </row>
    <row r="257" spans="1:9" x14ac:dyDescent="0.3">
      <c r="F257">
        <v>49</v>
      </c>
      <c r="G257">
        <v>15</v>
      </c>
    </row>
    <row r="258" spans="1:9" x14ac:dyDescent="0.3">
      <c r="F258">
        <v>51</v>
      </c>
      <c r="G258">
        <v>13</v>
      </c>
    </row>
    <row r="259" spans="1:9" x14ac:dyDescent="0.3">
      <c r="F259">
        <v>54</v>
      </c>
      <c r="G259">
        <v>11</v>
      </c>
    </row>
    <row r="260" spans="1:9" x14ac:dyDescent="0.3">
      <c r="F260">
        <v>56</v>
      </c>
      <c r="G260">
        <v>9</v>
      </c>
    </row>
    <row r="261" spans="1:9" x14ac:dyDescent="0.3">
      <c r="F261">
        <v>58</v>
      </c>
      <c r="G261">
        <v>9</v>
      </c>
    </row>
    <row r="262" spans="1:9" x14ac:dyDescent="0.3">
      <c r="F262">
        <v>60</v>
      </c>
      <c r="G262">
        <v>7</v>
      </c>
    </row>
    <row r="266" spans="1:9" x14ac:dyDescent="0.3">
      <c r="A266" t="s">
        <v>43</v>
      </c>
    </row>
    <row r="267" spans="1:9" x14ac:dyDescent="0.3">
      <c r="H267" t="s">
        <v>44</v>
      </c>
      <c r="I267" t="s">
        <v>12</v>
      </c>
    </row>
    <row r="268" spans="1:9" x14ac:dyDescent="0.3">
      <c r="B268" t="s">
        <v>7</v>
      </c>
      <c r="C268" t="s">
        <v>13</v>
      </c>
      <c r="D268" t="s">
        <v>45</v>
      </c>
      <c r="H268">
        <f>5*60+50</f>
        <v>350</v>
      </c>
      <c r="I268">
        <v>30</v>
      </c>
    </row>
    <row r="269" spans="1:9" x14ac:dyDescent="0.3">
      <c r="B269">
        <v>0</v>
      </c>
      <c r="C269" s="1">
        <f>B269*350/30</f>
        <v>0</v>
      </c>
      <c r="D269">
        <v>67</v>
      </c>
      <c r="H269">
        <f>I269*H268/I268</f>
        <v>11.666666666666666</v>
      </c>
      <c r="I269">
        <v>1</v>
      </c>
    </row>
    <row r="270" spans="1:9" x14ac:dyDescent="0.3">
      <c r="B270">
        <v>2</v>
      </c>
      <c r="C270" s="1">
        <f t="shared" ref="C270:C274" si="0">B270*350/30</f>
        <v>23.333333333333332</v>
      </c>
      <c r="D270">
        <v>65</v>
      </c>
    </row>
    <row r="271" spans="1:9" x14ac:dyDescent="0.3">
      <c r="B271">
        <v>9</v>
      </c>
      <c r="C271" s="1">
        <f t="shared" si="0"/>
        <v>105</v>
      </c>
      <c r="D271">
        <v>63</v>
      </c>
    </row>
    <row r="272" spans="1:9" x14ac:dyDescent="0.3">
      <c r="B272">
        <v>14</v>
      </c>
      <c r="C272" s="1">
        <f t="shared" si="0"/>
        <v>163.33333333333334</v>
      </c>
      <c r="D272">
        <v>60</v>
      </c>
    </row>
    <row r="273" spans="2:8" x14ac:dyDescent="0.3">
      <c r="B273">
        <v>25</v>
      </c>
      <c r="C273" s="1">
        <f t="shared" si="0"/>
        <v>291.66666666666669</v>
      </c>
      <c r="D273">
        <v>58</v>
      </c>
    </row>
    <row r="274" spans="2:8" x14ac:dyDescent="0.3">
      <c r="B274">
        <v>30</v>
      </c>
      <c r="C274" s="1">
        <f t="shared" si="0"/>
        <v>350</v>
      </c>
      <c r="D274">
        <v>55</v>
      </c>
    </row>
    <row r="275" spans="2:8" x14ac:dyDescent="0.3">
      <c r="B275">
        <v>39</v>
      </c>
      <c r="C275" s="1">
        <f>7*60+36</f>
        <v>456</v>
      </c>
      <c r="D275">
        <v>53</v>
      </c>
      <c r="H275" t="s">
        <v>13</v>
      </c>
    </row>
    <row r="276" spans="2:8" x14ac:dyDescent="0.3">
      <c r="B276">
        <v>51</v>
      </c>
      <c r="C276" s="1">
        <f>9*60+56</f>
        <v>596</v>
      </c>
      <c r="D276">
        <v>47</v>
      </c>
    </row>
    <row r="277" spans="2:8" x14ac:dyDescent="0.3">
      <c r="B277">
        <v>74</v>
      </c>
      <c r="C277" s="1">
        <f>14*60+25</f>
        <v>865</v>
      </c>
      <c r="D277">
        <v>40.200000000000003</v>
      </c>
    </row>
    <row r="278" spans="2:8" x14ac:dyDescent="0.3">
      <c r="B278">
        <v>84</v>
      </c>
      <c r="C278" s="1">
        <f>16*60+22</f>
        <v>982</v>
      </c>
      <c r="D278">
        <v>38</v>
      </c>
    </row>
    <row r="279" spans="2:8" x14ac:dyDescent="0.3">
      <c r="B279">
        <v>102</v>
      </c>
      <c r="C279" s="1">
        <f>19*60+52</f>
        <v>1192</v>
      </c>
      <c r="D279">
        <v>31.3</v>
      </c>
    </row>
    <row r="280" spans="2:8" x14ac:dyDescent="0.3">
      <c r="B280">
        <v>126</v>
      </c>
      <c r="C280" s="1">
        <f>24*60+33</f>
        <v>1473</v>
      </c>
      <c r="D280">
        <v>22.33</v>
      </c>
    </row>
    <row r="281" spans="2:8" x14ac:dyDescent="0.3">
      <c r="B281">
        <v>145</v>
      </c>
      <c r="C281" s="1">
        <f>28*60+16</f>
        <v>1696</v>
      </c>
      <c r="D281">
        <v>13.8</v>
      </c>
    </row>
    <row r="282" spans="2:8" x14ac:dyDescent="0.3">
      <c r="B282">
        <v>148</v>
      </c>
      <c r="C282" s="1">
        <f>28*60+51</f>
        <v>1731</v>
      </c>
      <c r="D282">
        <v>13.4</v>
      </c>
    </row>
    <row r="283" spans="2:8" x14ac:dyDescent="0.3">
      <c r="C283" s="1"/>
    </row>
    <row r="289" spans="1:3" x14ac:dyDescent="0.3">
      <c r="A289" t="s">
        <v>52</v>
      </c>
    </row>
    <row r="290" spans="1:3" x14ac:dyDescent="0.3">
      <c r="A290" t="s">
        <v>13</v>
      </c>
      <c r="B290" t="s">
        <v>12</v>
      </c>
      <c r="C290" t="s">
        <v>53</v>
      </c>
    </row>
    <row r="291" spans="1:3" x14ac:dyDescent="0.3">
      <c r="A291">
        <v>0</v>
      </c>
      <c r="B291">
        <f>0.19*A291</f>
        <v>0</v>
      </c>
      <c r="C291">
        <v>65.900000000000006</v>
      </c>
    </row>
    <row r="292" spans="1:3" x14ac:dyDescent="0.3">
      <c r="A292">
        <v>2</v>
      </c>
      <c r="B292">
        <f t="shared" ref="B292:B296" si="1">0.19*A292</f>
        <v>0.38</v>
      </c>
      <c r="C292">
        <v>56.3</v>
      </c>
    </row>
    <row r="293" spans="1:3" x14ac:dyDescent="0.3">
      <c r="A293">
        <v>27</v>
      </c>
      <c r="B293">
        <f t="shared" si="1"/>
        <v>5.13</v>
      </c>
      <c r="C293">
        <v>36.799999999999997</v>
      </c>
    </row>
    <row r="294" spans="1:3" x14ac:dyDescent="0.3">
      <c r="A294">
        <v>51</v>
      </c>
      <c r="B294">
        <f t="shared" si="1"/>
        <v>9.69</v>
      </c>
      <c r="C294">
        <v>20</v>
      </c>
    </row>
    <row r="295" spans="1:3" x14ac:dyDescent="0.3">
      <c r="A295">
        <v>65</v>
      </c>
      <c r="B295">
        <f t="shared" si="1"/>
        <v>12.35</v>
      </c>
      <c r="C295">
        <v>11.72</v>
      </c>
    </row>
    <row r="296" spans="1:3" x14ac:dyDescent="0.3">
      <c r="A296">
        <v>80</v>
      </c>
      <c r="B296">
        <f t="shared" si="1"/>
        <v>15.2</v>
      </c>
      <c r="C296">
        <v>7.3</v>
      </c>
    </row>
    <row r="303" spans="1:3" x14ac:dyDescent="0.3">
      <c r="A303" t="s">
        <v>54</v>
      </c>
    </row>
    <row r="305" spans="1:15" x14ac:dyDescent="0.3">
      <c r="A305" t="s">
        <v>12</v>
      </c>
      <c r="B305" t="s">
        <v>53</v>
      </c>
    </row>
    <row r="306" spans="1:15" x14ac:dyDescent="0.3">
      <c r="A306">
        <v>0</v>
      </c>
      <c r="B306">
        <v>67</v>
      </c>
    </row>
    <row r="307" spans="1:15" x14ac:dyDescent="0.3">
      <c r="A307">
        <v>1</v>
      </c>
      <c r="B307">
        <v>62.5</v>
      </c>
    </row>
    <row r="308" spans="1:15" x14ac:dyDescent="0.3">
      <c r="A308">
        <v>4</v>
      </c>
      <c r="B308">
        <v>53.6</v>
      </c>
    </row>
    <row r="309" spans="1:15" x14ac:dyDescent="0.3">
      <c r="A309">
        <v>9</v>
      </c>
      <c r="B309">
        <v>42.43</v>
      </c>
    </row>
    <row r="310" spans="1:15" x14ac:dyDescent="0.3">
      <c r="A310">
        <v>14</v>
      </c>
      <c r="B310">
        <v>31.2</v>
      </c>
    </row>
    <row r="311" spans="1:15" x14ac:dyDescent="0.3">
      <c r="A311">
        <v>19</v>
      </c>
      <c r="B311">
        <v>21.21</v>
      </c>
    </row>
    <row r="312" spans="1:15" x14ac:dyDescent="0.3">
      <c r="A312">
        <v>24</v>
      </c>
      <c r="B312">
        <v>11.1</v>
      </c>
    </row>
    <row r="319" spans="1:15" s="20" customFormat="1" x14ac:dyDescent="0.3">
      <c r="K319" s="22"/>
      <c r="N319" s="22"/>
      <c r="O319" s="22"/>
    </row>
    <row r="320" spans="1:15" s="20" customFormat="1" x14ac:dyDescent="0.3">
      <c r="K320" s="22"/>
      <c r="N320" s="22"/>
      <c r="O320" s="22"/>
    </row>
    <row r="322" spans="1:11" x14ac:dyDescent="0.3">
      <c r="A322" t="s">
        <v>55</v>
      </c>
      <c r="B322" t="s">
        <v>56</v>
      </c>
      <c r="C322">
        <v>250</v>
      </c>
      <c r="D322" t="s">
        <v>13</v>
      </c>
      <c r="E322" t="s">
        <v>12</v>
      </c>
      <c r="F322" t="s">
        <v>57</v>
      </c>
      <c r="H322" t="s">
        <v>63</v>
      </c>
      <c r="J322" s="23" t="s">
        <v>30</v>
      </c>
      <c r="K322" s="24">
        <v>474814502</v>
      </c>
    </row>
    <row r="323" spans="1:11" x14ac:dyDescent="0.3">
      <c r="D323">
        <v>10</v>
      </c>
      <c r="E323">
        <v>8</v>
      </c>
      <c r="F323">
        <v>49</v>
      </c>
      <c r="H323">
        <f>K322/(100^2*C322^2)</f>
        <v>0.75970320319999995</v>
      </c>
    </row>
    <row r="324" spans="1:11" x14ac:dyDescent="0.3">
      <c r="D324">
        <v>21</v>
      </c>
      <c r="E324">
        <v>16</v>
      </c>
      <c r="F324">
        <v>46</v>
      </c>
    </row>
    <row r="325" spans="1:11" x14ac:dyDescent="0.3">
      <c r="D325">
        <v>32</v>
      </c>
      <c r="E325">
        <v>24</v>
      </c>
      <c r="F325">
        <v>41.87</v>
      </c>
    </row>
    <row r="326" spans="1:11" x14ac:dyDescent="0.3">
      <c r="D326">
        <v>42</v>
      </c>
      <c r="E326">
        <v>32</v>
      </c>
      <c r="F326">
        <v>38</v>
      </c>
    </row>
    <row r="327" spans="1:11" x14ac:dyDescent="0.3">
      <c r="D327">
        <v>53</v>
      </c>
      <c r="E327">
        <v>40</v>
      </c>
      <c r="F327">
        <v>34.6</v>
      </c>
    </row>
    <row r="328" spans="1:11" x14ac:dyDescent="0.3">
      <c r="D328">
        <v>64</v>
      </c>
      <c r="E328">
        <v>49</v>
      </c>
      <c r="F328">
        <v>28.4</v>
      </c>
    </row>
    <row r="329" spans="1:11" x14ac:dyDescent="0.3">
      <c r="D329">
        <f>60+19</f>
        <v>79</v>
      </c>
      <c r="E329">
        <v>60</v>
      </c>
      <c r="F329">
        <v>23.45</v>
      </c>
    </row>
    <row r="330" spans="1:11" x14ac:dyDescent="0.3">
      <c r="D330">
        <f>60+30</f>
        <v>90</v>
      </c>
      <c r="E330">
        <v>68</v>
      </c>
      <c r="F330">
        <v>19.54</v>
      </c>
    </row>
    <row r="331" spans="1:11" x14ac:dyDescent="0.3">
      <c r="D331">
        <f>60+42</f>
        <v>102</v>
      </c>
      <c r="E331">
        <v>78</v>
      </c>
      <c r="F331">
        <v>16.190000000000001</v>
      </c>
    </row>
    <row r="332" spans="1:11" x14ac:dyDescent="0.3">
      <c r="D332">
        <f>60+52</f>
        <v>112</v>
      </c>
      <c r="E332">
        <v>85</v>
      </c>
      <c r="F332">
        <v>12.28</v>
      </c>
    </row>
    <row r="333" spans="1:11" x14ac:dyDescent="0.3">
      <c r="D333">
        <f>123</f>
        <v>123</v>
      </c>
      <c r="E333">
        <v>93</v>
      </c>
      <c r="F333">
        <v>10.6</v>
      </c>
    </row>
    <row r="334" spans="1:11" x14ac:dyDescent="0.3">
      <c r="D334">
        <f>120+13</f>
        <v>133</v>
      </c>
      <c r="E334">
        <v>101</v>
      </c>
      <c r="F334">
        <v>9</v>
      </c>
    </row>
    <row r="335" spans="1:11" x14ac:dyDescent="0.3">
      <c r="D335">
        <f>120+19</f>
        <v>139</v>
      </c>
      <c r="E335">
        <v>106</v>
      </c>
      <c r="F335">
        <v>5</v>
      </c>
    </row>
    <row r="338" spans="1:10" x14ac:dyDescent="0.3">
      <c r="A338" t="s">
        <v>55</v>
      </c>
      <c r="B338" t="s">
        <v>56</v>
      </c>
      <c r="C338">
        <v>500</v>
      </c>
      <c r="D338" t="s">
        <v>13</v>
      </c>
      <c r="E338" t="s">
        <v>12</v>
      </c>
      <c r="F338" t="s">
        <v>58</v>
      </c>
      <c r="H338" t="s">
        <v>59</v>
      </c>
    </row>
    <row r="339" spans="1:10" x14ac:dyDescent="0.3">
      <c r="D339">
        <v>0</v>
      </c>
      <c r="E339">
        <f>$H$339*D339</f>
        <v>0</v>
      </c>
      <c r="F339">
        <v>54</v>
      </c>
      <c r="H339">
        <f>20/(60+43)</f>
        <v>0.1941747572815534</v>
      </c>
      <c r="I339" t="s">
        <v>14</v>
      </c>
      <c r="J339">
        <f>K322/(100^2*C338^2)</f>
        <v>0.18992580079999999</v>
      </c>
    </row>
    <row r="340" spans="1:10" x14ac:dyDescent="0.3">
      <c r="D340">
        <v>9</v>
      </c>
      <c r="E340">
        <v>2</v>
      </c>
      <c r="F340">
        <v>53</v>
      </c>
    </row>
    <row r="341" spans="1:10" x14ac:dyDescent="0.3">
      <c r="D341">
        <v>21</v>
      </c>
      <c r="E341">
        <v>4</v>
      </c>
      <c r="F341">
        <v>52</v>
      </c>
    </row>
    <row r="342" spans="1:10" x14ac:dyDescent="0.3">
      <c r="D342">
        <v>30</v>
      </c>
      <c r="E342">
        <v>6</v>
      </c>
      <c r="F342">
        <v>49</v>
      </c>
    </row>
    <row r="343" spans="1:10" x14ac:dyDescent="0.3">
      <c r="D343">
        <v>41</v>
      </c>
      <c r="E343">
        <v>8</v>
      </c>
      <c r="F343">
        <v>48</v>
      </c>
    </row>
    <row r="344" spans="1:10" x14ac:dyDescent="0.3">
      <c r="D344">
        <v>51</v>
      </c>
      <c r="E344">
        <v>10</v>
      </c>
      <c r="F344">
        <v>47</v>
      </c>
    </row>
    <row r="345" spans="1:10" x14ac:dyDescent="0.3">
      <c r="D345">
        <v>61</v>
      </c>
      <c r="E345">
        <v>12</v>
      </c>
      <c r="F345">
        <v>45</v>
      </c>
    </row>
    <row r="346" spans="1:10" x14ac:dyDescent="0.3">
      <c r="D346">
        <v>71</v>
      </c>
      <c r="E346">
        <v>13</v>
      </c>
      <c r="F346">
        <v>45</v>
      </c>
    </row>
    <row r="347" spans="1:10" x14ac:dyDescent="0.3">
      <c r="D347">
        <v>82</v>
      </c>
      <c r="E347">
        <v>16</v>
      </c>
      <c r="F347">
        <v>41</v>
      </c>
    </row>
    <row r="348" spans="1:10" x14ac:dyDescent="0.3">
      <c r="D348">
        <v>92</v>
      </c>
      <c r="E348">
        <v>18</v>
      </c>
      <c r="F348">
        <v>41</v>
      </c>
    </row>
    <row r="349" spans="1:10" x14ac:dyDescent="0.3">
      <c r="D349">
        <v>109</v>
      </c>
      <c r="E349">
        <v>21</v>
      </c>
      <c r="F349">
        <v>39</v>
      </c>
    </row>
    <row r="350" spans="1:10" x14ac:dyDescent="0.3">
      <c r="D350">
        <v>118</v>
      </c>
      <c r="E350">
        <v>23</v>
      </c>
      <c r="F350">
        <v>38</v>
      </c>
    </row>
    <row r="351" spans="1:10" x14ac:dyDescent="0.3">
      <c r="D351">
        <v>133</v>
      </c>
      <c r="E351">
        <v>26</v>
      </c>
      <c r="F351">
        <v>34.6</v>
      </c>
    </row>
    <row r="352" spans="1:10" x14ac:dyDescent="0.3">
      <c r="D352">
        <v>144</v>
      </c>
      <c r="E352">
        <v>28</v>
      </c>
      <c r="F352">
        <v>33.5</v>
      </c>
    </row>
    <row r="353" spans="4:6" x14ac:dyDescent="0.3">
      <c r="D353">
        <v>161</v>
      </c>
      <c r="E353">
        <v>31</v>
      </c>
      <c r="F353">
        <v>31.2</v>
      </c>
    </row>
    <row r="354" spans="4:6" x14ac:dyDescent="0.3">
      <c r="D354">
        <v>171</v>
      </c>
      <c r="E354">
        <v>32</v>
      </c>
      <c r="F354">
        <v>27.9</v>
      </c>
    </row>
    <row r="355" spans="4:6" x14ac:dyDescent="0.3">
      <c r="D355">
        <f>3*60+1</f>
        <v>181</v>
      </c>
      <c r="E355">
        <v>35</v>
      </c>
      <c r="F355">
        <v>27.9</v>
      </c>
    </row>
    <row r="356" spans="4:6" x14ac:dyDescent="0.3">
      <c r="D356">
        <v>197</v>
      </c>
      <c r="E356">
        <v>38</v>
      </c>
      <c r="F356">
        <v>25.68</v>
      </c>
    </row>
    <row r="357" spans="4:6" x14ac:dyDescent="0.3">
      <c r="D357">
        <f>180+33</f>
        <v>213</v>
      </c>
      <c r="E357">
        <v>41</v>
      </c>
      <c r="F357">
        <v>23.4</v>
      </c>
    </row>
    <row r="358" spans="4:6" x14ac:dyDescent="0.3">
      <c r="D358">
        <f>180+53</f>
        <v>233</v>
      </c>
      <c r="E358">
        <v>45</v>
      </c>
      <c r="F358">
        <v>20.100000000000001</v>
      </c>
    </row>
    <row r="359" spans="4:6" x14ac:dyDescent="0.3">
      <c r="D359">
        <f>4*60+4</f>
        <v>244</v>
      </c>
      <c r="E359">
        <v>47</v>
      </c>
      <c r="F359">
        <v>17.899999999999999</v>
      </c>
    </row>
    <row r="360" spans="4:6" x14ac:dyDescent="0.3">
      <c r="D360">
        <v>260</v>
      </c>
      <c r="E360">
        <v>51</v>
      </c>
      <c r="F360">
        <v>15.6</v>
      </c>
    </row>
    <row r="361" spans="4:6" x14ac:dyDescent="0.3">
      <c r="D361">
        <f>4*60+35</f>
        <v>275</v>
      </c>
      <c r="E361">
        <v>53</v>
      </c>
      <c r="F361">
        <v>13.4</v>
      </c>
    </row>
    <row r="362" spans="4:6" x14ac:dyDescent="0.3">
      <c r="D362">
        <f>4*60+45</f>
        <v>285</v>
      </c>
      <c r="E362">
        <v>55</v>
      </c>
      <c r="F362">
        <v>12.3</v>
      </c>
    </row>
    <row r="363" spans="4:6" x14ac:dyDescent="0.3">
      <c r="D363">
        <f>5*60+1</f>
        <v>301</v>
      </c>
      <c r="E363">
        <v>58</v>
      </c>
      <c r="F363">
        <v>11</v>
      </c>
    </row>
    <row r="364" spans="4:6" x14ac:dyDescent="0.3">
      <c r="D364">
        <v>311</v>
      </c>
      <c r="E364">
        <v>60</v>
      </c>
      <c r="F364">
        <v>10</v>
      </c>
    </row>
    <row r="365" spans="4:6" x14ac:dyDescent="0.3">
      <c r="D365">
        <v>321</v>
      </c>
      <c r="E365">
        <v>62</v>
      </c>
      <c r="F365">
        <v>6.7</v>
      </c>
    </row>
    <row r="366" spans="4:6" x14ac:dyDescent="0.3">
      <c r="D366">
        <v>333</v>
      </c>
      <c r="E366">
        <v>65</v>
      </c>
      <c r="F366">
        <v>6.7</v>
      </c>
    </row>
    <row r="370" spans="1:10" x14ac:dyDescent="0.3">
      <c r="A370" t="s">
        <v>55</v>
      </c>
      <c r="B370" t="s">
        <v>61</v>
      </c>
      <c r="C370">
        <v>375</v>
      </c>
      <c r="E370" t="s">
        <v>12</v>
      </c>
      <c r="F370" t="s">
        <v>57</v>
      </c>
      <c r="H370" t="s">
        <v>63</v>
      </c>
    </row>
    <row r="371" spans="1:10" x14ac:dyDescent="0.3">
      <c r="E371">
        <v>0</v>
      </c>
      <c r="F371">
        <v>48</v>
      </c>
      <c r="H371">
        <f>20/59</f>
        <v>0.33898305084745761</v>
      </c>
      <c r="I371" t="s">
        <v>14</v>
      </c>
      <c r="J371">
        <f>K322/(100^2*C370^2)</f>
        <v>0.33764586808888891</v>
      </c>
    </row>
    <row r="372" spans="1:10" x14ac:dyDescent="0.3">
      <c r="E372">
        <v>2</v>
      </c>
      <c r="F372">
        <v>45</v>
      </c>
    </row>
    <row r="373" spans="1:10" x14ac:dyDescent="0.3">
      <c r="E373">
        <v>4</v>
      </c>
      <c r="F373">
        <v>44</v>
      </c>
    </row>
    <row r="374" spans="1:10" x14ac:dyDescent="0.3">
      <c r="E374">
        <v>6</v>
      </c>
      <c r="F374">
        <v>40</v>
      </c>
    </row>
    <row r="375" spans="1:10" x14ac:dyDescent="0.3">
      <c r="E375">
        <v>10</v>
      </c>
      <c r="F375">
        <v>35</v>
      </c>
    </row>
    <row r="376" spans="1:10" x14ac:dyDescent="0.3">
      <c r="E376">
        <v>13</v>
      </c>
      <c r="F376">
        <v>32</v>
      </c>
    </row>
    <row r="377" spans="1:10" x14ac:dyDescent="0.3">
      <c r="E377">
        <v>16</v>
      </c>
      <c r="F377">
        <v>29</v>
      </c>
    </row>
    <row r="378" spans="1:10" x14ac:dyDescent="0.3">
      <c r="E378">
        <v>18</v>
      </c>
      <c r="F378">
        <v>27</v>
      </c>
    </row>
    <row r="379" spans="1:10" x14ac:dyDescent="0.3">
      <c r="E379">
        <v>21</v>
      </c>
      <c r="F379">
        <v>24</v>
      </c>
    </row>
    <row r="380" spans="1:10" x14ac:dyDescent="0.3">
      <c r="E380">
        <v>24</v>
      </c>
      <c r="F380">
        <v>21</v>
      </c>
    </row>
    <row r="381" spans="1:10" x14ac:dyDescent="0.3">
      <c r="E381">
        <v>27</v>
      </c>
      <c r="F381">
        <v>19</v>
      </c>
    </row>
    <row r="389" spans="1:10" x14ac:dyDescent="0.3">
      <c r="A389" t="s">
        <v>64</v>
      </c>
      <c r="B389" t="s">
        <v>65</v>
      </c>
      <c r="C389">
        <v>250</v>
      </c>
      <c r="D389" t="s">
        <v>62</v>
      </c>
      <c r="E389" t="s">
        <v>12</v>
      </c>
      <c r="F389" t="s">
        <v>57</v>
      </c>
      <c r="H389" t="s">
        <v>63</v>
      </c>
    </row>
    <row r="390" spans="1:10" x14ac:dyDescent="0.3">
      <c r="D390">
        <v>0</v>
      </c>
      <c r="E390">
        <f>$H$390*D390</f>
        <v>0</v>
      </c>
      <c r="F390">
        <v>55</v>
      </c>
      <c r="H390">
        <f>20/103.9</f>
        <v>0.19249278152069296</v>
      </c>
      <c r="I390" t="s">
        <v>14</v>
      </c>
      <c r="J390">
        <f>K322/(200^2*C389^2)</f>
        <v>0.18992580079999999</v>
      </c>
    </row>
    <row r="391" spans="1:10" x14ac:dyDescent="0.3">
      <c r="D391">
        <v>9.77</v>
      </c>
      <c r="E391">
        <v>2</v>
      </c>
      <c r="F391">
        <v>53</v>
      </c>
    </row>
    <row r="392" spans="1:10" x14ac:dyDescent="0.3">
      <c r="D392">
        <v>20.9</v>
      </c>
      <c r="E392">
        <v>4</v>
      </c>
      <c r="F392">
        <v>47</v>
      </c>
    </row>
    <row r="393" spans="1:10" x14ac:dyDescent="0.3">
      <c r="D393">
        <v>30.2</v>
      </c>
      <c r="E393">
        <v>6</v>
      </c>
      <c r="F393">
        <v>42</v>
      </c>
    </row>
    <row r="394" spans="1:10" x14ac:dyDescent="0.3">
      <c r="D394">
        <v>41.5</v>
      </c>
      <c r="E394">
        <v>8</v>
      </c>
      <c r="F394">
        <v>37</v>
      </c>
    </row>
    <row r="395" spans="1:10" x14ac:dyDescent="0.3">
      <c r="D395">
        <v>57.7</v>
      </c>
      <c r="E395">
        <v>11</v>
      </c>
      <c r="F395">
        <v>26</v>
      </c>
    </row>
    <row r="396" spans="1:10" x14ac:dyDescent="0.3">
      <c r="D396">
        <v>66.7</v>
      </c>
      <c r="E396">
        <v>13</v>
      </c>
      <c r="F396">
        <v>21</v>
      </c>
    </row>
    <row r="397" spans="1:10" x14ac:dyDescent="0.3">
      <c r="D397">
        <v>76.7</v>
      </c>
      <c r="E397">
        <v>15</v>
      </c>
      <c r="F397">
        <v>15</v>
      </c>
    </row>
    <row r="398" spans="1:10" x14ac:dyDescent="0.3">
      <c r="D398">
        <v>87.2</v>
      </c>
      <c r="E398">
        <v>17</v>
      </c>
      <c r="F398">
        <v>7</v>
      </c>
    </row>
    <row r="399" spans="1:10" x14ac:dyDescent="0.3">
      <c r="D399">
        <v>94.7</v>
      </c>
      <c r="E399">
        <v>18</v>
      </c>
      <c r="F399">
        <v>6</v>
      </c>
    </row>
    <row r="402" spans="1:8" x14ac:dyDescent="0.3">
      <c r="A402" t="s">
        <v>55</v>
      </c>
      <c r="B402" t="s">
        <v>61</v>
      </c>
      <c r="C402">
        <v>500</v>
      </c>
      <c r="H402" t="s">
        <v>63</v>
      </c>
    </row>
    <row r="403" spans="1:8" x14ac:dyDescent="0.3">
      <c r="H403">
        <f>20/(60+43)</f>
        <v>0.1941747572815534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workbookViewId="0">
      <selection activeCell="J26" sqref="J26"/>
    </sheetView>
  </sheetViews>
  <sheetFormatPr baseColWidth="10" defaultRowHeight="15.6" x14ac:dyDescent="0.3"/>
  <cols>
    <col min="1" max="1" width="16.5" customWidth="1"/>
  </cols>
  <sheetData>
    <row r="1" spans="1:4" x14ac:dyDescent="0.3">
      <c r="A1" s="6" t="s">
        <v>49</v>
      </c>
      <c r="B1" s="6" t="s">
        <v>46</v>
      </c>
      <c r="C1" s="6" t="s">
        <v>47</v>
      </c>
      <c r="D1" s="6" t="s">
        <v>48</v>
      </c>
    </row>
    <row r="2" spans="1:4" x14ac:dyDescent="0.3">
      <c r="A2" s="6">
        <v>0</v>
      </c>
      <c r="B2" s="6">
        <v>69</v>
      </c>
      <c r="C2" s="6"/>
      <c r="D2" s="6"/>
    </row>
    <row r="3" spans="1:4" x14ac:dyDescent="0.3">
      <c r="A3" s="6">
        <v>1</v>
      </c>
      <c r="B3" s="6">
        <v>68</v>
      </c>
      <c r="C3" s="6"/>
      <c r="D3" s="6"/>
    </row>
    <row r="4" spans="1:4" x14ac:dyDescent="0.3">
      <c r="A4" s="6">
        <v>2</v>
      </c>
      <c r="B4" s="6">
        <v>65</v>
      </c>
      <c r="C4" s="6"/>
      <c r="D4" s="6"/>
    </row>
    <row r="5" spans="1:4" x14ac:dyDescent="0.3">
      <c r="A5" s="6">
        <v>4</v>
      </c>
      <c r="B5" s="6">
        <v>58</v>
      </c>
      <c r="C5" s="6"/>
      <c r="D5" s="6"/>
    </row>
    <row r="6" spans="1:4" x14ac:dyDescent="0.3">
      <c r="A6" s="6">
        <v>6</v>
      </c>
      <c r="B6" s="6">
        <v>51</v>
      </c>
      <c r="C6" s="6"/>
      <c r="D6" s="6"/>
    </row>
    <row r="7" spans="1:4" x14ac:dyDescent="0.3">
      <c r="A7" s="6">
        <v>8</v>
      </c>
      <c r="B7" s="6">
        <v>42</v>
      </c>
      <c r="C7" s="6"/>
      <c r="D7" s="6"/>
    </row>
    <row r="8" spans="1:4" x14ac:dyDescent="0.3">
      <c r="A8" s="6">
        <v>10</v>
      </c>
      <c r="B8" s="6">
        <v>31</v>
      </c>
      <c r="C8" s="6"/>
      <c r="D8" s="6"/>
    </row>
    <row r="9" spans="1:4" x14ac:dyDescent="0.3">
      <c r="A9" s="6">
        <v>12</v>
      </c>
      <c r="B9" s="6">
        <v>21</v>
      </c>
      <c r="C9" s="6"/>
      <c r="D9" s="6"/>
    </row>
    <row r="10" spans="1:4" x14ac:dyDescent="0.3">
      <c r="A10" s="6">
        <v>13</v>
      </c>
      <c r="B10" s="6">
        <v>16</v>
      </c>
      <c r="C10" s="6"/>
      <c r="D10" s="6"/>
    </row>
    <row r="11" spans="1:4" x14ac:dyDescent="0.3">
      <c r="A11" s="6">
        <v>14</v>
      </c>
      <c r="B11" s="6">
        <v>11</v>
      </c>
      <c r="C11" s="6"/>
      <c r="D11" s="6"/>
    </row>
    <row r="12" spans="1:4" x14ac:dyDescent="0.3">
      <c r="A12" s="6">
        <v>15</v>
      </c>
      <c r="B12" s="6">
        <v>7</v>
      </c>
      <c r="C12" s="6"/>
      <c r="D12" s="6"/>
    </row>
    <row r="13" spans="1:4" x14ac:dyDescent="0.3">
      <c r="A13" s="6">
        <v>0</v>
      </c>
      <c r="B13" s="6"/>
      <c r="C13" s="6">
        <v>67</v>
      </c>
      <c r="D13" s="6"/>
    </row>
    <row r="14" spans="1:4" x14ac:dyDescent="0.3">
      <c r="A14" s="6">
        <v>2</v>
      </c>
      <c r="B14" s="6"/>
      <c r="C14" s="6">
        <v>58</v>
      </c>
      <c r="D14" s="6"/>
    </row>
    <row r="15" spans="1:4" x14ac:dyDescent="0.3">
      <c r="A15" s="6">
        <v>4</v>
      </c>
      <c r="B15" s="6"/>
      <c r="C15" s="6">
        <v>47.5</v>
      </c>
      <c r="D15" s="6"/>
    </row>
    <row r="16" spans="1:4" x14ac:dyDescent="0.3">
      <c r="A16" s="6">
        <v>6</v>
      </c>
      <c r="B16" s="6"/>
      <c r="C16" s="6">
        <v>36.299999999999997</v>
      </c>
      <c r="D16" s="6"/>
    </row>
    <row r="17" spans="1:4" x14ac:dyDescent="0.3">
      <c r="A17" s="6">
        <v>8</v>
      </c>
      <c r="B17" s="6"/>
      <c r="C17" s="6">
        <v>26.2</v>
      </c>
      <c r="D17" s="6"/>
    </row>
    <row r="18" spans="1:4" x14ac:dyDescent="0.3">
      <c r="A18" s="6">
        <v>10</v>
      </c>
      <c r="B18" s="6"/>
      <c r="C18" s="6">
        <v>11.2</v>
      </c>
      <c r="D18" s="6"/>
    </row>
    <row r="19" spans="1:4" x14ac:dyDescent="0.3">
      <c r="A19" s="6">
        <v>12</v>
      </c>
      <c r="B19" s="6"/>
      <c r="C19" s="6">
        <v>8</v>
      </c>
      <c r="D19" s="6"/>
    </row>
    <row r="20" spans="1:4" x14ac:dyDescent="0.3">
      <c r="A20" s="6">
        <v>0</v>
      </c>
      <c r="B20" s="6"/>
      <c r="C20" s="6"/>
      <c r="D20" s="6">
        <v>68</v>
      </c>
    </row>
    <row r="21" spans="1:4" x14ac:dyDescent="0.3">
      <c r="A21" s="6">
        <v>2</v>
      </c>
      <c r="B21" s="6"/>
      <c r="C21" s="6"/>
      <c r="D21" s="6">
        <v>59.7</v>
      </c>
    </row>
    <row r="22" spans="1:4" x14ac:dyDescent="0.3">
      <c r="A22" s="6">
        <v>3</v>
      </c>
      <c r="B22" s="6"/>
      <c r="C22" s="6"/>
      <c r="D22" s="6">
        <v>56</v>
      </c>
    </row>
    <row r="23" spans="1:4" x14ac:dyDescent="0.3">
      <c r="A23" s="6">
        <v>4</v>
      </c>
      <c r="B23" s="6"/>
      <c r="C23" s="6"/>
      <c r="D23" s="6">
        <v>54</v>
      </c>
    </row>
    <row r="24" spans="1:4" x14ac:dyDescent="0.3">
      <c r="A24" s="6">
        <v>5</v>
      </c>
      <c r="B24" s="6"/>
      <c r="C24" s="6"/>
      <c r="D24" s="6">
        <v>47</v>
      </c>
    </row>
    <row r="25" spans="1:4" x14ac:dyDescent="0.3">
      <c r="A25" s="6">
        <v>7</v>
      </c>
      <c r="B25" s="6"/>
      <c r="C25" s="6"/>
      <c r="D25" s="6">
        <v>38</v>
      </c>
    </row>
    <row r="26" spans="1:4" x14ac:dyDescent="0.3">
      <c r="A26" s="6">
        <v>8</v>
      </c>
      <c r="B26" s="6"/>
      <c r="C26" s="6"/>
      <c r="D26" s="6">
        <v>34</v>
      </c>
    </row>
    <row r="27" spans="1:4" x14ac:dyDescent="0.3">
      <c r="A27" s="6">
        <v>9</v>
      </c>
      <c r="B27" s="6"/>
      <c r="C27" s="6"/>
      <c r="D27" s="6">
        <v>28</v>
      </c>
    </row>
    <row r="28" spans="1:4" x14ac:dyDescent="0.3">
      <c r="A28" s="6">
        <v>11</v>
      </c>
      <c r="B28" s="6"/>
      <c r="C28" s="6"/>
      <c r="D28" s="6">
        <v>15</v>
      </c>
    </row>
    <row r="29" spans="1:4" x14ac:dyDescent="0.3">
      <c r="A29" s="6">
        <v>12</v>
      </c>
      <c r="B29" s="6"/>
      <c r="C29" s="6"/>
      <c r="D29" s="6">
        <v>12</v>
      </c>
    </row>
    <row r="30" spans="1:4" x14ac:dyDescent="0.3">
      <c r="A30" s="6">
        <v>13</v>
      </c>
      <c r="B30" s="6"/>
      <c r="C30" s="6"/>
      <c r="D30" s="6">
        <v>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>
      <selection activeCell="D23" sqref="D23"/>
    </sheetView>
  </sheetViews>
  <sheetFormatPr baseColWidth="10" defaultColWidth="10.796875" defaultRowHeight="15.6" x14ac:dyDescent="0.3"/>
  <cols>
    <col min="1" max="1" width="17.69921875" style="6" customWidth="1"/>
    <col min="2" max="2" width="10.796875" style="6"/>
    <col min="3" max="3" width="11.796875" style="6" customWidth="1"/>
    <col min="4" max="4" width="26" style="6" customWidth="1"/>
    <col min="5" max="5" width="10.796875" style="6"/>
    <col min="6" max="6" width="16.19921875" style="17" customWidth="1"/>
    <col min="7" max="7" width="10.796875" style="6"/>
    <col min="8" max="8" width="22.19921875" style="6" customWidth="1"/>
    <col min="9" max="16384" width="10.796875" style="6"/>
  </cols>
  <sheetData>
    <row r="1" spans="1:13" ht="16.2" thickBot="1" x14ac:dyDescent="0.35">
      <c r="A1" s="3" t="s">
        <v>35</v>
      </c>
      <c r="B1" s="4" t="s">
        <v>33</v>
      </c>
      <c r="C1" s="4" t="s">
        <v>34</v>
      </c>
      <c r="D1" s="4" t="s">
        <v>36</v>
      </c>
      <c r="E1" s="4" t="s">
        <v>17</v>
      </c>
      <c r="F1" s="5" t="s">
        <v>31</v>
      </c>
      <c r="G1" s="4" t="s">
        <v>10</v>
      </c>
      <c r="H1" s="4" t="s">
        <v>32</v>
      </c>
      <c r="I1" s="5"/>
      <c r="J1" s="4"/>
      <c r="K1" s="4"/>
      <c r="L1" s="5"/>
      <c r="M1" s="5"/>
    </row>
    <row r="2" spans="1:13" ht="16.2" thickTop="1" x14ac:dyDescent="0.3">
      <c r="A2" s="7">
        <v>100</v>
      </c>
      <c r="B2" s="8">
        <f>SQRT(Tableau1[[#This Row],[Area (*10^3 nm^2)]]*1000)</f>
        <v>500</v>
      </c>
      <c r="C2" s="8">
        <v>5</v>
      </c>
      <c r="D2" s="8">
        <v>2.36</v>
      </c>
      <c r="E2" s="8">
        <v>1.2</v>
      </c>
      <c r="F2" s="9">
        <f>$B$18/A2^2/B2^2</f>
        <v>0.18992580081974547</v>
      </c>
      <c r="G2" s="8" t="s">
        <v>23</v>
      </c>
      <c r="H2" s="9">
        <f>D2*F2</f>
        <v>0.4482248899345993</v>
      </c>
      <c r="I2" s="9"/>
      <c r="J2" s="8"/>
      <c r="K2" s="8"/>
      <c r="L2" s="9"/>
      <c r="M2" s="9"/>
    </row>
    <row r="3" spans="1:13" x14ac:dyDescent="0.3">
      <c r="A3" s="10">
        <v>100</v>
      </c>
      <c r="B3" s="11">
        <f>SQRT(Tableau1[[#This Row],[Area (*10^3 nm^2)]]*1000)</f>
        <v>300</v>
      </c>
      <c r="C3" s="11">
        <v>5</v>
      </c>
      <c r="D3" s="11">
        <v>1.59</v>
      </c>
      <c r="E3" s="11">
        <v>1.3</v>
      </c>
      <c r="F3" s="9">
        <f t="shared" ref="F3:F15" si="0">$B$18/A3^2/B3^2</f>
        <v>0.52757166894373742</v>
      </c>
      <c r="G3" s="11" t="s">
        <v>23</v>
      </c>
      <c r="H3" s="9">
        <f t="shared" ref="H3:H15" si="1">D3*F3</f>
        <v>0.8388389536205425</v>
      </c>
      <c r="I3" s="12"/>
      <c r="J3" s="11"/>
      <c r="K3" s="11"/>
      <c r="L3" s="12"/>
      <c r="M3" s="12"/>
    </row>
    <row r="4" spans="1:13" x14ac:dyDescent="0.3">
      <c r="A4" s="7">
        <v>100</v>
      </c>
      <c r="B4" s="8">
        <f>SQRT(Tableau1[[#This Row],[Area (*10^3 nm^2)]]*1000)</f>
        <v>250</v>
      </c>
      <c r="C4" s="8">
        <v>5</v>
      </c>
      <c r="D4" s="8">
        <v>1.42</v>
      </c>
      <c r="E4" s="8">
        <v>1.4</v>
      </c>
      <c r="F4" s="9">
        <f t="shared" si="0"/>
        <v>0.75970320327898189</v>
      </c>
      <c r="G4" s="8" t="s">
        <v>22</v>
      </c>
      <c r="H4" s="9">
        <f t="shared" si="1"/>
        <v>1.0787785486561543</v>
      </c>
      <c r="I4" s="9"/>
      <c r="J4" s="8"/>
      <c r="K4" s="8"/>
      <c r="L4" s="9"/>
      <c r="M4" s="9"/>
    </row>
    <row r="5" spans="1:13" x14ac:dyDescent="0.3">
      <c r="A5" s="10">
        <v>200</v>
      </c>
      <c r="B5" s="11">
        <f>SQRT(Tableau1[[#This Row],[Area (*10^3 nm^2)]]*1000)</f>
        <v>125</v>
      </c>
      <c r="C5" s="11">
        <v>5</v>
      </c>
      <c r="D5" s="11">
        <v>1.74</v>
      </c>
      <c r="E5" s="11">
        <v>2.5</v>
      </c>
      <c r="F5" s="9">
        <f t="shared" si="0"/>
        <v>0.75970320327898189</v>
      </c>
      <c r="G5" s="11" t="s">
        <v>23</v>
      </c>
      <c r="H5" s="9">
        <f t="shared" si="1"/>
        <v>1.3218835737054284</v>
      </c>
      <c r="I5" s="12"/>
      <c r="J5" s="11"/>
      <c r="K5" s="11"/>
      <c r="L5" s="12"/>
      <c r="M5" s="12"/>
    </row>
    <row r="6" spans="1:13" x14ac:dyDescent="0.3">
      <c r="A6" s="7">
        <v>100</v>
      </c>
      <c r="B6" s="8">
        <f>SQRT(Tableau1[[#This Row],[Area (*10^3 nm^2)]]*1000)</f>
        <v>250</v>
      </c>
      <c r="C6" s="8">
        <v>5</v>
      </c>
      <c r="D6" s="8">
        <v>1.06</v>
      </c>
      <c r="E6" s="8">
        <v>1.5</v>
      </c>
      <c r="F6" s="9">
        <f t="shared" si="0"/>
        <v>0.75970320327898189</v>
      </c>
      <c r="G6" s="8" t="s">
        <v>23</v>
      </c>
      <c r="H6" s="9">
        <f t="shared" si="1"/>
        <v>0.80528539547572087</v>
      </c>
      <c r="I6" s="9"/>
      <c r="J6" s="8"/>
      <c r="K6" s="8"/>
      <c r="L6" s="9"/>
      <c r="M6" s="9"/>
    </row>
    <row r="7" spans="1:13" x14ac:dyDescent="0.3">
      <c r="A7" s="10">
        <v>200</v>
      </c>
      <c r="B7" s="11">
        <f>SQRT(Tableau1[[#This Row],[Area (*10^3 nm^2)]]*1000)</f>
        <v>250</v>
      </c>
      <c r="C7" s="11">
        <v>5</v>
      </c>
      <c r="D7" s="11">
        <v>3.54</v>
      </c>
      <c r="E7" s="11">
        <v>2.2000000000000002</v>
      </c>
      <c r="F7" s="9">
        <f t="shared" si="0"/>
        <v>0.18992580081974547</v>
      </c>
      <c r="G7" s="11" t="s">
        <v>23</v>
      </c>
      <c r="H7" s="9">
        <f t="shared" si="1"/>
        <v>0.67233733490189895</v>
      </c>
      <c r="I7" s="12"/>
      <c r="J7" s="11"/>
      <c r="K7" s="11"/>
      <c r="L7" s="12"/>
      <c r="M7" s="12"/>
    </row>
    <row r="8" spans="1:13" x14ac:dyDescent="0.3">
      <c r="A8" s="7">
        <v>200</v>
      </c>
      <c r="B8" s="8">
        <f>SQRT(Tableau1[[#This Row],[Area (*10^3 nm^2)]]*1000)</f>
        <v>300</v>
      </c>
      <c r="C8" s="8">
        <v>5</v>
      </c>
      <c r="D8" s="8">
        <v>4.33</v>
      </c>
      <c r="E8" s="8">
        <v>2.1</v>
      </c>
      <c r="F8" s="9">
        <f t="shared" si="0"/>
        <v>0.13189291723593435</v>
      </c>
      <c r="G8" s="8" t="s">
        <v>23</v>
      </c>
      <c r="H8" s="9">
        <f t="shared" si="1"/>
        <v>0.57109633163159579</v>
      </c>
      <c r="I8" s="9"/>
      <c r="J8" s="8"/>
      <c r="K8" s="8"/>
      <c r="L8" s="9"/>
      <c r="M8" s="9"/>
    </row>
    <row r="9" spans="1:13" x14ac:dyDescent="0.3">
      <c r="A9" s="10">
        <v>200</v>
      </c>
      <c r="B9" s="11">
        <f>SQRT(Tableau1[[#This Row],[Area (*10^3 nm^2)]]*1000)</f>
        <v>300</v>
      </c>
      <c r="C9" s="11">
        <v>5</v>
      </c>
      <c r="D9" s="11">
        <v>5.21</v>
      </c>
      <c r="E9" s="11">
        <v>2.2999999999999998</v>
      </c>
      <c r="F9" s="9">
        <f t="shared" si="0"/>
        <v>0.13189291723593435</v>
      </c>
      <c r="G9" s="11" t="s">
        <v>23</v>
      </c>
      <c r="H9" s="9">
        <f t="shared" si="1"/>
        <v>0.68716209879921797</v>
      </c>
      <c r="I9" s="12"/>
      <c r="J9" s="11"/>
      <c r="K9" s="11"/>
      <c r="L9" s="12"/>
      <c r="M9" s="12"/>
    </row>
    <row r="10" spans="1:13" x14ac:dyDescent="0.3">
      <c r="A10" s="7">
        <v>200</v>
      </c>
      <c r="B10" s="8">
        <f>SQRT(Tableau1[[#This Row],[Area (*10^3 nm^2)]]*1000)</f>
        <v>300</v>
      </c>
      <c r="C10" s="8">
        <v>5</v>
      </c>
      <c r="D10" s="8">
        <v>4.79</v>
      </c>
      <c r="E10" s="8">
        <v>2.4</v>
      </c>
      <c r="F10" s="9">
        <f t="shared" si="0"/>
        <v>0.13189291723593435</v>
      </c>
      <c r="G10" s="8" t="s">
        <v>23</v>
      </c>
      <c r="H10" s="9">
        <f t="shared" si="1"/>
        <v>0.63176707356012551</v>
      </c>
      <c r="I10" s="9"/>
      <c r="J10" s="8"/>
      <c r="K10" s="8"/>
      <c r="L10" s="9"/>
      <c r="M10" s="9"/>
    </row>
    <row r="11" spans="1:13" x14ac:dyDescent="0.3">
      <c r="A11" s="10">
        <v>150</v>
      </c>
      <c r="B11" s="11">
        <f>SQRT(Tableau1[[#This Row],[Area (*10^3 nm^2)]]*1000)</f>
        <v>300</v>
      </c>
      <c r="C11" s="11">
        <v>5</v>
      </c>
      <c r="D11" s="11">
        <v>2.59</v>
      </c>
      <c r="E11" s="11">
        <v>3.1</v>
      </c>
      <c r="F11" s="9">
        <f t="shared" si="0"/>
        <v>0.23447629730832772</v>
      </c>
      <c r="G11" s="11" t="s">
        <v>23</v>
      </c>
      <c r="H11" s="9">
        <f t="shared" si="1"/>
        <v>0.60729361002856874</v>
      </c>
      <c r="I11" s="12"/>
      <c r="J11" s="11"/>
      <c r="K11" s="11"/>
      <c r="L11" s="12"/>
      <c r="M11" s="12"/>
    </row>
    <row r="12" spans="1:13" x14ac:dyDescent="0.3">
      <c r="A12" s="7">
        <v>150</v>
      </c>
      <c r="B12" s="8">
        <f>SQRT(Tableau1[[#This Row],[Area (*10^3 nm^2)]]*1000)</f>
        <v>500</v>
      </c>
      <c r="C12" s="8">
        <v>5</v>
      </c>
      <c r="D12" s="8">
        <v>3.61</v>
      </c>
      <c r="E12" s="8">
        <v>3.2</v>
      </c>
      <c r="F12" s="9">
        <f t="shared" si="0"/>
        <v>8.4411467030997986E-2</v>
      </c>
      <c r="G12" s="8" t="s">
        <v>23</v>
      </c>
      <c r="H12" s="9">
        <f t="shared" si="1"/>
        <v>0.30472539598190274</v>
      </c>
      <c r="I12" s="9"/>
      <c r="J12" s="8"/>
      <c r="K12" s="8"/>
      <c r="L12" s="9"/>
      <c r="M12" s="9"/>
    </row>
    <row r="13" spans="1:13" x14ac:dyDescent="0.3">
      <c r="A13" s="10">
        <v>100</v>
      </c>
      <c r="B13" s="11">
        <f>SQRT(Tableau1[[#This Row],[Area (*10^3 nm^2)]]*1000)</f>
        <v>750</v>
      </c>
      <c r="C13" s="11">
        <v>5</v>
      </c>
      <c r="D13" s="11">
        <v>1.93</v>
      </c>
      <c r="E13" s="11" t="s">
        <v>20</v>
      </c>
      <c r="F13" s="9">
        <f t="shared" si="0"/>
        <v>8.4411467030997986E-2</v>
      </c>
      <c r="G13" s="11" t="s">
        <v>23</v>
      </c>
      <c r="H13" s="9">
        <f t="shared" si="1"/>
        <v>0.1629141313698261</v>
      </c>
      <c r="I13" s="12"/>
      <c r="J13" s="11"/>
      <c r="K13" s="11"/>
      <c r="L13" s="12"/>
      <c r="M13" s="12"/>
    </row>
    <row r="14" spans="1:13" s="16" customFormat="1" x14ac:dyDescent="0.3">
      <c r="A14" s="13">
        <v>200</v>
      </c>
      <c r="B14" s="14">
        <f>SQRT(Tableau1[[#This Row],[Area (*10^3 nm^2)]]*1000)</f>
        <v>250</v>
      </c>
      <c r="C14" s="14">
        <v>5</v>
      </c>
      <c r="D14" s="14"/>
      <c r="E14" s="14" t="s">
        <v>13</v>
      </c>
      <c r="F14" s="15">
        <f t="shared" si="0"/>
        <v>0.18992580081974547</v>
      </c>
      <c r="G14" s="14" t="s">
        <v>23</v>
      </c>
      <c r="H14" s="15"/>
      <c r="I14" s="15"/>
      <c r="J14" s="14"/>
      <c r="K14" s="14"/>
      <c r="L14" s="15"/>
      <c r="M14" s="15"/>
    </row>
    <row r="15" spans="1:13" x14ac:dyDescent="0.3">
      <c r="A15" s="10">
        <v>100</v>
      </c>
      <c r="B15" s="11">
        <f>SQRT(Tableau1[[#This Row],[Area (*10^3 nm^2)]]*1000)</f>
        <v>500</v>
      </c>
      <c r="C15" s="11">
        <v>10</v>
      </c>
      <c r="D15" s="11">
        <v>0.99</v>
      </c>
      <c r="E15" s="11">
        <v>4.0999999999999996</v>
      </c>
      <c r="F15" s="9">
        <f t="shared" si="0"/>
        <v>0.18992580081974547</v>
      </c>
      <c r="G15" s="11" t="s">
        <v>23</v>
      </c>
      <c r="H15" s="9">
        <f t="shared" si="1"/>
        <v>0.18802654281154801</v>
      </c>
      <c r="I15" s="12"/>
      <c r="J15" s="11"/>
      <c r="K15" s="11"/>
      <c r="L15" s="12"/>
      <c r="M15" s="12"/>
    </row>
    <row r="18" spans="1:5" x14ac:dyDescent="0.3">
      <c r="A18" s="17" t="s">
        <v>30</v>
      </c>
      <c r="B18" s="6">
        <v>474814502.04936367</v>
      </c>
      <c r="E18" s="12"/>
    </row>
    <row r="19" spans="1:5" x14ac:dyDescent="0.3">
      <c r="E19" s="9"/>
    </row>
    <row r="20" spans="1:5" x14ac:dyDescent="0.3">
      <c r="B20" s="6">
        <f>B18/(0.72*250^2)</f>
        <v>10551.433378874748</v>
      </c>
      <c r="E20" s="12"/>
    </row>
    <row r="21" spans="1:5" x14ac:dyDescent="0.3">
      <c r="B21" s="6">
        <f>SQRT(B20)</f>
        <v>102.7201702630732</v>
      </c>
      <c r="E21" s="9"/>
    </row>
    <row r="22" spans="1:5" x14ac:dyDescent="0.3">
      <c r="E22" s="12"/>
    </row>
    <row r="23" spans="1:5" x14ac:dyDescent="0.3">
      <c r="E23" s="9"/>
    </row>
    <row r="24" spans="1:5" x14ac:dyDescent="0.3">
      <c r="E24" s="12"/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7"/>
  <sheetViews>
    <sheetView zoomScale="79" zoomScaleNormal="79" zoomScalePageLayoutView="79" workbookViewId="0">
      <selection activeCell="C1" sqref="C1:I21"/>
    </sheetView>
  </sheetViews>
  <sheetFormatPr baseColWidth="10" defaultColWidth="10.796875" defaultRowHeight="15.6" x14ac:dyDescent="0.3"/>
  <cols>
    <col min="1" max="1" width="13.19921875" style="6" bestFit="1" customWidth="1"/>
    <col min="2" max="2" width="12.19921875" style="6" bestFit="1" customWidth="1"/>
    <col min="3" max="3" width="20.69921875" style="6" bestFit="1" customWidth="1"/>
    <col min="4" max="4" width="11.69921875" style="6" bestFit="1" customWidth="1"/>
    <col min="5" max="5" width="17.796875" style="6" bestFit="1" customWidth="1"/>
    <col min="6" max="6" width="16.69921875" style="6" bestFit="1" customWidth="1"/>
    <col min="7" max="7" width="16.69921875" style="6" customWidth="1"/>
    <col min="8" max="8" width="27" style="6" bestFit="1" customWidth="1"/>
    <col min="9" max="9" width="24.19921875" style="6" bestFit="1" customWidth="1"/>
    <col min="10" max="10" width="10.796875" style="6"/>
    <col min="11" max="11" width="27.296875" style="17" customWidth="1"/>
    <col min="12" max="16384" width="10.796875" style="6"/>
  </cols>
  <sheetData>
    <row r="1" spans="1:11" x14ac:dyDescent="0.3">
      <c r="A1" s="6" t="s">
        <v>17</v>
      </c>
      <c r="B1" s="6" t="s">
        <v>37</v>
      </c>
      <c r="C1" s="6" t="s">
        <v>35</v>
      </c>
      <c r="D1" s="6" t="s">
        <v>33</v>
      </c>
      <c r="E1" s="6" t="s">
        <v>41</v>
      </c>
      <c r="F1" s="6" t="s">
        <v>34</v>
      </c>
      <c r="G1" s="6" t="s">
        <v>38</v>
      </c>
      <c r="H1" s="6" t="s">
        <v>40</v>
      </c>
      <c r="I1" s="17" t="s">
        <v>39</v>
      </c>
    </row>
    <row r="2" spans="1:11" x14ac:dyDescent="0.3">
      <c r="A2" s="6">
        <v>1.4</v>
      </c>
      <c r="B2" s="6" t="s">
        <v>22</v>
      </c>
      <c r="C2" s="6">
        <v>100</v>
      </c>
      <c r="D2" s="6">
        <v>250</v>
      </c>
      <c r="E2" s="6">
        <f>(Tableau2[[#This Row],[Magnification (K)]]*Tableau2[[#This Row],[L (nm)]])^2*10^(-6)</f>
        <v>625</v>
      </c>
      <c r="F2" s="6">
        <v>5</v>
      </c>
      <c r="G2" s="17">
        <v>0.75970320327898189</v>
      </c>
      <c r="H2" s="6">
        <v>1.42</v>
      </c>
      <c r="I2" s="17">
        <v>1.0787785486561543</v>
      </c>
    </row>
    <row r="3" spans="1:11" x14ac:dyDescent="0.3">
      <c r="A3" s="6">
        <v>1.5</v>
      </c>
      <c r="B3" s="6" t="s">
        <v>23</v>
      </c>
      <c r="C3" s="6">
        <v>100</v>
      </c>
      <c r="D3" s="6">
        <v>250</v>
      </c>
      <c r="E3" s="6">
        <f>(Tableau2[[#This Row],[Magnification (K)]]*Tableau2[[#This Row],[L (nm)]])^2*10^(-6)</f>
        <v>625</v>
      </c>
      <c r="F3" s="6">
        <v>5</v>
      </c>
      <c r="G3" s="17">
        <v>0.75970320327898189</v>
      </c>
      <c r="H3" s="6">
        <v>1.06</v>
      </c>
      <c r="I3" s="17">
        <v>0.80528539547572087</v>
      </c>
    </row>
    <row r="4" spans="1:11" x14ac:dyDescent="0.3">
      <c r="A4" s="6">
        <v>1.3</v>
      </c>
      <c r="B4" s="6" t="s">
        <v>23</v>
      </c>
      <c r="C4" s="6">
        <v>100</v>
      </c>
      <c r="D4" s="6">
        <v>300</v>
      </c>
      <c r="E4" s="6">
        <f>(Tableau2[[#This Row],[Magnification (K)]]*Tableau2[[#This Row],[L (nm)]])^2*10^(-6)</f>
        <v>900</v>
      </c>
      <c r="F4" s="6">
        <v>5</v>
      </c>
      <c r="G4" s="17">
        <v>0.52757166894373742</v>
      </c>
      <c r="H4" s="6">
        <v>1.59</v>
      </c>
      <c r="I4" s="17">
        <v>0.8388389536205425</v>
      </c>
    </row>
    <row r="5" spans="1:11" x14ac:dyDescent="0.3">
      <c r="A5" s="6" t="s">
        <v>66</v>
      </c>
      <c r="B5" s="6" t="s">
        <v>23</v>
      </c>
      <c r="C5" s="6">
        <v>100</v>
      </c>
      <c r="D5" s="6">
        <v>375</v>
      </c>
      <c r="E5" s="6">
        <f>(Tableau2[[#This Row],[Magnification (K)]]*Tableau2[[#This Row],[L (nm)]])^2*10^(-6)</f>
        <v>1406.25</v>
      </c>
      <c r="F5" s="6">
        <v>5</v>
      </c>
      <c r="G5" s="6">
        <v>0.34</v>
      </c>
      <c r="H5" s="6">
        <v>1.0900000000000001</v>
      </c>
      <c r="I5" s="17">
        <f>Tableau2[[#This Row],[Closure speed (nm/scan)]]*Tableau2[[#This Row],[Scan speed (scan/s)]]</f>
        <v>0.37060000000000004</v>
      </c>
    </row>
    <row r="6" spans="1:11" x14ac:dyDescent="0.3">
      <c r="A6" s="6">
        <v>1.2</v>
      </c>
      <c r="B6" s="6" t="s">
        <v>23</v>
      </c>
      <c r="C6" s="6">
        <v>100</v>
      </c>
      <c r="D6" s="6">
        <v>500</v>
      </c>
      <c r="E6" s="6">
        <f>(Tableau2[[#This Row],[Magnification (K)]]*Tableau2[[#This Row],[L (nm)]])^2*10^(-6)</f>
        <v>2500</v>
      </c>
      <c r="F6" s="6">
        <v>5</v>
      </c>
      <c r="G6" s="17">
        <v>0.18992580081974547</v>
      </c>
      <c r="H6" s="6">
        <v>2.36</v>
      </c>
      <c r="I6" s="17">
        <v>0.4482248899345993</v>
      </c>
    </row>
    <row r="7" spans="1:11" x14ac:dyDescent="0.3">
      <c r="A7" s="6" t="s">
        <v>20</v>
      </c>
      <c r="B7" s="6" t="s">
        <v>23</v>
      </c>
      <c r="C7" s="6">
        <v>100</v>
      </c>
      <c r="D7" s="6">
        <v>750</v>
      </c>
      <c r="E7" s="6">
        <f>(Tableau2[[#This Row],[Magnification (K)]]*Tableau2[[#This Row],[L (nm)]])^2*10^(-6)</f>
        <v>5625</v>
      </c>
      <c r="F7" s="6">
        <v>5</v>
      </c>
      <c r="G7" s="17">
        <v>8.4411467030997986E-2</v>
      </c>
      <c r="H7" s="6">
        <v>1.93</v>
      </c>
      <c r="I7" s="17">
        <v>0.1629141313698261</v>
      </c>
    </row>
    <row r="8" spans="1:11" x14ac:dyDescent="0.3">
      <c r="A8" s="6">
        <v>3.1</v>
      </c>
      <c r="B8" s="6" t="s">
        <v>23</v>
      </c>
      <c r="C8" s="6">
        <v>150</v>
      </c>
      <c r="D8" s="6">
        <v>300</v>
      </c>
      <c r="E8" s="6">
        <f>(Tableau2[[#This Row],[Magnification (K)]]*Tableau2[[#This Row],[L (nm)]])^2*10^(-6)</f>
        <v>2025</v>
      </c>
      <c r="F8" s="6">
        <v>5</v>
      </c>
      <c r="G8" s="17">
        <v>0.23447629730832772</v>
      </c>
      <c r="H8" s="6">
        <v>2.59</v>
      </c>
      <c r="I8" s="17">
        <v>0.60729361002856874</v>
      </c>
    </row>
    <row r="9" spans="1:11" x14ac:dyDescent="0.3">
      <c r="A9" s="6">
        <v>3.2</v>
      </c>
      <c r="B9" s="6" t="s">
        <v>23</v>
      </c>
      <c r="C9" s="6">
        <v>150</v>
      </c>
      <c r="D9" s="6">
        <v>500</v>
      </c>
      <c r="E9" s="6">
        <f>(Tableau2[[#This Row],[Magnification (K)]]*Tableau2[[#This Row],[L (nm)]])^2*10^(-6)</f>
        <v>5625</v>
      </c>
      <c r="F9" s="6">
        <v>5</v>
      </c>
      <c r="G9" s="17">
        <v>8.4411467030997986E-2</v>
      </c>
      <c r="H9" s="6">
        <v>3.61</v>
      </c>
      <c r="I9" s="17">
        <v>0.30472539598190274</v>
      </c>
      <c r="K9" s="18"/>
    </row>
    <row r="10" spans="1:11" x14ac:dyDescent="0.3">
      <c r="A10" s="6">
        <v>2.5</v>
      </c>
      <c r="B10" s="6" t="s">
        <v>23</v>
      </c>
      <c r="C10" s="6">
        <v>200</v>
      </c>
      <c r="D10" s="6">
        <v>125</v>
      </c>
      <c r="E10" s="6">
        <f>(Tableau2[[#This Row],[Magnification (K)]]*Tableau2[[#This Row],[L (nm)]])^2*10^(-6)</f>
        <v>625</v>
      </c>
      <c r="F10" s="6">
        <v>5</v>
      </c>
      <c r="G10" s="17">
        <v>0.75970320327898189</v>
      </c>
      <c r="H10" s="6">
        <v>1.74</v>
      </c>
      <c r="I10" s="17">
        <v>1.3218835737054284</v>
      </c>
      <c r="K10" s="19"/>
    </row>
    <row r="11" spans="1:11" x14ac:dyDescent="0.3">
      <c r="A11" s="6">
        <v>2.2000000000000002</v>
      </c>
      <c r="B11" s="6" t="s">
        <v>23</v>
      </c>
      <c r="C11" s="6">
        <v>200</v>
      </c>
      <c r="D11" s="6">
        <v>250</v>
      </c>
      <c r="E11" s="6">
        <f>(Tableau2[[#This Row],[Magnification (K)]]*Tableau2[[#This Row],[L (nm)]])^2*10^(-6)</f>
        <v>2500</v>
      </c>
      <c r="F11" s="6">
        <v>5</v>
      </c>
      <c r="G11" s="17">
        <v>0.18992580081974547</v>
      </c>
      <c r="H11" s="6">
        <v>3.54</v>
      </c>
      <c r="I11" s="17">
        <v>0.67233733490189895</v>
      </c>
      <c r="K11" s="18"/>
    </row>
    <row r="12" spans="1:11" x14ac:dyDescent="0.3">
      <c r="A12" s="6" t="s">
        <v>66</v>
      </c>
      <c r="B12" s="6" t="s">
        <v>23</v>
      </c>
      <c r="C12" s="6">
        <v>200</v>
      </c>
      <c r="D12" s="6">
        <v>250</v>
      </c>
      <c r="E12" s="6">
        <f>(Tableau2[[#This Row],[Magnification (K)]]*Tableau2[[#This Row],[L (nm)]])^2*10^(-6)</f>
        <v>2500</v>
      </c>
      <c r="F12" s="6">
        <v>5</v>
      </c>
      <c r="G12" s="6">
        <v>0.19</v>
      </c>
      <c r="H12" s="6">
        <v>2.89</v>
      </c>
      <c r="I12" s="17">
        <f>Tableau2[[#This Row],[Closure speed (nm/scan)]]*Tableau2[[#This Row],[Scan speed (scan/s)]]</f>
        <v>0.54910000000000003</v>
      </c>
    </row>
    <row r="13" spans="1:11" x14ac:dyDescent="0.3">
      <c r="A13" s="6">
        <v>2.1</v>
      </c>
      <c r="B13" s="6" t="s">
        <v>23</v>
      </c>
      <c r="C13" s="6">
        <v>200</v>
      </c>
      <c r="D13" s="6">
        <v>300</v>
      </c>
      <c r="E13" s="6">
        <f>(Tableau2[[#This Row],[Magnification (K)]]*Tableau2[[#This Row],[L (nm)]])^2*10^(-6)</f>
        <v>3600</v>
      </c>
      <c r="F13" s="6">
        <v>5</v>
      </c>
      <c r="G13" s="17">
        <v>0.13189291723593435</v>
      </c>
      <c r="H13" s="6">
        <v>4.33</v>
      </c>
      <c r="I13" s="17">
        <v>0.57109633163159579</v>
      </c>
    </row>
    <row r="14" spans="1:11" x14ac:dyDescent="0.3">
      <c r="A14" s="6">
        <v>2.2999999999999998</v>
      </c>
      <c r="B14" s="6" t="s">
        <v>23</v>
      </c>
      <c r="C14" s="6">
        <v>200</v>
      </c>
      <c r="D14" s="6">
        <v>300</v>
      </c>
      <c r="E14" s="6">
        <f>(Tableau2[[#This Row],[Magnification (K)]]*Tableau2[[#This Row],[L (nm)]])^2*10^(-6)</f>
        <v>3600</v>
      </c>
      <c r="F14" s="6">
        <v>5</v>
      </c>
      <c r="G14" s="17">
        <v>0.13189291723593435</v>
      </c>
      <c r="H14" s="6">
        <v>5.21</v>
      </c>
      <c r="I14" s="17">
        <v>0.68716209879921797</v>
      </c>
    </row>
    <row r="15" spans="1:11" x14ac:dyDescent="0.3">
      <c r="A15" s="6">
        <v>2.4</v>
      </c>
      <c r="B15" s="6" t="s">
        <v>23</v>
      </c>
      <c r="C15" s="6">
        <v>200</v>
      </c>
      <c r="D15" s="6">
        <v>300</v>
      </c>
      <c r="E15" s="6">
        <f>(Tableau2[[#This Row],[Magnification (K)]]*Tableau2[[#This Row],[L (nm)]])^2*10^(-6)</f>
        <v>3600</v>
      </c>
      <c r="F15" s="6">
        <v>5</v>
      </c>
      <c r="G15" s="17">
        <v>0.13189291723593435</v>
      </c>
      <c r="H15" s="6">
        <v>4.79</v>
      </c>
      <c r="I15" s="17">
        <v>0.63176707356012551</v>
      </c>
    </row>
    <row r="16" spans="1:11" x14ac:dyDescent="0.3">
      <c r="A16" s="6" t="s">
        <v>42</v>
      </c>
      <c r="B16" s="6" t="s">
        <v>23</v>
      </c>
      <c r="C16" s="6">
        <v>50</v>
      </c>
      <c r="D16" s="6">
        <v>1500</v>
      </c>
      <c r="E16" s="6">
        <f>(Tableau2[[#This Row],[Magnification (K)]]*Tableau2[[#This Row],[L (nm)]])^2*10^(-6)</f>
        <v>5625</v>
      </c>
      <c r="F16" s="6">
        <v>10</v>
      </c>
      <c r="G16" s="17">
        <f>30/350</f>
        <v>8.5714285714285715E-2</v>
      </c>
      <c r="H16" s="6">
        <v>0.35299999999999998</v>
      </c>
      <c r="I16" s="17">
        <f>Tableau2[[#This Row],[Closure speed (nm/scan)]]*Tableau2[[#This Row],[Scan speed (scan/s)]]</f>
        <v>3.0257142857142857E-2</v>
      </c>
    </row>
    <row r="17" spans="1:9" x14ac:dyDescent="0.3">
      <c r="A17" s="6" t="s">
        <v>51</v>
      </c>
      <c r="B17" s="6" t="s">
        <v>23</v>
      </c>
      <c r="C17" s="6">
        <v>100</v>
      </c>
      <c r="D17" s="6">
        <v>250</v>
      </c>
      <c r="E17" s="6">
        <f>(Tableau2[[#This Row],[Magnification (K)]]*Tableau2[[#This Row],[L (nm)]])^2*10^(-6)</f>
        <v>625</v>
      </c>
      <c r="F17" s="6">
        <v>10</v>
      </c>
      <c r="G17" s="6">
        <v>0.72</v>
      </c>
      <c r="H17" s="6">
        <v>2.2799999999999998</v>
      </c>
      <c r="I17" s="17">
        <f>Tableau2[[#This Row],[Closure speed (nm/scan)]]*Tableau2[[#This Row],[Scan speed (scan/s)]]</f>
        <v>1.6415999999999997</v>
      </c>
    </row>
    <row r="18" spans="1:9" x14ac:dyDescent="0.3">
      <c r="A18" s="6">
        <v>4.0999999999999996</v>
      </c>
      <c r="B18" s="6" t="s">
        <v>23</v>
      </c>
      <c r="C18" s="6">
        <v>100</v>
      </c>
      <c r="D18" s="6">
        <v>500</v>
      </c>
      <c r="E18" s="6">
        <f>(Tableau2[[#This Row],[Magnification (K)]]*Tableau2[[#This Row],[L (nm)]])^2*10^(-6)</f>
        <v>2500</v>
      </c>
      <c r="F18" s="6">
        <v>10</v>
      </c>
      <c r="G18" s="17">
        <v>0.18992580081974547</v>
      </c>
      <c r="H18" s="6">
        <v>0.99</v>
      </c>
      <c r="I18" s="17">
        <v>0.18802654281154801</v>
      </c>
    </row>
    <row r="19" spans="1:9" x14ac:dyDescent="0.3">
      <c r="A19" s="6" t="s">
        <v>66</v>
      </c>
      <c r="B19" s="6" t="s">
        <v>23</v>
      </c>
      <c r="C19" s="6">
        <v>100</v>
      </c>
      <c r="D19" s="6">
        <v>500</v>
      </c>
      <c r="E19" s="6">
        <f>(Tableau2[[#This Row],[Magnification (K)]]*Tableau2[[#This Row],[L (nm)]])^2*10^(-6)</f>
        <v>2500</v>
      </c>
      <c r="F19" s="6">
        <v>10</v>
      </c>
      <c r="G19" s="6">
        <v>0.19</v>
      </c>
      <c r="H19" s="6">
        <v>0.75</v>
      </c>
      <c r="I19" s="17">
        <f>Tableau2[[#This Row],[Closure speed (nm/scan)]]*Tableau2[[#This Row],[Scan speed (scan/s)]]</f>
        <v>0.14250000000000002</v>
      </c>
    </row>
    <row r="20" spans="1:9" x14ac:dyDescent="0.3">
      <c r="A20" s="6" t="s">
        <v>50</v>
      </c>
      <c r="B20" s="6" t="s">
        <v>23</v>
      </c>
      <c r="C20" s="6">
        <v>200</v>
      </c>
      <c r="D20" s="6">
        <v>250</v>
      </c>
      <c r="E20" s="6">
        <f>(Tableau2[[#This Row],[Magnification (K)]]*Tableau2[[#This Row],[L (nm)]])^2*10^(-6)</f>
        <v>2500</v>
      </c>
      <c r="F20" s="6">
        <v>10</v>
      </c>
      <c r="G20" s="6">
        <v>0.19</v>
      </c>
      <c r="H20" s="25">
        <v>3.77</v>
      </c>
      <c r="I20" s="17">
        <f>Tableau2[[#This Row],[Closure speed (nm/scan)]]*Tableau2[[#This Row],[Scan speed (scan/s)]]</f>
        <v>0.71630000000000005</v>
      </c>
    </row>
    <row r="21" spans="1:9" x14ac:dyDescent="0.3">
      <c r="A21" s="6" t="s">
        <v>66</v>
      </c>
      <c r="B21" s="6" t="s">
        <v>23</v>
      </c>
      <c r="C21" s="6">
        <v>200</v>
      </c>
      <c r="D21" s="6">
        <v>250</v>
      </c>
      <c r="E21" s="6">
        <f>(Tableau2[[#This Row],[Magnification (K)]]*Tableau2[[#This Row],[L (nm)]])^2*10^(-6)</f>
        <v>2500</v>
      </c>
      <c r="F21" s="6">
        <v>10</v>
      </c>
      <c r="G21" s="6">
        <v>0.19</v>
      </c>
      <c r="H21" s="25">
        <v>0.45240000000000002</v>
      </c>
      <c r="I21" s="17">
        <f>Tableau2[[#This Row],[Closure speed (nm/scan)]]*Tableau2[[#This Row],[Scan speed (scan/s)]]</f>
        <v>8.5956000000000005E-2</v>
      </c>
    </row>
    <row r="22" spans="1:9" x14ac:dyDescent="0.3">
      <c r="E22" s="6">
        <f>(Tableau2[[#This Row],[Magnification (K)]]*Tableau2[[#This Row],[L (nm)]])^2*10^(-6)</f>
        <v>0</v>
      </c>
      <c r="I22" s="17"/>
    </row>
    <row r="23" spans="1:9" x14ac:dyDescent="0.3">
      <c r="E23" s="6">
        <f>(Tableau2[[#This Row],[Magnification (K)]]*Tableau2[[#This Row],[L (nm)]])^2*10^(-6)</f>
        <v>0</v>
      </c>
      <c r="I23" s="17"/>
    </row>
    <row r="24" spans="1:9" x14ac:dyDescent="0.3">
      <c r="E24" s="6">
        <f>(Tableau2[[#This Row],[Magnification (K)]]*Tableau2[[#This Row],[L (nm)]])^2*10^(-6)</f>
        <v>0</v>
      </c>
      <c r="I24" s="17"/>
    </row>
    <row r="25" spans="1:9" x14ac:dyDescent="0.3">
      <c r="E25" s="6">
        <f>(Tableau2[[#This Row],[Magnification (K)]]*Tableau2[[#This Row],[L (nm)]])^2*10^(-6)</f>
        <v>0</v>
      </c>
      <c r="I25" s="17"/>
    </row>
    <row r="67" spans="10:10" x14ac:dyDescent="0.3">
      <c r="J67" s="21"/>
    </row>
  </sheetData>
  <pageMargins left="0.7" right="0.7" top="0.75" bottom="0.75" header="0.3" footer="0.3"/>
  <pageSetup paperSize="9" orientation="portrait" horizontalDpi="0" verticalDpi="0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3"/>
  <sheetViews>
    <sheetView topLeftCell="A31" workbookViewId="0">
      <selection activeCell="A31" sqref="A31:I51"/>
    </sheetView>
  </sheetViews>
  <sheetFormatPr baseColWidth="10" defaultRowHeight="15.6" x14ac:dyDescent="0.3"/>
  <sheetData>
    <row r="1" spans="1:7" x14ac:dyDescent="0.3">
      <c r="A1" t="s">
        <v>67</v>
      </c>
      <c r="B1" t="s">
        <v>68</v>
      </c>
      <c r="C1" t="s">
        <v>69</v>
      </c>
      <c r="D1" t="s">
        <v>70</v>
      </c>
      <c r="E1" t="s">
        <v>63</v>
      </c>
      <c r="F1" t="s">
        <v>72</v>
      </c>
      <c r="G1" t="s">
        <v>71</v>
      </c>
    </row>
    <row r="2" spans="1:7" x14ac:dyDescent="0.3">
      <c r="A2">
        <v>100</v>
      </c>
      <c r="B2">
        <v>250</v>
      </c>
      <c r="C2">
        <v>625</v>
      </c>
      <c r="D2">
        <v>5</v>
      </c>
      <c r="E2">
        <v>0.75970320327898189</v>
      </c>
      <c r="F2">
        <v>1.42</v>
      </c>
      <c r="G2">
        <v>1.0787785486561543</v>
      </c>
    </row>
    <row r="3" spans="1:7" x14ac:dyDescent="0.3">
      <c r="A3">
        <v>100</v>
      </c>
      <c r="B3">
        <v>250</v>
      </c>
      <c r="C3">
        <v>625</v>
      </c>
      <c r="D3">
        <v>5</v>
      </c>
      <c r="E3">
        <v>0.75970320327898189</v>
      </c>
      <c r="F3">
        <v>1.06</v>
      </c>
      <c r="G3">
        <v>0.80528539547572087</v>
      </c>
    </row>
    <row r="4" spans="1:7" x14ac:dyDescent="0.3">
      <c r="A4">
        <v>100</v>
      </c>
      <c r="B4">
        <v>300</v>
      </c>
      <c r="C4">
        <v>900</v>
      </c>
      <c r="D4">
        <v>5</v>
      </c>
      <c r="E4">
        <v>0.52757166894373742</v>
      </c>
      <c r="F4">
        <v>1.59</v>
      </c>
      <c r="G4">
        <v>0.8388389536205425</v>
      </c>
    </row>
    <row r="5" spans="1:7" x14ac:dyDescent="0.3">
      <c r="A5">
        <v>100</v>
      </c>
      <c r="B5">
        <v>375</v>
      </c>
      <c r="C5">
        <v>1406.25</v>
      </c>
      <c r="D5">
        <v>5</v>
      </c>
      <c r="E5">
        <v>0.34</v>
      </c>
      <c r="F5">
        <v>1.0900000000000001</v>
      </c>
      <c r="G5">
        <v>0.37060000000000004</v>
      </c>
    </row>
    <row r="6" spans="1:7" x14ac:dyDescent="0.3">
      <c r="A6">
        <v>100</v>
      </c>
      <c r="B6">
        <v>500</v>
      </c>
      <c r="C6">
        <v>2500</v>
      </c>
      <c r="D6">
        <v>5</v>
      </c>
      <c r="E6">
        <v>0.18992580081974547</v>
      </c>
      <c r="F6">
        <v>2.36</v>
      </c>
      <c r="G6">
        <v>0.4482248899345993</v>
      </c>
    </row>
    <row r="7" spans="1:7" x14ac:dyDescent="0.3">
      <c r="A7">
        <v>100</v>
      </c>
      <c r="B7">
        <v>750</v>
      </c>
      <c r="C7">
        <v>5625</v>
      </c>
      <c r="D7">
        <v>5</v>
      </c>
      <c r="E7">
        <v>8.4411467030997986E-2</v>
      </c>
      <c r="F7">
        <v>1.93</v>
      </c>
      <c r="G7">
        <v>0.1629141313698261</v>
      </c>
    </row>
    <row r="8" spans="1:7" x14ac:dyDescent="0.3">
      <c r="A8">
        <v>100</v>
      </c>
      <c r="B8">
        <v>250</v>
      </c>
      <c r="C8">
        <v>625</v>
      </c>
      <c r="D8">
        <v>10</v>
      </c>
      <c r="E8">
        <v>0.72</v>
      </c>
      <c r="F8">
        <v>2.2799999999999998</v>
      </c>
      <c r="G8">
        <v>1.6415999999999997</v>
      </c>
    </row>
    <row r="9" spans="1:7" x14ac:dyDescent="0.3">
      <c r="A9">
        <v>100</v>
      </c>
      <c r="B9">
        <v>500</v>
      </c>
      <c r="C9">
        <v>2500</v>
      </c>
      <c r="D9">
        <v>10</v>
      </c>
      <c r="E9">
        <v>0.18992580081974547</v>
      </c>
      <c r="F9">
        <v>0.99</v>
      </c>
      <c r="G9">
        <v>0.18802654281154801</v>
      </c>
    </row>
    <row r="10" spans="1:7" x14ac:dyDescent="0.3">
      <c r="A10">
        <v>100</v>
      </c>
      <c r="B10">
        <v>500</v>
      </c>
      <c r="C10">
        <v>2500</v>
      </c>
      <c r="D10">
        <v>10</v>
      </c>
      <c r="E10">
        <v>0.19</v>
      </c>
      <c r="F10">
        <v>0.75</v>
      </c>
      <c r="G10">
        <v>0.14250000000000002</v>
      </c>
    </row>
    <row r="30" spans="1:9" s="26" customFormat="1" x14ac:dyDescent="0.3"/>
    <row r="31" spans="1:9" x14ac:dyDescent="0.3">
      <c r="A31" t="s">
        <v>17</v>
      </c>
      <c r="B31" t="s">
        <v>37</v>
      </c>
      <c r="C31" t="s">
        <v>35</v>
      </c>
      <c r="D31" t="s">
        <v>33</v>
      </c>
      <c r="E31" t="s">
        <v>41</v>
      </c>
      <c r="F31" t="s">
        <v>34</v>
      </c>
      <c r="G31" t="s">
        <v>38</v>
      </c>
      <c r="H31" t="s">
        <v>40</v>
      </c>
      <c r="I31" t="s">
        <v>39</v>
      </c>
    </row>
    <row r="32" spans="1:9" x14ac:dyDescent="0.3">
      <c r="A32">
        <v>1.4</v>
      </c>
      <c r="B32" t="s">
        <v>22</v>
      </c>
      <c r="C32">
        <v>100</v>
      </c>
      <c r="D32">
        <v>250</v>
      </c>
      <c r="E32">
        <v>625</v>
      </c>
      <c r="F32">
        <v>5</v>
      </c>
      <c r="G32">
        <v>0.75970320327898189</v>
      </c>
      <c r="H32">
        <v>1.42</v>
      </c>
      <c r="I32">
        <v>1.0787785486561543</v>
      </c>
    </row>
    <row r="33" spans="1:9" x14ac:dyDescent="0.3">
      <c r="A33">
        <v>1.5</v>
      </c>
      <c r="B33" t="s">
        <v>23</v>
      </c>
      <c r="C33">
        <v>100</v>
      </c>
      <c r="D33">
        <v>250</v>
      </c>
      <c r="E33">
        <v>625</v>
      </c>
      <c r="F33">
        <v>5</v>
      </c>
      <c r="G33">
        <v>0.75970320327898189</v>
      </c>
      <c r="H33">
        <v>1.06</v>
      </c>
      <c r="I33">
        <v>0.80528539547572087</v>
      </c>
    </row>
    <row r="34" spans="1:9" x14ac:dyDescent="0.3">
      <c r="A34">
        <v>2.5</v>
      </c>
      <c r="B34" t="s">
        <v>23</v>
      </c>
      <c r="C34">
        <v>200</v>
      </c>
      <c r="D34">
        <v>125</v>
      </c>
      <c r="E34">
        <v>625</v>
      </c>
      <c r="F34">
        <v>5</v>
      </c>
      <c r="G34">
        <v>0.75970320327898189</v>
      </c>
      <c r="H34">
        <v>1.74</v>
      </c>
      <c r="I34">
        <v>1.3218835737054284</v>
      </c>
    </row>
    <row r="35" spans="1:9" x14ac:dyDescent="0.3">
      <c r="A35">
        <v>1.3</v>
      </c>
      <c r="B35" t="s">
        <v>23</v>
      </c>
      <c r="C35">
        <v>100</v>
      </c>
      <c r="D35">
        <v>300</v>
      </c>
      <c r="E35">
        <v>900</v>
      </c>
      <c r="F35">
        <v>5</v>
      </c>
      <c r="G35">
        <v>0.52757166894373742</v>
      </c>
      <c r="H35">
        <v>1.59</v>
      </c>
      <c r="I35">
        <v>0.8388389536205425</v>
      </c>
    </row>
    <row r="36" spans="1:9" x14ac:dyDescent="0.3">
      <c r="A36">
        <v>3.1</v>
      </c>
      <c r="B36" t="s">
        <v>23</v>
      </c>
      <c r="C36">
        <v>150</v>
      </c>
      <c r="D36">
        <v>300</v>
      </c>
      <c r="E36">
        <v>2025</v>
      </c>
      <c r="F36">
        <v>5</v>
      </c>
      <c r="G36">
        <v>0.23447629730832772</v>
      </c>
      <c r="H36">
        <v>2.59</v>
      </c>
      <c r="I36">
        <v>0.60729361002856874</v>
      </c>
    </row>
    <row r="37" spans="1:9" x14ac:dyDescent="0.3">
      <c r="A37" t="s">
        <v>66</v>
      </c>
      <c r="B37" t="s">
        <v>23</v>
      </c>
      <c r="C37">
        <v>100</v>
      </c>
      <c r="D37">
        <v>375</v>
      </c>
      <c r="E37">
        <v>1406.25</v>
      </c>
      <c r="F37">
        <v>5</v>
      </c>
      <c r="G37">
        <v>0.34</v>
      </c>
      <c r="H37">
        <v>1.0900000000000001</v>
      </c>
      <c r="I37">
        <v>0.37060000000000004</v>
      </c>
    </row>
    <row r="38" spans="1:9" x14ac:dyDescent="0.3">
      <c r="A38">
        <v>2.2000000000000002</v>
      </c>
      <c r="B38" t="s">
        <v>23</v>
      </c>
      <c r="C38">
        <v>200</v>
      </c>
      <c r="D38">
        <v>250</v>
      </c>
      <c r="E38">
        <v>2500</v>
      </c>
      <c r="F38">
        <v>5</v>
      </c>
      <c r="G38">
        <v>0.18992580081974547</v>
      </c>
      <c r="H38">
        <v>3.54</v>
      </c>
      <c r="I38">
        <v>0.67233733490189895</v>
      </c>
    </row>
    <row r="39" spans="1:9" x14ac:dyDescent="0.3">
      <c r="A39" t="s">
        <v>66</v>
      </c>
      <c r="B39" t="s">
        <v>23</v>
      </c>
      <c r="C39">
        <v>200</v>
      </c>
      <c r="D39">
        <v>250</v>
      </c>
      <c r="E39">
        <v>2500</v>
      </c>
      <c r="F39">
        <v>5</v>
      </c>
      <c r="G39">
        <v>0.19</v>
      </c>
      <c r="H39">
        <v>2.89</v>
      </c>
      <c r="I39">
        <v>0.54910000000000003</v>
      </c>
    </row>
    <row r="40" spans="1:9" x14ac:dyDescent="0.3">
      <c r="A40">
        <v>2.1</v>
      </c>
      <c r="B40" t="s">
        <v>23</v>
      </c>
      <c r="C40">
        <v>200</v>
      </c>
      <c r="D40">
        <v>300</v>
      </c>
      <c r="E40">
        <v>3600</v>
      </c>
      <c r="F40">
        <v>5</v>
      </c>
      <c r="G40">
        <v>0.13189291723593435</v>
      </c>
      <c r="H40">
        <v>4.33</v>
      </c>
      <c r="I40">
        <v>0.57109633163159579</v>
      </c>
    </row>
    <row r="41" spans="1:9" x14ac:dyDescent="0.3">
      <c r="A41">
        <v>3.2</v>
      </c>
      <c r="B41" t="s">
        <v>23</v>
      </c>
      <c r="C41">
        <v>150</v>
      </c>
      <c r="D41">
        <v>500</v>
      </c>
      <c r="E41">
        <v>5625</v>
      </c>
      <c r="F41">
        <v>5</v>
      </c>
      <c r="G41">
        <v>8.4411467030997986E-2</v>
      </c>
      <c r="H41">
        <v>3.61</v>
      </c>
      <c r="I41">
        <v>0.30472539598190274</v>
      </c>
    </row>
    <row r="42" spans="1:9" x14ac:dyDescent="0.3">
      <c r="A42">
        <v>1.2</v>
      </c>
      <c r="B42" t="s">
        <v>23</v>
      </c>
      <c r="C42">
        <v>100</v>
      </c>
      <c r="D42">
        <v>500</v>
      </c>
      <c r="E42">
        <v>2500</v>
      </c>
      <c r="F42">
        <v>5</v>
      </c>
      <c r="G42">
        <v>0.18992580081974547</v>
      </c>
      <c r="H42">
        <v>2.36</v>
      </c>
      <c r="I42">
        <v>0.4482248899345993</v>
      </c>
    </row>
    <row r="43" spans="1:9" x14ac:dyDescent="0.3">
      <c r="A43">
        <v>2.2999999999999998</v>
      </c>
      <c r="B43" t="s">
        <v>23</v>
      </c>
      <c r="C43">
        <v>200</v>
      </c>
      <c r="D43">
        <v>300</v>
      </c>
      <c r="E43">
        <v>3600</v>
      </c>
      <c r="F43">
        <v>5</v>
      </c>
      <c r="G43">
        <v>0.13189291723593435</v>
      </c>
      <c r="H43">
        <v>5.21</v>
      </c>
      <c r="I43">
        <v>0.68716209879921797</v>
      </c>
    </row>
    <row r="44" spans="1:9" x14ac:dyDescent="0.3">
      <c r="A44">
        <v>2.4</v>
      </c>
      <c r="B44" t="s">
        <v>23</v>
      </c>
      <c r="C44">
        <v>200</v>
      </c>
      <c r="D44">
        <v>300</v>
      </c>
      <c r="E44">
        <v>3600</v>
      </c>
      <c r="F44">
        <v>5</v>
      </c>
      <c r="G44">
        <v>0.13189291723593435</v>
      </c>
      <c r="H44">
        <v>4.79</v>
      </c>
      <c r="I44">
        <v>0.63176707356012551</v>
      </c>
    </row>
    <row r="45" spans="1:9" x14ac:dyDescent="0.3">
      <c r="A45" t="s">
        <v>20</v>
      </c>
      <c r="B45" t="s">
        <v>23</v>
      </c>
      <c r="C45">
        <v>100</v>
      </c>
      <c r="D45">
        <v>750</v>
      </c>
      <c r="E45">
        <v>5625</v>
      </c>
      <c r="F45">
        <v>5</v>
      </c>
      <c r="G45">
        <v>8.4411467030997986E-2</v>
      </c>
      <c r="H45">
        <v>1.93</v>
      </c>
      <c r="I45">
        <v>0.1629141313698261</v>
      </c>
    </row>
    <row r="46" spans="1:9" x14ac:dyDescent="0.3">
      <c r="A46" t="s">
        <v>50</v>
      </c>
      <c r="B46" t="s">
        <v>23</v>
      </c>
      <c r="C46">
        <v>200</v>
      </c>
      <c r="D46">
        <v>250</v>
      </c>
      <c r="E46">
        <v>2500</v>
      </c>
      <c r="F46">
        <v>10</v>
      </c>
      <c r="G46">
        <v>0.19</v>
      </c>
      <c r="H46">
        <v>3.77</v>
      </c>
      <c r="I46">
        <v>0.71630000000000005</v>
      </c>
    </row>
    <row r="47" spans="1:9" x14ac:dyDescent="0.3">
      <c r="A47" t="s">
        <v>51</v>
      </c>
      <c r="B47" t="s">
        <v>23</v>
      </c>
      <c r="C47">
        <v>100</v>
      </c>
      <c r="D47">
        <v>250</v>
      </c>
      <c r="E47">
        <v>625</v>
      </c>
      <c r="F47">
        <v>10</v>
      </c>
      <c r="G47">
        <v>0.72</v>
      </c>
      <c r="H47">
        <v>2.2799999999999998</v>
      </c>
      <c r="I47">
        <v>1.6415999999999997</v>
      </c>
    </row>
    <row r="48" spans="1:9" x14ac:dyDescent="0.3">
      <c r="A48">
        <v>4.0999999999999996</v>
      </c>
      <c r="B48" t="s">
        <v>23</v>
      </c>
      <c r="C48">
        <v>100</v>
      </c>
      <c r="D48">
        <v>500</v>
      </c>
      <c r="E48">
        <v>2500</v>
      </c>
      <c r="F48">
        <v>10</v>
      </c>
      <c r="G48">
        <v>0.18992580081974547</v>
      </c>
      <c r="H48">
        <v>0.99</v>
      </c>
      <c r="I48">
        <v>0.18802654281154801</v>
      </c>
    </row>
    <row r="49" spans="1:9" x14ac:dyDescent="0.3">
      <c r="A49" t="s">
        <v>66</v>
      </c>
      <c r="B49" t="s">
        <v>23</v>
      </c>
      <c r="C49">
        <v>100</v>
      </c>
      <c r="D49">
        <v>500</v>
      </c>
      <c r="E49">
        <v>2500</v>
      </c>
      <c r="F49">
        <v>10</v>
      </c>
      <c r="G49">
        <v>0.19</v>
      </c>
      <c r="H49">
        <v>0.75</v>
      </c>
      <c r="I49">
        <v>0.14250000000000002</v>
      </c>
    </row>
    <row r="50" spans="1:9" x14ac:dyDescent="0.3">
      <c r="A50" t="s">
        <v>66</v>
      </c>
      <c r="B50" t="s">
        <v>23</v>
      </c>
      <c r="C50">
        <v>200</v>
      </c>
      <c r="D50">
        <v>250</v>
      </c>
      <c r="E50">
        <v>2500</v>
      </c>
      <c r="F50">
        <v>10</v>
      </c>
      <c r="G50">
        <v>0.19</v>
      </c>
      <c r="H50">
        <v>0.45240000000000002</v>
      </c>
      <c r="I50">
        <v>8.5956000000000005E-2</v>
      </c>
    </row>
    <row r="51" spans="1:9" x14ac:dyDescent="0.3">
      <c r="A51" t="s">
        <v>42</v>
      </c>
      <c r="B51" t="s">
        <v>23</v>
      </c>
      <c r="C51">
        <v>50</v>
      </c>
      <c r="D51">
        <v>1500</v>
      </c>
      <c r="E51">
        <v>5625</v>
      </c>
      <c r="F51">
        <v>10</v>
      </c>
      <c r="G51">
        <v>8.5714285714285715E-2</v>
      </c>
      <c r="H51">
        <v>0.35299999999999998</v>
      </c>
      <c r="I51">
        <v>3.0257142857142857E-2</v>
      </c>
    </row>
    <row r="63" spans="1:9" s="26" customFormat="1" x14ac:dyDescent="0.3"/>
  </sheetData>
  <pageMargins left="0.7" right="0.7" top="0.75" bottom="0.75" header="0.3" footer="0.3"/>
  <pageSetup paperSize="9" orientation="portrait" horizontalDpi="0" verticalDpi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workbookViewId="0">
      <selection activeCell="P21" sqref="P21"/>
    </sheetView>
  </sheetViews>
  <sheetFormatPr baseColWidth="10" defaultRowHeight="15.6" x14ac:dyDescent="0.3"/>
  <sheetData>
    <row r="1" spans="1:9" x14ac:dyDescent="0.3">
      <c r="A1" t="s">
        <v>17</v>
      </c>
      <c r="B1" t="s">
        <v>37</v>
      </c>
      <c r="C1" t="s">
        <v>35</v>
      </c>
      <c r="D1" t="s">
        <v>33</v>
      </c>
      <c r="E1" t="s">
        <v>41</v>
      </c>
      <c r="F1" t="s">
        <v>34</v>
      </c>
      <c r="G1" t="s">
        <v>38</v>
      </c>
      <c r="H1" t="s">
        <v>40</v>
      </c>
      <c r="I1" t="s">
        <v>39</v>
      </c>
    </row>
    <row r="2" spans="1:9" x14ac:dyDescent="0.3">
      <c r="A2">
        <v>1.4</v>
      </c>
      <c r="B2" t="s">
        <v>22</v>
      </c>
      <c r="C2">
        <v>100</v>
      </c>
      <c r="D2">
        <v>250</v>
      </c>
      <c r="E2">
        <v>625</v>
      </c>
      <c r="F2">
        <v>5</v>
      </c>
      <c r="G2">
        <v>0.75970320327898189</v>
      </c>
      <c r="H2">
        <v>1.42</v>
      </c>
      <c r="I2">
        <v>1.0787785486561543</v>
      </c>
    </row>
    <row r="3" spans="1:9" x14ac:dyDescent="0.3">
      <c r="A3">
        <v>1.5</v>
      </c>
      <c r="B3" t="s">
        <v>23</v>
      </c>
      <c r="C3">
        <v>100</v>
      </c>
      <c r="D3">
        <v>250</v>
      </c>
      <c r="E3">
        <v>625</v>
      </c>
      <c r="F3">
        <v>5</v>
      </c>
      <c r="G3">
        <v>0.75970320327898189</v>
      </c>
      <c r="H3">
        <v>1.06</v>
      </c>
      <c r="I3">
        <v>0.80528539547572087</v>
      </c>
    </row>
    <row r="4" spans="1:9" x14ac:dyDescent="0.3">
      <c r="A4">
        <v>2.5</v>
      </c>
      <c r="B4" t="s">
        <v>23</v>
      </c>
      <c r="C4">
        <v>200</v>
      </c>
      <c r="D4">
        <v>125</v>
      </c>
      <c r="E4">
        <v>625</v>
      </c>
      <c r="F4">
        <v>5</v>
      </c>
      <c r="G4">
        <v>0.75970320327898189</v>
      </c>
      <c r="H4">
        <v>1.74</v>
      </c>
      <c r="I4">
        <v>1.3218835737054284</v>
      </c>
    </row>
    <row r="5" spans="1:9" x14ac:dyDescent="0.3">
      <c r="A5">
        <v>1.3</v>
      </c>
      <c r="B5" t="s">
        <v>23</v>
      </c>
      <c r="C5">
        <v>100</v>
      </c>
      <c r="D5">
        <v>300</v>
      </c>
      <c r="E5">
        <v>900</v>
      </c>
      <c r="F5">
        <v>5</v>
      </c>
      <c r="G5">
        <v>0.52757166894373742</v>
      </c>
      <c r="H5">
        <v>1.59</v>
      </c>
      <c r="I5">
        <v>0.8388389536205425</v>
      </c>
    </row>
    <row r="6" spans="1:9" x14ac:dyDescent="0.3">
      <c r="A6">
        <v>3.1</v>
      </c>
      <c r="B6" t="s">
        <v>23</v>
      </c>
      <c r="C6">
        <v>150</v>
      </c>
      <c r="D6">
        <v>300</v>
      </c>
      <c r="E6">
        <v>2025</v>
      </c>
      <c r="F6">
        <v>5</v>
      </c>
      <c r="G6">
        <v>0.23447629730832772</v>
      </c>
      <c r="H6">
        <v>2.59</v>
      </c>
      <c r="I6">
        <v>0.60729361002856874</v>
      </c>
    </row>
    <row r="7" spans="1:9" x14ac:dyDescent="0.3">
      <c r="A7" t="s">
        <v>66</v>
      </c>
      <c r="B7" t="s">
        <v>23</v>
      </c>
      <c r="C7">
        <v>100</v>
      </c>
      <c r="D7">
        <v>375</v>
      </c>
      <c r="E7">
        <v>1406.25</v>
      </c>
      <c r="F7">
        <v>5</v>
      </c>
      <c r="G7">
        <v>0.34</v>
      </c>
      <c r="H7">
        <v>1.0900000000000001</v>
      </c>
      <c r="I7">
        <v>0.37060000000000004</v>
      </c>
    </row>
    <row r="8" spans="1:9" x14ac:dyDescent="0.3">
      <c r="A8">
        <v>2.2000000000000002</v>
      </c>
      <c r="B8" t="s">
        <v>23</v>
      </c>
      <c r="C8">
        <v>200</v>
      </c>
      <c r="D8">
        <v>250</v>
      </c>
      <c r="E8">
        <v>2500</v>
      </c>
      <c r="F8">
        <v>5</v>
      </c>
      <c r="G8">
        <v>0.18992580081974547</v>
      </c>
      <c r="H8">
        <v>3.54</v>
      </c>
      <c r="I8">
        <v>0.67233733490189895</v>
      </c>
    </row>
    <row r="9" spans="1:9" x14ac:dyDescent="0.3">
      <c r="A9" t="s">
        <v>66</v>
      </c>
      <c r="B9" t="s">
        <v>23</v>
      </c>
      <c r="C9">
        <v>200</v>
      </c>
      <c r="D9">
        <v>250</v>
      </c>
      <c r="E9">
        <v>2500</v>
      </c>
      <c r="F9">
        <v>5</v>
      </c>
      <c r="G9">
        <v>0.19</v>
      </c>
      <c r="H9">
        <v>2.89</v>
      </c>
      <c r="I9">
        <v>0.54910000000000003</v>
      </c>
    </row>
    <row r="10" spans="1:9" x14ac:dyDescent="0.3">
      <c r="A10">
        <v>2.1</v>
      </c>
      <c r="B10" t="s">
        <v>23</v>
      </c>
      <c r="C10">
        <v>200</v>
      </c>
      <c r="D10">
        <v>300</v>
      </c>
      <c r="E10">
        <v>3600</v>
      </c>
      <c r="F10">
        <v>5</v>
      </c>
      <c r="G10">
        <v>0.13189291723593435</v>
      </c>
      <c r="H10">
        <v>4.33</v>
      </c>
      <c r="I10">
        <v>0.57109633163159579</v>
      </c>
    </row>
    <row r="11" spans="1:9" x14ac:dyDescent="0.3">
      <c r="A11">
        <v>3.2</v>
      </c>
      <c r="B11" t="s">
        <v>23</v>
      </c>
      <c r="C11">
        <v>150</v>
      </c>
      <c r="D11">
        <v>500</v>
      </c>
      <c r="E11">
        <v>5625</v>
      </c>
      <c r="F11">
        <v>5</v>
      </c>
      <c r="G11">
        <v>8.4411467030997986E-2</v>
      </c>
      <c r="H11">
        <v>3.61</v>
      </c>
      <c r="I11">
        <v>0.30472539598190274</v>
      </c>
    </row>
    <row r="12" spans="1:9" x14ac:dyDescent="0.3">
      <c r="A12">
        <v>1.2</v>
      </c>
      <c r="B12" t="s">
        <v>23</v>
      </c>
      <c r="C12">
        <v>100</v>
      </c>
      <c r="D12">
        <v>500</v>
      </c>
      <c r="E12">
        <v>2500</v>
      </c>
      <c r="F12">
        <v>5</v>
      </c>
      <c r="G12">
        <v>0.18992580081974547</v>
      </c>
      <c r="H12">
        <v>2.36</v>
      </c>
      <c r="I12">
        <v>0.4482248899345993</v>
      </c>
    </row>
    <row r="13" spans="1:9" x14ac:dyDescent="0.3">
      <c r="A13">
        <v>2.2999999999999998</v>
      </c>
      <c r="B13" t="s">
        <v>23</v>
      </c>
      <c r="C13">
        <v>200</v>
      </c>
      <c r="D13">
        <v>300</v>
      </c>
      <c r="E13">
        <v>3600</v>
      </c>
      <c r="F13">
        <v>5</v>
      </c>
      <c r="G13">
        <v>0.13189291723593435</v>
      </c>
      <c r="H13">
        <v>5.21</v>
      </c>
      <c r="I13">
        <v>0.68716209879921797</v>
      </c>
    </row>
    <row r="14" spans="1:9" x14ac:dyDescent="0.3">
      <c r="A14">
        <v>2.4</v>
      </c>
      <c r="B14" t="s">
        <v>23</v>
      </c>
      <c r="C14">
        <v>200</v>
      </c>
      <c r="D14">
        <v>300</v>
      </c>
      <c r="E14">
        <v>3600</v>
      </c>
      <c r="F14">
        <v>5</v>
      </c>
      <c r="G14">
        <v>0.13189291723593435</v>
      </c>
      <c r="H14">
        <v>4.79</v>
      </c>
      <c r="I14">
        <v>0.63176707356012551</v>
      </c>
    </row>
    <row r="15" spans="1:9" x14ac:dyDescent="0.3">
      <c r="A15" t="s">
        <v>20</v>
      </c>
      <c r="B15" t="s">
        <v>23</v>
      </c>
      <c r="C15">
        <v>100</v>
      </c>
      <c r="D15">
        <v>750</v>
      </c>
      <c r="E15">
        <v>5625</v>
      </c>
      <c r="F15">
        <v>5</v>
      </c>
      <c r="G15">
        <v>8.4411467030997986E-2</v>
      </c>
      <c r="H15">
        <v>1.93</v>
      </c>
      <c r="I15">
        <v>0.1629141313698261</v>
      </c>
    </row>
    <row r="16" spans="1:9" x14ac:dyDescent="0.3">
      <c r="A16" t="s">
        <v>50</v>
      </c>
      <c r="B16" t="s">
        <v>23</v>
      </c>
      <c r="C16">
        <v>200</v>
      </c>
      <c r="D16">
        <v>250</v>
      </c>
      <c r="E16">
        <v>2500</v>
      </c>
      <c r="F16">
        <v>10</v>
      </c>
      <c r="G16">
        <v>0.19</v>
      </c>
      <c r="H16">
        <v>3.77</v>
      </c>
      <c r="I16">
        <v>0.71630000000000005</v>
      </c>
    </row>
    <row r="17" spans="1:9" x14ac:dyDescent="0.3">
      <c r="A17" t="s">
        <v>51</v>
      </c>
      <c r="B17" t="s">
        <v>23</v>
      </c>
      <c r="C17">
        <v>100</v>
      </c>
      <c r="D17">
        <v>250</v>
      </c>
      <c r="E17">
        <v>625</v>
      </c>
      <c r="F17">
        <v>10</v>
      </c>
      <c r="G17">
        <v>0.72</v>
      </c>
      <c r="H17">
        <v>2.2799999999999998</v>
      </c>
      <c r="I17">
        <v>1.6415999999999997</v>
      </c>
    </row>
    <row r="18" spans="1:9" x14ac:dyDescent="0.3">
      <c r="A18">
        <v>4.0999999999999996</v>
      </c>
      <c r="B18" t="s">
        <v>23</v>
      </c>
      <c r="C18">
        <v>100</v>
      </c>
      <c r="D18">
        <v>500</v>
      </c>
      <c r="E18">
        <v>2500</v>
      </c>
      <c r="F18">
        <v>10</v>
      </c>
      <c r="G18">
        <v>0.18992580081974547</v>
      </c>
      <c r="H18">
        <v>0.99</v>
      </c>
      <c r="I18">
        <v>0.18802654281154801</v>
      </c>
    </row>
    <row r="19" spans="1:9" x14ac:dyDescent="0.3">
      <c r="A19" t="s">
        <v>66</v>
      </c>
      <c r="B19" t="s">
        <v>23</v>
      </c>
      <c r="C19">
        <v>100</v>
      </c>
      <c r="D19">
        <v>500</v>
      </c>
      <c r="E19">
        <v>2500</v>
      </c>
      <c r="F19">
        <v>10</v>
      </c>
      <c r="G19">
        <v>0.19</v>
      </c>
      <c r="H19">
        <v>0.75</v>
      </c>
      <c r="I19">
        <v>0.14250000000000002</v>
      </c>
    </row>
    <row r="20" spans="1:9" x14ac:dyDescent="0.3">
      <c r="A20" t="s">
        <v>66</v>
      </c>
      <c r="B20" t="s">
        <v>23</v>
      </c>
      <c r="C20">
        <v>200</v>
      </c>
      <c r="D20">
        <v>250</v>
      </c>
      <c r="E20">
        <v>2500</v>
      </c>
      <c r="F20">
        <v>10</v>
      </c>
      <c r="G20">
        <v>0.19</v>
      </c>
      <c r="H20">
        <v>0.45240000000000002</v>
      </c>
      <c r="I20">
        <v>8.5956000000000005E-2</v>
      </c>
    </row>
    <row r="21" spans="1:9" x14ac:dyDescent="0.3">
      <c r="A21" t="s">
        <v>42</v>
      </c>
      <c r="B21" t="s">
        <v>23</v>
      </c>
      <c r="C21">
        <v>50</v>
      </c>
      <c r="D21">
        <v>1500</v>
      </c>
      <c r="E21">
        <v>5625</v>
      </c>
      <c r="F21">
        <v>10</v>
      </c>
      <c r="G21">
        <v>8.5714285714285715E-2</v>
      </c>
      <c r="H21">
        <v>0.35299999999999998</v>
      </c>
      <c r="I21">
        <v>3.0257142857142857E-2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abSelected="1" workbookViewId="0">
      <selection activeCell="D10" sqref="D10"/>
    </sheetView>
  </sheetViews>
  <sheetFormatPr baseColWidth="10" defaultColWidth="10.796875" defaultRowHeight="15.6" x14ac:dyDescent="0.3"/>
  <cols>
    <col min="1" max="1" width="10.796875" style="28"/>
    <col min="2" max="2" width="10.796875" style="27"/>
    <col min="3" max="3" width="10.796875" style="28"/>
    <col min="4" max="16384" width="10.796875" style="27"/>
  </cols>
  <sheetData>
    <row r="1" spans="1:7" x14ac:dyDescent="0.3">
      <c r="A1" s="28" t="s">
        <v>35</v>
      </c>
      <c r="B1" s="27" t="s">
        <v>33</v>
      </c>
      <c r="D1" s="27" t="s">
        <v>34</v>
      </c>
      <c r="E1" s="27" t="s">
        <v>38</v>
      </c>
      <c r="F1" s="27" t="s">
        <v>40</v>
      </c>
      <c r="G1" s="27" t="s">
        <v>39</v>
      </c>
    </row>
    <row r="2" spans="1:7" x14ac:dyDescent="0.3">
      <c r="A2" s="28">
        <v>100</v>
      </c>
      <c r="B2" s="27">
        <v>250</v>
      </c>
      <c r="D2" s="27">
        <v>5</v>
      </c>
      <c r="E2" s="27">
        <v>0.75970320327898189</v>
      </c>
      <c r="F2" s="27">
        <v>1.42</v>
      </c>
      <c r="G2" s="27">
        <v>1.0787785486561543</v>
      </c>
    </row>
    <row r="3" spans="1:7" x14ac:dyDescent="0.3">
      <c r="A3" s="28">
        <v>100</v>
      </c>
      <c r="B3" s="27">
        <v>250</v>
      </c>
      <c r="D3" s="27">
        <v>5</v>
      </c>
      <c r="E3" s="27">
        <v>0.75970320327898189</v>
      </c>
      <c r="F3" s="27">
        <v>1.06</v>
      </c>
      <c r="G3" s="27">
        <v>0.80528539547572087</v>
      </c>
    </row>
    <row r="4" spans="1:7" x14ac:dyDescent="0.3">
      <c r="A4" s="28">
        <v>100</v>
      </c>
      <c r="B4" s="27">
        <v>300</v>
      </c>
      <c r="D4" s="27">
        <v>5</v>
      </c>
      <c r="E4" s="27">
        <v>0.52757166894373742</v>
      </c>
      <c r="F4" s="27">
        <v>1.59</v>
      </c>
      <c r="G4" s="27">
        <v>0.8388389536205425</v>
      </c>
    </row>
    <row r="5" spans="1:7" x14ac:dyDescent="0.3">
      <c r="A5" s="28">
        <v>100</v>
      </c>
      <c r="B5" s="27">
        <v>375</v>
      </c>
      <c r="D5" s="27">
        <v>5</v>
      </c>
      <c r="E5" s="27">
        <v>0.34</v>
      </c>
      <c r="F5" s="27">
        <v>1.0900000000000001</v>
      </c>
      <c r="G5" s="27">
        <v>0.37060000000000004</v>
      </c>
    </row>
    <row r="6" spans="1:7" x14ac:dyDescent="0.3">
      <c r="A6" s="28">
        <v>100</v>
      </c>
      <c r="B6" s="27">
        <v>500</v>
      </c>
      <c r="D6" s="27">
        <v>5</v>
      </c>
      <c r="E6" s="27">
        <v>0.18992580081974547</v>
      </c>
      <c r="F6" s="27">
        <v>2.36</v>
      </c>
      <c r="G6" s="27">
        <v>0.4482248899345993</v>
      </c>
    </row>
    <row r="7" spans="1:7" x14ac:dyDescent="0.3">
      <c r="A7" s="28">
        <v>100</v>
      </c>
      <c r="B7" s="27">
        <v>750</v>
      </c>
      <c r="D7" s="27">
        <v>5</v>
      </c>
      <c r="E7" s="27">
        <v>8.4411467030997986E-2</v>
      </c>
      <c r="F7" s="27">
        <v>1.93</v>
      </c>
      <c r="G7" s="27">
        <v>0.1629141313698261</v>
      </c>
    </row>
    <row r="8" spans="1:7" x14ac:dyDescent="0.3">
      <c r="A8" s="28">
        <v>150</v>
      </c>
      <c r="B8" s="27">
        <v>300</v>
      </c>
      <c r="D8" s="27">
        <v>5</v>
      </c>
      <c r="E8" s="27">
        <v>0.23447629730832772</v>
      </c>
      <c r="F8" s="27">
        <v>2.59</v>
      </c>
      <c r="G8" s="27">
        <v>0.60729361002856874</v>
      </c>
    </row>
    <row r="9" spans="1:7" x14ac:dyDescent="0.3">
      <c r="A9" s="28">
        <v>150</v>
      </c>
      <c r="B9" s="27">
        <v>500</v>
      </c>
      <c r="D9" s="27">
        <v>5</v>
      </c>
      <c r="E9" s="27">
        <v>8.4411467030997986E-2</v>
      </c>
      <c r="F9" s="27">
        <v>3.61</v>
      </c>
      <c r="G9" s="27">
        <v>0.30472539598190274</v>
      </c>
    </row>
    <row r="10" spans="1:7" x14ac:dyDescent="0.3">
      <c r="A10" s="28">
        <v>200</v>
      </c>
      <c r="B10" s="27">
        <v>125</v>
      </c>
      <c r="D10" s="27">
        <v>5</v>
      </c>
      <c r="E10" s="27">
        <v>0.75970320327898189</v>
      </c>
      <c r="F10" s="27">
        <v>1.74</v>
      </c>
      <c r="G10" s="27">
        <v>1.3218835737054284</v>
      </c>
    </row>
    <row r="11" spans="1:7" x14ac:dyDescent="0.3">
      <c r="A11" s="28">
        <v>200</v>
      </c>
      <c r="B11" s="27">
        <v>250</v>
      </c>
      <c r="D11" s="27">
        <v>5</v>
      </c>
      <c r="E11" s="27">
        <v>0.18992580081974547</v>
      </c>
      <c r="F11" s="27">
        <v>3.54</v>
      </c>
      <c r="G11" s="27">
        <v>0.67233733490189895</v>
      </c>
    </row>
    <row r="12" spans="1:7" x14ac:dyDescent="0.3">
      <c r="A12" s="28">
        <v>200</v>
      </c>
      <c r="B12" s="27">
        <v>250</v>
      </c>
      <c r="D12" s="27">
        <v>5</v>
      </c>
      <c r="E12" s="27">
        <v>0.19</v>
      </c>
      <c r="F12" s="27">
        <v>2.89</v>
      </c>
      <c r="G12" s="27">
        <v>0.54910000000000003</v>
      </c>
    </row>
    <row r="13" spans="1:7" x14ac:dyDescent="0.3">
      <c r="A13" s="28">
        <v>200</v>
      </c>
      <c r="B13" s="27">
        <v>300</v>
      </c>
      <c r="D13" s="27">
        <v>5</v>
      </c>
      <c r="E13" s="27">
        <v>0.13189291723593435</v>
      </c>
      <c r="F13" s="27">
        <v>4.33</v>
      </c>
      <c r="G13" s="27">
        <v>0.57109633163159579</v>
      </c>
    </row>
    <row r="14" spans="1:7" x14ac:dyDescent="0.3">
      <c r="A14" s="28">
        <v>200</v>
      </c>
      <c r="B14" s="27">
        <v>300</v>
      </c>
      <c r="D14" s="27">
        <v>5</v>
      </c>
      <c r="E14" s="27">
        <v>0.13189291723593435</v>
      </c>
      <c r="F14" s="27">
        <v>5.21</v>
      </c>
      <c r="G14" s="27">
        <v>0.68716209879921797</v>
      </c>
    </row>
    <row r="15" spans="1:7" x14ac:dyDescent="0.3">
      <c r="A15" s="28">
        <v>200</v>
      </c>
      <c r="B15" s="27">
        <v>300</v>
      </c>
      <c r="D15" s="27">
        <v>5</v>
      </c>
      <c r="E15" s="27">
        <v>0.13189291723593435</v>
      </c>
      <c r="F15" s="27">
        <v>4.79</v>
      </c>
      <c r="G15" s="27">
        <v>0.63176707356012551</v>
      </c>
    </row>
    <row r="16" spans="1:7" x14ac:dyDescent="0.3">
      <c r="A16" s="28">
        <v>50</v>
      </c>
      <c r="B16" s="27">
        <v>1500</v>
      </c>
      <c r="D16" s="27">
        <v>10</v>
      </c>
      <c r="E16" s="27">
        <v>8.5714285714285715E-2</v>
      </c>
      <c r="F16" s="27">
        <v>0.35299999999999998</v>
      </c>
      <c r="G16" s="27">
        <v>3.0257142857142857E-2</v>
      </c>
    </row>
    <row r="17" spans="1:7" x14ac:dyDescent="0.3">
      <c r="A17" s="28">
        <v>100</v>
      </c>
      <c r="B17" s="27">
        <v>250</v>
      </c>
      <c r="D17" s="27">
        <v>10</v>
      </c>
      <c r="E17" s="27">
        <v>0.72</v>
      </c>
      <c r="F17" s="27">
        <v>2.2799999999999998</v>
      </c>
      <c r="G17" s="27">
        <v>1.6415999999999997</v>
      </c>
    </row>
    <row r="18" spans="1:7" x14ac:dyDescent="0.3">
      <c r="A18" s="28">
        <v>100</v>
      </c>
      <c r="B18" s="27">
        <v>500</v>
      </c>
      <c r="D18" s="27">
        <v>10</v>
      </c>
      <c r="E18" s="27">
        <v>0.18992580081974547</v>
      </c>
      <c r="F18" s="27">
        <v>0.99</v>
      </c>
      <c r="G18" s="27">
        <v>0.18802654281154801</v>
      </c>
    </row>
    <row r="19" spans="1:7" x14ac:dyDescent="0.3">
      <c r="A19" s="28">
        <v>100</v>
      </c>
      <c r="B19" s="27">
        <v>500</v>
      </c>
      <c r="D19" s="27">
        <v>10</v>
      </c>
      <c r="E19" s="27">
        <v>0.19</v>
      </c>
      <c r="F19" s="27">
        <v>0.75</v>
      </c>
      <c r="G19" s="27">
        <v>0.14250000000000002</v>
      </c>
    </row>
    <row r="20" spans="1:7" x14ac:dyDescent="0.3">
      <c r="A20" s="28">
        <v>200</v>
      </c>
      <c r="B20" s="27">
        <v>250</v>
      </c>
      <c r="D20" s="27">
        <v>10</v>
      </c>
      <c r="E20" s="27">
        <v>0.19</v>
      </c>
      <c r="F20" s="27">
        <v>3.77</v>
      </c>
      <c r="G20" s="27">
        <v>0.71630000000000005</v>
      </c>
    </row>
    <row r="21" spans="1:7" x14ac:dyDescent="0.3">
      <c r="A21" s="28">
        <v>200</v>
      </c>
      <c r="B21" s="27">
        <v>250</v>
      </c>
      <c r="D21" s="27">
        <v>10</v>
      </c>
      <c r="E21" s="27">
        <v>0.19</v>
      </c>
      <c r="F21" s="27">
        <v>0.45240000000000002</v>
      </c>
      <c r="G21" s="27">
        <v>8.5956000000000005E-2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Feuil2</vt:lpstr>
      <vt:lpstr>Courbes</vt:lpstr>
      <vt:lpstr>Repeatability</vt:lpstr>
      <vt:lpstr>Calculs</vt:lpstr>
      <vt:lpstr>Closure speed</vt:lpstr>
      <vt:lpstr>Feuil3</vt:lpstr>
      <vt:lpstr>Feuil4</vt:lpstr>
      <vt:lpstr>Graphes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Adrien</cp:lastModifiedBy>
  <dcterms:created xsi:type="dcterms:W3CDTF">2016-08-01T01:06:39Z</dcterms:created>
  <dcterms:modified xsi:type="dcterms:W3CDTF">2016-08-12T08:48:23Z</dcterms:modified>
</cp:coreProperties>
</file>