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Volumes/MacData/Users/clemencebriosnefrejaville/Desktop/GitHubAustralie/Synthèse-Experiences/"/>
    </mc:Choice>
  </mc:AlternateContent>
  <bookViews>
    <workbookView xWindow="0" yWindow="460" windowWidth="25600" windowHeight="14620" tabRatio="500" activeTab="4"/>
  </bookViews>
  <sheets>
    <sheet name="Feuil2" sheetId="2" r:id="rId1"/>
    <sheet name="Courbes" sheetId="1" r:id="rId2"/>
    <sheet name="Repeatability" sheetId="5" r:id="rId3"/>
    <sheet name="Calculs" sheetId="3" r:id="rId4"/>
    <sheet name="Feuil4" sheetId="4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4" i="1" l="1"/>
  <c r="B21" i="3"/>
  <c r="B20" i="3"/>
  <c r="I17" i="4"/>
  <c r="I16" i="4"/>
  <c r="B292" i="1"/>
  <c r="B293" i="1"/>
  <c r="B294" i="1"/>
  <c r="B295" i="1"/>
  <c r="B296" i="1"/>
  <c r="B291" i="1"/>
  <c r="P128" i="1"/>
  <c r="P129" i="1"/>
  <c r="P127" i="1"/>
  <c r="I4" i="4"/>
  <c r="C269" i="1"/>
  <c r="C282" i="1"/>
  <c r="C281" i="1"/>
  <c r="C280" i="1"/>
  <c r="C279" i="1"/>
  <c r="C278" i="1"/>
  <c r="C277" i="1"/>
  <c r="C276" i="1"/>
  <c r="C275" i="1"/>
  <c r="C270" i="1"/>
  <c r="C271" i="1"/>
  <c r="C272" i="1"/>
  <c r="C273" i="1"/>
  <c r="C274" i="1"/>
  <c r="G268" i="1"/>
  <c r="G269" i="1"/>
  <c r="G4" i="4"/>
  <c r="E13" i="4"/>
  <c r="E14" i="4"/>
  <c r="E12" i="4"/>
  <c r="E15" i="4"/>
  <c r="E8" i="4"/>
  <c r="E9" i="4"/>
  <c r="E11" i="4"/>
  <c r="E5" i="4"/>
  <c r="E6" i="4"/>
  <c r="E7" i="4"/>
  <c r="E2" i="4"/>
  <c r="E10" i="4"/>
  <c r="E3" i="4"/>
  <c r="E4" i="4"/>
  <c r="E16" i="4"/>
  <c r="E17" i="4"/>
  <c r="E18" i="4"/>
  <c r="E19" i="4"/>
  <c r="E20" i="4"/>
  <c r="E21" i="4"/>
  <c r="B3" i="3"/>
  <c r="F3" i="3"/>
  <c r="H3" i="3"/>
  <c r="B4" i="3"/>
  <c r="F4" i="3"/>
  <c r="H4" i="3"/>
  <c r="B5" i="3"/>
  <c r="F5" i="3"/>
  <c r="H5" i="3"/>
  <c r="B6" i="3"/>
  <c r="F6" i="3"/>
  <c r="H6" i="3"/>
  <c r="B7" i="3"/>
  <c r="F7" i="3"/>
  <c r="H7" i="3"/>
  <c r="B8" i="3"/>
  <c r="F8" i="3"/>
  <c r="H8" i="3"/>
  <c r="B9" i="3"/>
  <c r="F9" i="3"/>
  <c r="H9" i="3"/>
  <c r="B10" i="3"/>
  <c r="F10" i="3"/>
  <c r="H10" i="3"/>
  <c r="B11" i="3"/>
  <c r="F11" i="3"/>
  <c r="H11" i="3"/>
  <c r="B12" i="3"/>
  <c r="F12" i="3"/>
  <c r="H12" i="3"/>
  <c r="B13" i="3"/>
  <c r="F13" i="3"/>
  <c r="H13" i="3"/>
  <c r="B15" i="3"/>
  <c r="F15" i="3"/>
  <c r="H15" i="3"/>
  <c r="B2" i="3"/>
  <c r="F2" i="3"/>
  <c r="H2" i="3"/>
  <c r="B14" i="3"/>
  <c r="F14" i="3"/>
  <c r="O31" i="1"/>
  <c r="N2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I9" i="1"/>
  <c r="M9" i="1"/>
  <c r="S12" i="1"/>
  <c r="M2" i="1"/>
  <c r="M3" i="1"/>
  <c r="M4" i="1"/>
  <c r="M5" i="1"/>
  <c r="M6" i="1"/>
  <c r="M7" i="1"/>
  <c r="M8" i="1"/>
  <c r="I10" i="1"/>
  <c r="M10" i="1"/>
  <c r="I11" i="1"/>
  <c r="M11" i="1"/>
  <c r="I12" i="1"/>
  <c r="M12" i="1"/>
  <c r="I13" i="1"/>
  <c r="M13" i="1"/>
  <c r="I14" i="1"/>
  <c r="M14" i="1"/>
  <c r="I15" i="1"/>
  <c r="M15" i="1"/>
  <c r="M16" i="1"/>
  <c r="M17" i="1"/>
  <c r="M18" i="1"/>
  <c r="M19" i="1"/>
  <c r="M20" i="1"/>
  <c r="M21" i="1"/>
  <c r="M22" i="1"/>
  <c r="M2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L24" i="1"/>
  <c r="L10" i="1"/>
  <c r="L11" i="1"/>
  <c r="L12" i="1"/>
  <c r="L13" i="1"/>
  <c r="L14" i="1"/>
  <c r="L15" i="1"/>
  <c r="L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J9" i="1"/>
  <c r="J10" i="1"/>
  <c r="J11" i="1"/>
  <c r="J12" i="1"/>
  <c r="J13" i="1"/>
  <c r="J14" i="1"/>
  <c r="J15" i="1"/>
  <c r="J233" i="1"/>
  <c r="B231" i="1"/>
  <c r="I229" i="1"/>
  <c r="B227" i="1"/>
  <c r="J185" i="1"/>
  <c r="J184" i="1"/>
  <c r="B183" i="1"/>
  <c r="J165" i="1"/>
  <c r="B163" i="1"/>
  <c r="J150" i="1"/>
  <c r="J149" i="1"/>
  <c r="B148" i="1"/>
  <c r="J137" i="1"/>
  <c r="J136" i="1"/>
  <c r="B135" i="1"/>
  <c r="J127" i="1"/>
  <c r="B125" i="1"/>
  <c r="B112" i="1"/>
  <c r="B99" i="1"/>
  <c r="B86" i="1"/>
  <c r="B76" i="1"/>
  <c r="B57" i="1"/>
  <c r="B45" i="1"/>
  <c r="B33" i="1"/>
</calcChain>
</file>

<file path=xl/sharedStrings.xml><?xml version="1.0" encoding="utf-8"?>
<sst xmlns="http://schemas.openxmlformats.org/spreadsheetml/2006/main" count="161" uniqueCount="55">
  <si>
    <t>Magnification</t>
  </si>
  <si>
    <t>Colonne11</t>
  </si>
  <si>
    <t>Colonne13</t>
  </si>
  <si>
    <t>Colonne14</t>
  </si>
  <si>
    <t>Colonne15</t>
  </si>
  <si>
    <t>Colonne16</t>
  </si>
  <si>
    <t>Voltage</t>
  </si>
  <si>
    <t>nbe scans</t>
  </si>
  <si>
    <t xml:space="preserve">diameter </t>
  </si>
  <si>
    <t>diameter</t>
  </si>
  <si>
    <t>pauses</t>
  </si>
  <si>
    <t>sans pauses</t>
  </si>
  <si>
    <t>scans</t>
  </si>
  <si>
    <t>temps</t>
  </si>
  <si>
    <t>scans/s</t>
  </si>
  <si>
    <t xml:space="preserve">nbe scans </t>
  </si>
  <si>
    <t xml:space="preserve">scans </t>
  </si>
  <si>
    <t>Position</t>
  </si>
  <si>
    <t>vitesse (scans/s)</t>
  </si>
  <si>
    <t>Area (*10^3 nm^2)</t>
  </si>
  <si>
    <t>gros trou</t>
  </si>
  <si>
    <t>vitesse (s/scans)</t>
  </si>
  <si>
    <t>oui</t>
  </si>
  <si>
    <t>non</t>
  </si>
  <si>
    <t>Pente (nm/scans)</t>
  </si>
  <si>
    <t>vitesse de closure (nm/s)</t>
  </si>
  <si>
    <t>area*vscan*gama^2</t>
  </si>
  <si>
    <t>gamma2*area</t>
  </si>
  <si>
    <t>rac area</t>
  </si>
  <si>
    <t>vscan*gamma^2</t>
  </si>
  <si>
    <t>CONSTANTE:</t>
  </si>
  <si>
    <t>Vitesse (scan/s)</t>
  </si>
  <si>
    <t>Vitesse de closure (nm/s)</t>
  </si>
  <si>
    <t>L (nm)</t>
  </si>
  <si>
    <t>Voltage (kV)</t>
  </si>
  <si>
    <t>Magnification (K)</t>
  </si>
  <si>
    <t>Vitesse de closure (nm/scans)</t>
  </si>
  <si>
    <t>Pauses</t>
  </si>
  <si>
    <t>Scan speed (scan/s)</t>
  </si>
  <si>
    <t>Closure Speed (nm/s)</t>
  </si>
  <si>
    <t>Closure speed (nm/scan)</t>
  </si>
  <si>
    <t>gamma^2 L^2</t>
  </si>
  <si>
    <t>?</t>
  </si>
  <si>
    <t>4 trous</t>
  </si>
  <si>
    <t>sec</t>
  </si>
  <si>
    <t>size (nm)</t>
  </si>
  <si>
    <t>Exp 1</t>
  </si>
  <si>
    <t>Exp 2</t>
  </si>
  <si>
    <t>Exp 3</t>
  </si>
  <si>
    <t>Number of scans</t>
  </si>
  <si>
    <t>a</t>
  </si>
  <si>
    <t>b</t>
  </si>
  <si>
    <t>exp a</t>
  </si>
  <si>
    <t>hole</t>
  </si>
  <si>
    <t>exp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</si>
</sst>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5999938962981048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2" fontId="0" fillId="6" borderId="4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/>
    <xf numFmtId="0" fontId="0" fillId="7" borderId="0" xfId="0" applyFill="1"/>
    <xf numFmtId="0" fontId="0" fillId="0" borderId="0" xfId="0" applyFont="1" applyAlignment="1">
      <alignment horizontal="center" vertical="center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2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Courbes!$F$33</c:f>
              <c:strCache>
                <c:ptCount val="1"/>
                <c:pt idx="0">
                  <c:v>diameter 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904035133906134"/>
                  <c:y val="-0.3423745477761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Courbes!$E$34:$E$42</c:f>
              <c:numCache>
                <c:formatCode>General</c:formatCode>
                <c:ptCount val="9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14.0</c:v>
                </c:pt>
                <c:pt idx="4">
                  <c:v>17.0</c:v>
                </c:pt>
                <c:pt idx="5">
                  <c:v>20.0</c:v>
                </c:pt>
                <c:pt idx="6">
                  <c:v>22.0</c:v>
                </c:pt>
                <c:pt idx="7">
                  <c:v>24.0</c:v>
                </c:pt>
                <c:pt idx="8">
                  <c:v>26.0</c:v>
                </c:pt>
              </c:numCache>
            </c:numRef>
          </c:xVal>
          <c:yVal>
            <c:numRef>
              <c:f>Courbes!$F$34:$F$42</c:f>
              <c:numCache>
                <c:formatCode>General</c:formatCode>
                <c:ptCount val="9"/>
                <c:pt idx="0">
                  <c:v>62.5</c:v>
                </c:pt>
                <c:pt idx="1">
                  <c:v>54.7</c:v>
                </c:pt>
                <c:pt idx="2">
                  <c:v>44.7</c:v>
                </c:pt>
                <c:pt idx="3">
                  <c:v>36.8</c:v>
                </c:pt>
                <c:pt idx="4">
                  <c:v>30.2</c:v>
                </c:pt>
                <c:pt idx="5">
                  <c:v>21.2</c:v>
                </c:pt>
                <c:pt idx="6">
                  <c:v>13.4</c:v>
                </c:pt>
                <c:pt idx="7">
                  <c:v>10.1</c:v>
                </c:pt>
                <c:pt idx="8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46096"/>
        <c:axId val="2112305344"/>
      </c:scatterChart>
      <c:valAx>
        <c:axId val="21135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305344"/>
        <c:crosses val="autoZero"/>
        <c:crossBetween val="midCat"/>
      </c:valAx>
      <c:valAx>
        <c:axId val="21123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5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Courbes!$F$148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Courbes!$E$149:$E$161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Courbes!$F$149:$F$161</c:f>
              <c:numCache>
                <c:formatCode>General</c:formatCode>
                <c:ptCount val="13"/>
                <c:pt idx="0">
                  <c:v>67.0</c:v>
                </c:pt>
                <c:pt idx="1">
                  <c:v>64.0</c:v>
                </c:pt>
                <c:pt idx="2">
                  <c:v>60.0</c:v>
                </c:pt>
                <c:pt idx="3">
                  <c:v>52.0</c:v>
                </c:pt>
                <c:pt idx="4">
                  <c:v>50.0</c:v>
                </c:pt>
                <c:pt idx="5">
                  <c:v>42.0</c:v>
                </c:pt>
                <c:pt idx="6">
                  <c:v>37.0</c:v>
                </c:pt>
                <c:pt idx="7">
                  <c:v>33.0</c:v>
                </c:pt>
                <c:pt idx="8">
                  <c:v>26.0</c:v>
                </c:pt>
                <c:pt idx="9">
                  <c:v>23.0</c:v>
                </c:pt>
                <c:pt idx="10">
                  <c:v>16.0</c:v>
                </c:pt>
                <c:pt idx="11">
                  <c:v>13.0</c:v>
                </c:pt>
                <c:pt idx="12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06160"/>
        <c:axId val="2113709408"/>
      </c:scatterChart>
      <c:valAx>
        <c:axId val="211370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709408"/>
        <c:crosses val="autoZero"/>
        <c:crossBetween val="midCat"/>
      </c:valAx>
      <c:valAx>
        <c:axId val="21137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70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Courbes!$F$163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Courbes!$E$164:$E$181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</c:numCache>
            </c:numRef>
          </c:xVal>
          <c:yVal>
            <c:numRef>
              <c:f>Courbes!$F$164:$F$181</c:f>
              <c:numCache>
                <c:formatCode>General</c:formatCode>
                <c:ptCount val="18"/>
                <c:pt idx="0">
                  <c:v>67.0</c:v>
                </c:pt>
                <c:pt idx="1">
                  <c:v>65.7</c:v>
                </c:pt>
                <c:pt idx="2">
                  <c:v>61.0</c:v>
                </c:pt>
                <c:pt idx="3">
                  <c:v>60.0</c:v>
                </c:pt>
                <c:pt idx="4">
                  <c:v>55.0</c:v>
                </c:pt>
                <c:pt idx="5">
                  <c:v>52.8</c:v>
                </c:pt>
                <c:pt idx="6">
                  <c:v>51.4</c:v>
                </c:pt>
                <c:pt idx="7">
                  <c:v>47.0</c:v>
                </c:pt>
                <c:pt idx="8">
                  <c:v>43.0</c:v>
                </c:pt>
                <c:pt idx="9">
                  <c:v>39.0</c:v>
                </c:pt>
                <c:pt idx="10">
                  <c:v>36.0</c:v>
                </c:pt>
                <c:pt idx="11">
                  <c:v>33.0</c:v>
                </c:pt>
                <c:pt idx="12">
                  <c:v>28.0</c:v>
                </c:pt>
                <c:pt idx="13">
                  <c:v>25.0</c:v>
                </c:pt>
                <c:pt idx="14">
                  <c:v>19.0</c:v>
                </c:pt>
                <c:pt idx="15">
                  <c:v>14.0</c:v>
                </c:pt>
                <c:pt idx="16">
                  <c:v>9.6</c:v>
                </c:pt>
                <c:pt idx="17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41952"/>
        <c:axId val="2113745200"/>
      </c:scatterChart>
      <c:valAx>
        <c:axId val="21137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745200"/>
        <c:crosses val="autoZero"/>
        <c:crossBetween val="midCat"/>
      </c:valAx>
      <c:valAx>
        <c:axId val="21137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7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Courbes!$F$183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Courbes!$E$184:$E$225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12.0</c:v>
                </c:pt>
                <c:pt idx="4">
                  <c:v>18.0</c:v>
                </c:pt>
                <c:pt idx="5">
                  <c:v>22.0</c:v>
                </c:pt>
                <c:pt idx="6">
                  <c:v>27.0</c:v>
                </c:pt>
                <c:pt idx="7">
                  <c:v>32.0</c:v>
                </c:pt>
                <c:pt idx="8">
                  <c:v>39.0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67.0</c:v>
                </c:pt>
                <c:pt idx="15">
                  <c:v>69.0</c:v>
                </c:pt>
                <c:pt idx="16">
                  <c:v>71.0</c:v>
                </c:pt>
                <c:pt idx="17">
                  <c:v>73.0</c:v>
                </c:pt>
                <c:pt idx="18">
                  <c:v>75.0</c:v>
                </c:pt>
                <c:pt idx="19">
                  <c:v>76.0</c:v>
                </c:pt>
                <c:pt idx="20">
                  <c:v>78.0</c:v>
                </c:pt>
                <c:pt idx="21">
                  <c:v>80.0</c:v>
                </c:pt>
                <c:pt idx="22">
                  <c:v>82.0</c:v>
                </c:pt>
                <c:pt idx="23">
                  <c:v>84.0</c:v>
                </c:pt>
                <c:pt idx="24">
                  <c:v>85.0</c:v>
                </c:pt>
                <c:pt idx="25">
                  <c:v>86.0</c:v>
                </c:pt>
                <c:pt idx="26">
                  <c:v>87.0</c:v>
                </c:pt>
                <c:pt idx="27">
                  <c:v>88.0</c:v>
                </c:pt>
                <c:pt idx="28">
                  <c:v>89.0</c:v>
                </c:pt>
                <c:pt idx="29">
                  <c:v>90.0</c:v>
                </c:pt>
                <c:pt idx="30">
                  <c:v>91.0</c:v>
                </c:pt>
                <c:pt idx="31">
                  <c:v>92.0</c:v>
                </c:pt>
                <c:pt idx="32">
                  <c:v>93.0</c:v>
                </c:pt>
                <c:pt idx="33">
                  <c:v>94.0</c:v>
                </c:pt>
                <c:pt idx="34">
                  <c:v>95.0</c:v>
                </c:pt>
                <c:pt idx="35">
                  <c:v>96.0</c:v>
                </c:pt>
                <c:pt idx="36">
                  <c:v>97.0</c:v>
                </c:pt>
                <c:pt idx="37">
                  <c:v>98.0</c:v>
                </c:pt>
                <c:pt idx="38">
                  <c:v>99.0</c:v>
                </c:pt>
                <c:pt idx="39">
                  <c:v>100.0</c:v>
                </c:pt>
                <c:pt idx="40">
                  <c:v>101.0</c:v>
                </c:pt>
                <c:pt idx="41">
                  <c:v>102.0</c:v>
                </c:pt>
              </c:numCache>
            </c:numRef>
          </c:xVal>
          <c:yVal>
            <c:numRef>
              <c:f>Courbes!$F$184:$F$225</c:f>
              <c:numCache>
                <c:formatCode>General</c:formatCode>
                <c:ptCount val="42"/>
                <c:pt idx="1">
                  <c:v>200.0</c:v>
                </c:pt>
                <c:pt idx="2">
                  <c:v>195.0</c:v>
                </c:pt>
                <c:pt idx="3">
                  <c:v>182.0</c:v>
                </c:pt>
                <c:pt idx="4">
                  <c:v>167.0</c:v>
                </c:pt>
                <c:pt idx="5">
                  <c:v>156.0</c:v>
                </c:pt>
                <c:pt idx="6">
                  <c:v>150.0</c:v>
                </c:pt>
                <c:pt idx="7">
                  <c:v>146.0</c:v>
                </c:pt>
                <c:pt idx="8">
                  <c:v>130.0</c:v>
                </c:pt>
                <c:pt idx="9">
                  <c:v>122.0</c:v>
                </c:pt>
                <c:pt idx="10">
                  <c:v>112.0</c:v>
                </c:pt>
                <c:pt idx="11">
                  <c:v>103.0</c:v>
                </c:pt>
                <c:pt idx="12">
                  <c:v>94.0</c:v>
                </c:pt>
                <c:pt idx="13">
                  <c:v>84.0</c:v>
                </c:pt>
                <c:pt idx="14">
                  <c:v>80.0</c:v>
                </c:pt>
                <c:pt idx="15">
                  <c:v>77.0</c:v>
                </c:pt>
                <c:pt idx="16">
                  <c:v>71.0</c:v>
                </c:pt>
                <c:pt idx="17">
                  <c:v>67.0</c:v>
                </c:pt>
                <c:pt idx="18">
                  <c:v>64.0</c:v>
                </c:pt>
                <c:pt idx="19">
                  <c:v>61.0</c:v>
                </c:pt>
                <c:pt idx="20">
                  <c:v>57.0</c:v>
                </c:pt>
                <c:pt idx="21">
                  <c:v>55.0</c:v>
                </c:pt>
                <c:pt idx="22">
                  <c:v>49.0</c:v>
                </c:pt>
                <c:pt idx="23">
                  <c:v>45.0</c:v>
                </c:pt>
                <c:pt idx="24">
                  <c:v>42.0</c:v>
                </c:pt>
                <c:pt idx="25">
                  <c:v>39.0</c:v>
                </c:pt>
                <c:pt idx="26">
                  <c:v>36.0</c:v>
                </c:pt>
                <c:pt idx="27">
                  <c:v>35.0</c:v>
                </c:pt>
                <c:pt idx="28">
                  <c:v>31.0</c:v>
                </c:pt>
                <c:pt idx="29">
                  <c:v>29.0</c:v>
                </c:pt>
                <c:pt idx="30">
                  <c:v>26.0</c:v>
                </c:pt>
                <c:pt idx="31">
                  <c:v>25.0</c:v>
                </c:pt>
                <c:pt idx="32">
                  <c:v>22.0</c:v>
                </c:pt>
                <c:pt idx="33">
                  <c:v>20.0</c:v>
                </c:pt>
                <c:pt idx="34">
                  <c:v>18.0</c:v>
                </c:pt>
                <c:pt idx="35">
                  <c:v>15.0</c:v>
                </c:pt>
                <c:pt idx="36">
                  <c:v>13.0</c:v>
                </c:pt>
                <c:pt idx="37">
                  <c:v>12.0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77440"/>
        <c:axId val="2113780688"/>
      </c:scatterChart>
      <c:valAx>
        <c:axId val="21137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780688"/>
        <c:crosses val="autoZero"/>
        <c:crossBetween val="midCat"/>
      </c:valAx>
      <c:valAx>
        <c:axId val="21137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77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Courbes!$F$231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Courbes!$E$232:$E$262</c:f>
              <c:numCache>
                <c:formatCode>General</c:formatCode>
                <c:ptCount val="3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7.0</c:v>
                </c:pt>
                <c:pt idx="5">
                  <c:v>9.0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21.0</c:v>
                </c:pt>
                <c:pt idx="12">
                  <c:v>22.0</c:v>
                </c:pt>
                <c:pt idx="13">
                  <c:v>24.0</c:v>
                </c:pt>
                <c:pt idx="14">
                  <c:v>27.0</c:v>
                </c:pt>
                <c:pt idx="15">
                  <c:v>29.0</c:v>
                </c:pt>
                <c:pt idx="16">
                  <c:v>31.0</c:v>
                </c:pt>
                <c:pt idx="17">
                  <c:v>33.0</c:v>
                </c:pt>
                <c:pt idx="18">
                  <c:v>35.0</c:v>
                </c:pt>
                <c:pt idx="19">
                  <c:v>37.0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49.0</c:v>
                </c:pt>
                <c:pt idx="26">
                  <c:v>51.0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</c:numCache>
            </c:numRef>
          </c:xVal>
          <c:yVal>
            <c:numRef>
              <c:f>Courbes!$F$232:$F$262</c:f>
              <c:numCache>
                <c:formatCode>General</c:formatCode>
                <c:ptCount val="31"/>
                <c:pt idx="0">
                  <c:v>67.0</c:v>
                </c:pt>
                <c:pt idx="1">
                  <c:v>62.0</c:v>
                </c:pt>
                <c:pt idx="2">
                  <c:v>61.0</c:v>
                </c:pt>
                <c:pt idx="3">
                  <c:v>60.0</c:v>
                </c:pt>
                <c:pt idx="4">
                  <c:v>58.0</c:v>
                </c:pt>
                <c:pt idx="5">
                  <c:v>56.0</c:v>
                </c:pt>
                <c:pt idx="6">
                  <c:v>55.0</c:v>
                </c:pt>
                <c:pt idx="7">
                  <c:v>51.0</c:v>
                </c:pt>
                <c:pt idx="8">
                  <c:v>49.0</c:v>
                </c:pt>
                <c:pt idx="9">
                  <c:v>47.0</c:v>
                </c:pt>
                <c:pt idx="10">
                  <c:v>46.0</c:v>
                </c:pt>
                <c:pt idx="11">
                  <c:v>44.0</c:v>
                </c:pt>
                <c:pt idx="12">
                  <c:v>42.0</c:v>
                </c:pt>
                <c:pt idx="13">
                  <c:v>41.0</c:v>
                </c:pt>
                <c:pt idx="14">
                  <c:v>39.0</c:v>
                </c:pt>
                <c:pt idx="15">
                  <c:v>36.0</c:v>
                </c:pt>
                <c:pt idx="16">
                  <c:v>34.0</c:v>
                </c:pt>
                <c:pt idx="17">
                  <c:v>32.0</c:v>
                </c:pt>
                <c:pt idx="18">
                  <c:v>30.0</c:v>
                </c:pt>
                <c:pt idx="19">
                  <c:v>29.0</c:v>
                </c:pt>
                <c:pt idx="20">
                  <c:v>28.0</c:v>
                </c:pt>
                <c:pt idx="21">
                  <c:v>23.0</c:v>
                </c:pt>
                <c:pt idx="22">
                  <c:v>22.0</c:v>
                </c:pt>
                <c:pt idx="23">
                  <c:v>19.0</c:v>
                </c:pt>
                <c:pt idx="24">
                  <c:v>17.0</c:v>
                </c:pt>
                <c:pt idx="25">
                  <c:v>15.0</c:v>
                </c:pt>
                <c:pt idx="26">
                  <c:v>13.0</c:v>
                </c:pt>
                <c:pt idx="27">
                  <c:v>11.0</c:v>
                </c:pt>
                <c:pt idx="28">
                  <c:v>9.0</c:v>
                </c:pt>
                <c:pt idx="29">
                  <c:v>9.0</c:v>
                </c:pt>
                <c:pt idx="30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14544"/>
        <c:axId val="2113817792"/>
      </c:scatterChart>
      <c:valAx>
        <c:axId val="211381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817792"/>
        <c:crosses val="autoZero"/>
        <c:crossBetween val="midCat"/>
      </c:valAx>
      <c:valAx>
        <c:axId val="21138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81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Courbes!$D$268</c:f>
              <c:strCache>
                <c:ptCount val="1"/>
                <c:pt idx="0">
                  <c:v>size (nm)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Courbes!$B$269:$B$282</c:f>
              <c:numCache>
                <c:formatCode>General</c:formatCode>
                <c:ptCount val="14"/>
                <c:pt idx="0">
                  <c:v>0.0</c:v>
                </c:pt>
                <c:pt idx="1">
                  <c:v>2.0</c:v>
                </c:pt>
                <c:pt idx="2">
                  <c:v>9.0</c:v>
                </c:pt>
                <c:pt idx="3">
                  <c:v>14.0</c:v>
                </c:pt>
                <c:pt idx="4">
                  <c:v>25.0</c:v>
                </c:pt>
                <c:pt idx="5">
                  <c:v>30.0</c:v>
                </c:pt>
                <c:pt idx="6">
                  <c:v>39.0</c:v>
                </c:pt>
                <c:pt idx="7">
                  <c:v>51.0</c:v>
                </c:pt>
                <c:pt idx="8">
                  <c:v>74.0</c:v>
                </c:pt>
                <c:pt idx="9">
                  <c:v>84.0</c:v>
                </c:pt>
                <c:pt idx="10">
                  <c:v>102.0</c:v>
                </c:pt>
                <c:pt idx="11">
                  <c:v>126.0</c:v>
                </c:pt>
                <c:pt idx="12">
                  <c:v>145.0</c:v>
                </c:pt>
                <c:pt idx="13">
                  <c:v>148.0</c:v>
                </c:pt>
              </c:numCache>
            </c:numRef>
          </c:xVal>
          <c:yVal>
            <c:numRef>
              <c:f>Courbes!$D$269:$D$282</c:f>
              <c:numCache>
                <c:formatCode>General</c:formatCode>
                <c:ptCount val="14"/>
                <c:pt idx="0">
                  <c:v>67.0</c:v>
                </c:pt>
                <c:pt idx="1">
                  <c:v>65.0</c:v>
                </c:pt>
                <c:pt idx="2">
                  <c:v>63.0</c:v>
                </c:pt>
                <c:pt idx="3">
                  <c:v>60.0</c:v>
                </c:pt>
                <c:pt idx="4">
                  <c:v>58.0</c:v>
                </c:pt>
                <c:pt idx="5">
                  <c:v>55.0</c:v>
                </c:pt>
                <c:pt idx="6">
                  <c:v>53.0</c:v>
                </c:pt>
                <c:pt idx="7">
                  <c:v>47.0</c:v>
                </c:pt>
                <c:pt idx="8">
                  <c:v>40.2</c:v>
                </c:pt>
                <c:pt idx="9">
                  <c:v>38.0</c:v>
                </c:pt>
                <c:pt idx="10">
                  <c:v>31.3</c:v>
                </c:pt>
                <c:pt idx="11">
                  <c:v>22.33</c:v>
                </c:pt>
                <c:pt idx="12">
                  <c:v>13.8</c:v>
                </c:pt>
                <c:pt idx="13">
                  <c:v>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320480"/>
        <c:axId val="-2090949696"/>
      </c:scatterChart>
      <c:valAx>
        <c:axId val="-209432048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0949696"/>
        <c:crosses val="autoZero"/>
        <c:crossBetween val="midCat"/>
      </c:valAx>
      <c:valAx>
        <c:axId val="-20909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432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Courbes!$D$268</c:f>
              <c:strCache>
                <c:ptCount val="1"/>
                <c:pt idx="0">
                  <c:v>size (nm)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Courbes!$C$269:$C$282</c:f>
              <c:numCache>
                <c:formatCode>0.00</c:formatCode>
                <c:ptCount val="14"/>
                <c:pt idx="0">
                  <c:v>0.0</c:v>
                </c:pt>
                <c:pt idx="1">
                  <c:v>23.33333333333333</c:v>
                </c:pt>
                <c:pt idx="2">
                  <c:v>105.0</c:v>
                </c:pt>
                <c:pt idx="3">
                  <c:v>163.3333333333333</c:v>
                </c:pt>
                <c:pt idx="4">
                  <c:v>291.6666666666666</c:v>
                </c:pt>
                <c:pt idx="5">
                  <c:v>350.0</c:v>
                </c:pt>
                <c:pt idx="6">
                  <c:v>456.0</c:v>
                </c:pt>
                <c:pt idx="7">
                  <c:v>596.0</c:v>
                </c:pt>
                <c:pt idx="8">
                  <c:v>865.0</c:v>
                </c:pt>
                <c:pt idx="9">
                  <c:v>982.0</c:v>
                </c:pt>
                <c:pt idx="10">
                  <c:v>1192.0</c:v>
                </c:pt>
                <c:pt idx="11">
                  <c:v>1473.0</c:v>
                </c:pt>
                <c:pt idx="12">
                  <c:v>1696.0</c:v>
                </c:pt>
                <c:pt idx="13">
                  <c:v>1731.0</c:v>
                </c:pt>
              </c:numCache>
            </c:numRef>
          </c:xVal>
          <c:yVal>
            <c:numRef>
              <c:f>Courbes!$D$269:$D$282</c:f>
              <c:numCache>
                <c:formatCode>General</c:formatCode>
                <c:ptCount val="14"/>
                <c:pt idx="0">
                  <c:v>67.0</c:v>
                </c:pt>
                <c:pt idx="1">
                  <c:v>65.0</c:v>
                </c:pt>
                <c:pt idx="2">
                  <c:v>63.0</c:v>
                </c:pt>
                <c:pt idx="3">
                  <c:v>60.0</c:v>
                </c:pt>
                <c:pt idx="4">
                  <c:v>58.0</c:v>
                </c:pt>
                <c:pt idx="5">
                  <c:v>55.0</c:v>
                </c:pt>
                <c:pt idx="6">
                  <c:v>53.0</c:v>
                </c:pt>
                <c:pt idx="7">
                  <c:v>47.0</c:v>
                </c:pt>
                <c:pt idx="8">
                  <c:v>40.2</c:v>
                </c:pt>
                <c:pt idx="9">
                  <c:v>38.0</c:v>
                </c:pt>
                <c:pt idx="10">
                  <c:v>31.3</c:v>
                </c:pt>
                <c:pt idx="11">
                  <c:v>22.33</c:v>
                </c:pt>
                <c:pt idx="12">
                  <c:v>13.8</c:v>
                </c:pt>
                <c:pt idx="13">
                  <c:v>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392672"/>
        <c:axId val="-2077878560"/>
      </c:scatterChart>
      <c:valAx>
        <c:axId val="-207639267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7878560"/>
        <c:crosses val="autoZero"/>
        <c:crossBetween val="midCat"/>
      </c:valAx>
      <c:valAx>
        <c:axId val="-20778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639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Courbes!$C$290</c:f>
              <c:strCache>
                <c:ptCount val="1"/>
                <c:pt idx="0">
                  <c:v>hole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Courbes!$B$291:$B$296</c:f>
              <c:numCache>
                <c:formatCode>General</c:formatCode>
                <c:ptCount val="6"/>
                <c:pt idx="0">
                  <c:v>0.0</c:v>
                </c:pt>
                <c:pt idx="1">
                  <c:v>0.38</c:v>
                </c:pt>
                <c:pt idx="2">
                  <c:v>5.13</c:v>
                </c:pt>
                <c:pt idx="3">
                  <c:v>9.69</c:v>
                </c:pt>
                <c:pt idx="4">
                  <c:v>12.35</c:v>
                </c:pt>
                <c:pt idx="5">
                  <c:v>15.2</c:v>
                </c:pt>
              </c:numCache>
            </c:numRef>
          </c:xVal>
          <c:yVal>
            <c:numRef>
              <c:f>Courbes!$C$291:$C$296</c:f>
              <c:numCache>
                <c:formatCode>General</c:formatCode>
                <c:ptCount val="6"/>
                <c:pt idx="0">
                  <c:v>65.9</c:v>
                </c:pt>
                <c:pt idx="1">
                  <c:v>56.3</c:v>
                </c:pt>
                <c:pt idx="2">
                  <c:v>36.8</c:v>
                </c:pt>
                <c:pt idx="3">
                  <c:v>20.0</c:v>
                </c:pt>
                <c:pt idx="4">
                  <c:v>11.72</c:v>
                </c:pt>
                <c:pt idx="5">
                  <c:v>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122928"/>
        <c:axId val="-2059648800"/>
      </c:scatterChart>
      <c:valAx>
        <c:axId val="18041229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9648800"/>
        <c:crosses val="autoZero"/>
        <c:crossBetween val="midCat"/>
      </c:valAx>
      <c:valAx>
        <c:axId val="-20596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412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Courbes!$B$305</c:f>
              <c:strCache>
                <c:ptCount val="1"/>
                <c:pt idx="0">
                  <c:v>hole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Courbes!$A$306:$A$312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9.0</c:v>
                </c:pt>
                <c:pt idx="4">
                  <c:v>14.0</c:v>
                </c:pt>
                <c:pt idx="5">
                  <c:v>19.0</c:v>
                </c:pt>
                <c:pt idx="6">
                  <c:v>24.0</c:v>
                </c:pt>
              </c:numCache>
            </c:numRef>
          </c:xVal>
          <c:yVal>
            <c:numRef>
              <c:f>Courbes!$B$306:$B$312</c:f>
              <c:numCache>
                <c:formatCode>General</c:formatCode>
                <c:ptCount val="7"/>
                <c:pt idx="0">
                  <c:v>67.0</c:v>
                </c:pt>
                <c:pt idx="1">
                  <c:v>62.5</c:v>
                </c:pt>
                <c:pt idx="2">
                  <c:v>53.6</c:v>
                </c:pt>
                <c:pt idx="3">
                  <c:v>42.43</c:v>
                </c:pt>
                <c:pt idx="4">
                  <c:v>31.2</c:v>
                </c:pt>
                <c:pt idx="5">
                  <c:v>21.21</c:v>
                </c:pt>
                <c:pt idx="6">
                  <c:v>11.1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600496"/>
        <c:axId val="-2075592928"/>
      </c:scatterChart>
      <c:valAx>
        <c:axId val="-202360049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5592928"/>
        <c:crosses val="autoZero"/>
        <c:crossBetween val="midCat"/>
      </c:valAx>
      <c:valAx>
        <c:axId val="-20755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2360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 to close the hole - Repeatability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Repeatability!$B$1</c:f>
              <c:strCache>
                <c:ptCount val="1"/>
                <c:pt idx="0">
                  <c:v>Exp 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Repeatability!$A$2:$A$30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0.0</c:v>
                </c:pt>
                <c:pt idx="12">
                  <c:v>2.0</c:v>
                </c:pt>
                <c:pt idx="13">
                  <c:v>4.0</c:v>
                </c:pt>
                <c:pt idx="14">
                  <c:v>6.0</c:v>
                </c:pt>
                <c:pt idx="15">
                  <c:v>8.0</c:v>
                </c:pt>
                <c:pt idx="16">
                  <c:v>10.0</c:v>
                </c:pt>
                <c:pt idx="17">
                  <c:v>12.0</c:v>
                </c:pt>
                <c:pt idx="18">
                  <c:v>0.0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7.0</c:v>
                </c:pt>
                <c:pt idx="24">
                  <c:v>8.0</c:v>
                </c:pt>
                <c:pt idx="25">
                  <c:v>9.0</c:v>
                </c:pt>
                <c:pt idx="26">
                  <c:v>11.0</c:v>
                </c:pt>
                <c:pt idx="27">
                  <c:v>12.0</c:v>
                </c:pt>
                <c:pt idx="28">
                  <c:v>13.0</c:v>
                </c:pt>
              </c:numCache>
            </c:numRef>
          </c:xVal>
          <c:yVal>
            <c:numRef>
              <c:f>Repeatability!$B$2:$B$30</c:f>
              <c:numCache>
                <c:formatCode>General</c:formatCode>
                <c:ptCount val="29"/>
                <c:pt idx="0">
                  <c:v>69.0</c:v>
                </c:pt>
                <c:pt idx="1">
                  <c:v>68.0</c:v>
                </c:pt>
                <c:pt idx="2">
                  <c:v>65.0</c:v>
                </c:pt>
                <c:pt idx="3">
                  <c:v>58.0</c:v>
                </c:pt>
                <c:pt idx="4">
                  <c:v>51.0</c:v>
                </c:pt>
                <c:pt idx="5">
                  <c:v>42.0</c:v>
                </c:pt>
                <c:pt idx="6">
                  <c:v>31.0</c:v>
                </c:pt>
                <c:pt idx="7">
                  <c:v>21.0</c:v>
                </c:pt>
                <c:pt idx="8">
                  <c:v>16.0</c:v>
                </c:pt>
                <c:pt idx="9">
                  <c:v>11.0</c:v>
                </c:pt>
                <c:pt idx="10">
                  <c:v>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Repeatability!$C$1</c:f>
              <c:strCache>
                <c:ptCount val="1"/>
                <c:pt idx="0">
                  <c:v>Exp 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Repeatability!$A$2:$A$30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0.0</c:v>
                </c:pt>
                <c:pt idx="12">
                  <c:v>2.0</c:v>
                </c:pt>
                <c:pt idx="13">
                  <c:v>4.0</c:v>
                </c:pt>
                <c:pt idx="14">
                  <c:v>6.0</c:v>
                </c:pt>
                <c:pt idx="15">
                  <c:v>8.0</c:v>
                </c:pt>
                <c:pt idx="16">
                  <c:v>10.0</c:v>
                </c:pt>
                <c:pt idx="17">
                  <c:v>12.0</c:v>
                </c:pt>
                <c:pt idx="18">
                  <c:v>0.0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7.0</c:v>
                </c:pt>
                <c:pt idx="24">
                  <c:v>8.0</c:v>
                </c:pt>
                <c:pt idx="25">
                  <c:v>9.0</c:v>
                </c:pt>
                <c:pt idx="26">
                  <c:v>11.0</c:v>
                </c:pt>
                <c:pt idx="27">
                  <c:v>12.0</c:v>
                </c:pt>
                <c:pt idx="28">
                  <c:v>13.0</c:v>
                </c:pt>
              </c:numCache>
            </c:numRef>
          </c:xVal>
          <c:yVal>
            <c:numRef>
              <c:f>Repeatability!$C$2:$C$30</c:f>
              <c:numCache>
                <c:formatCode>General</c:formatCode>
                <c:ptCount val="29"/>
                <c:pt idx="11">
                  <c:v>67.0</c:v>
                </c:pt>
                <c:pt idx="12">
                  <c:v>58.0</c:v>
                </c:pt>
                <c:pt idx="13">
                  <c:v>47.5</c:v>
                </c:pt>
                <c:pt idx="14">
                  <c:v>36.3</c:v>
                </c:pt>
                <c:pt idx="15">
                  <c:v>26.2</c:v>
                </c:pt>
                <c:pt idx="16">
                  <c:v>11.2</c:v>
                </c:pt>
                <c:pt idx="1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Repeatability!$D$1</c:f>
              <c:strCache>
                <c:ptCount val="1"/>
                <c:pt idx="0">
                  <c:v>Exp 3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Repeatability!$A$2:$A$30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0.0</c:v>
                </c:pt>
                <c:pt idx="12">
                  <c:v>2.0</c:v>
                </c:pt>
                <c:pt idx="13">
                  <c:v>4.0</c:v>
                </c:pt>
                <c:pt idx="14">
                  <c:v>6.0</c:v>
                </c:pt>
                <c:pt idx="15">
                  <c:v>8.0</c:v>
                </c:pt>
                <c:pt idx="16">
                  <c:v>10.0</c:v>
                </c:pt>
                <c:pt idx="17">
                  <c:v>12.0</c:v>
                </c:pt>
                <c:pt idx="18">
                  <c:v>0.0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7.0</c:v>
                </c:pt>
                <c:pt idx="24">
                  <c:v>8.0</c:v>
                </c:pt>
                <c:pt idx="25">
                  <c:v>9.0</c:v>
                </c:pt>
                <c:pt idx="26">
                  <c:v>11.0</c:v>
                </c:pt>
                <c:pt idx="27">
                  <c:v>12.0</c:v>
                </c:pt>
                <c:pt idx="28">
                  <c:v>13.0</c:v>
                </c:pt>
              </c:numCache>
            </c:numRef>
          </c:xVal>
          <c:yVal>
            <c:numRef>
              <c:f>Repeatability!$D$2:$D$30</c:f>
              <c:numCache>
                <c:formatCode>General</c:formatCode>
                <c:ptCount val="29"/>
                <c:pt idx="18">
                  <c:v>68.0</c:v>
                </c:pt>
                <c:pt idx="19">
                  <c:v>59.7</c:v>
                </c:pt>
                <c:pt idx="20">
                  <c:v>56.0</c:v>
                </c:pt>
                <c:pt idx="21">
                  <c:v>54.0</c:v>
                </c:pt>
                <c:pt idx="22">
                  <c:v>47.0</c:v>
                </c:pt>
                <c:pt idx="23">
                  <c:v>38.0</c:v>
                </c:pt>
                <c:pt idx="24">
                  <c:v>34.0</c:v>
                </c:pt>
                <c:pt idx="25">
                  <c:v>28.0</c:v>
                </c:pt>
                <c:pt idx="26">
                  <c:v>15.0</c:v>
                </c:pt>
                <c:pt idx="27">
                  <c:v>12.0</c:v>
                </c:pt>
                <c:pt idx="28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798016"/>
        <c:axId val="-2062790784"/>
      </c:scatterChart>
      <c:valAx>
        <c:axId val="-207579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scans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2790784"/>
        <c:crosses val="autoZero"/>
        <c:crossBetween val="midCat"/>
      </c:valAx>
      <c:valAx>
        <c:axId val="-20627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Hole size</a:t>
                </a:r>
                <a:r>
                  <a:rPr lang="fr-FR" baseline="0"/>
                  <a:t> (nm)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579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Feuil4!$H$1</c:f>
              <c:strCache>
                <c:ptCount val="1"/>
                <c:pt idx="0">
                  <c:v>Closure speed (nm/scan)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Feuil4!$C$2:$C$17</c:f>
              <c:numCache>
                <c:formatCode>General</c:formatCode>
                <c:ptCount val="16"/>
                <c:pt idx="0">
                  <c:v>150.0</c:v>
                </c:pt>
                <c:pt idx="1">
                  <c:v>100.0</c:v>
                </c:pt>
                <c:pt idx="2">
                  <c:v>50.0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100.0</c:v>
                </c:pt>
                <c:pt idx="7">
                  <c:v>200.0</c:v>
                </c:pt>
                <c:pt idx="8">
                  <c:v>100.0</c:v>
                </c:pt>
                <c:pt idx="9">
                  <c:v>150.0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200.0</c:v>
                </c:pt>
                <c:pt idx="14">
                  <c:v>200.0</c:v>
                </c:pt>
                <c:pt idx="15">
                  <c:v>100.0</c:v>
                </c:pt>
              </c:numCache>
            </c:numRef>
          </c:xVal>
          <c:yVal>
            <c:numRef>
              <c:f>Feuil4!$H$2:$H$17</c:f>
              <c:numCache>
                <c:formatCode>General</c:formatCode>
                <c:ptCount val="16"/>
                <c:pt idx="0">
                  <c:v>3.61</c:v>
                </c:pt>
                <c:pt idx="1">
                  <c:v>1.93</c:v>
                </c:pt>
                <c:pt idx="2">
                  <c:v>0.353</c:v>
                </c:pt>
                <c:pt idx="3">
                  <c:v>4.33</c:v>
                </c:pt>
                <c:pt idx="4">
                  <c:v>5.21</c:v>
                </c:pt>
                <c:pt idx="5">
                  <c:v>4.79</c:v>
                </c:pt>
                <c:pt idx="6">
                  <c:v>2.36</c:v>
                </c:pt>
                <c:pt idx="7">
                  <c:v>3.54</c:v>
                </c:pt>
                <c:pt idx="8">
                  <c:v>0.99</c:v>
                </c:pt>
                <c:pt idx="9">
                  <c:v>2.59</c:v>
                </c:pt>
                <c:pt idx="10">
                  <c:v>1.59</c:v>
                </c:pt>
                <c:pt idx="11">
                  <c:v>1.42</c:v>
                </c:pt>
                <c:pt idx="12">
                  <c:v>1.06</c:v>
                </c:pt>
                <c:pt idx="13">
                  <c:v>1.74</c:v>
                </c:pt>
                <c:pt idx="14">
                  <c:v>3.77</c:v>
                </c:pt>
                <c:pt idx="15">
                  <c:v>2.28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55040"/>
        <c:axId val="-2108660688"/>
      </c:scatterChart>
      <c:valAx>
        <c:axId val="214385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Magnification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660688"/>
        <c:crosses val="autoZero"/>
        <c:crossBetween val="midCat"/>
      </c:valAx>
      <c:valAx>
        <c:axId val="-21086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385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Courbes!$F$45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Courbes!$E$46:$E$55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37.0</c:v>
                </c:pt>
              </c:numCache>
            </c:numRef>
          </c:xVal>
          <c:yVal>
            <c:numRef>
              <c:f>Courbes!$F$46:$F$55</c:f>
              <c:numCache>
                <c:formatCode>General</c:formatCode>
                <c:ptCount val="10"/>
                <c:pt idx="0">
                  <c:v>67.0</c:v>
                </c:pt>
                <c:pt idx="1">
                  <c:v>60.3</c:v>
                </c:pt>
                <c:pt idx="2">
                  <c:v>51.4</c:v>
                </c:pt>
                <c:pt idx="3">
                  <c:v>49.1</c:v>
                </c:pt>
                <c:pt idx="4">
                  <c:v>42.4</c:v>
                </c:pt>
                <c:pt idx="5">
                  <c:v>34.6</c:v>
                </c:pt>
                <c:pt idx="6">
                  <c:v>29.0</c:v>
                </c:pt>
                <c:pt idx="7">
                  <c:v>22.3</c:v>
                </c:pt>
                <c:pt idx="8">
                  <c:v>13.4</c:v>
                </c:pt>
                <c:pt idx="9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61216"/>
        <c:axId val="2112257968"/>
      </c:scatterChart>
      <c:valAx>
        <c:axId val="211226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257968"/>
        <c:crosses val="autoZero"/>
        <c:crossBetween val="midCat"/>
      </c:valAx>
      <c:valAx>
        <c:axId val="21122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26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Feuil4!$I$1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Feuil4!$C$2:$C$17</c:f>
              <c:numCache>
                <c:formatCode>General</c:formatCode>
                <c:ptCount val="16"/>
                <c:pt idx="0">
                  <c:v>150.0</c:v>
                </c:pt>
                <c:pt idx="1">
                  <c:v>100.0</c:v>
                </c:pt>
                <c:pt idx="2">
                  <c:v>50.0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100.0</c:v>
                </c:pt>
                <c:pt idx="7">
                  <c:v>200.0</c:v>
                </c:pt>
                <c:pt idx="8">
                  <c:v>100.0</c:v>
                </c:pt>
                <c:pt idx="9">
                  <c:v>150.0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200.0</c:v>
                </c:pt>
                <c:pt idx="14">
                  <c:v>200.0</c:v>
                </c:pt>
                <c:pt idx="15">
                  <c:v>100.0</c:v>
                </c:pt>
              </c:numCache>
            </c:numRef>
          </c:xVal>
          <c:yVal>
            <c:numRef>
              <c:f>Feuil4!$I$2:$I$17</c:f>
              <c:numCache>
                <c:formatCode>0.00</c:formatCode>
                <c:ptCount val="16"/>
                <c:pt idx="0">
                  <c:v>0.304725395981903</c:v>
                </c:pt>
                <c:pt idx="1">
                  <c:v>0.162914131369826</c:v>
                </c:pt>
                <c:pt idx="2">
                  <c:v>0.0302571428571429</c:v>
                </c:pt>
                <c:pt idx="3">
                  <c:v>0.571096331631596</c:v>
                </c:pt>
                <c:pt idx="4">
                  <c:v>0.687162098799218</c:v>
                </c:pt>
                <c:pt idx="5">
                  <c:v>0.631767073560125</c:v>
                </c:pt>
                <c:pt idx="6">
                  <c:v>0.448224889934599</c:v>
                </c:pt>
                <c:pt idx="7">
                  <c:v>0.672337334901899</c:v>
                </c:pt>
                <c:pt idx="8">
                  <c:v>0.188026542811548</c:v>
                </c:pt>
                <c:pt idx="9">
                  <c:v>0.607293610028569</c:v>
                </c:pt>
                <c:pt idx="10">
                  <c:v>0.838838953620542</c:v>
                </c:pt>
                <c:pt idx="11">
                  <c:v>1.078778548656154</c:v>
                </c:pt>
                <c:pt idx="12">
                  <c:v>0.805285395475721</c:v>
                </c:pt>
                <c:pt idx="13">
                  <c:v>1.321883573705428</c:v>
                </c:pt>
                <c:pt idx="14">
                  <c:v>0.7163</c:v>
                </c:pt>
                <c:pt idx="15">
                  <c:v>1.6416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672400"/>
        <c:axId val="2144018064"/>
      </c:scatterChart>
      <c:valAx>
        <c:axId val="-21086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Magnification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4018064"/>
        <c:crosses val="autoZero"/>
        <c:crossBetween val="midCat"/>
      </c:valAx>
      <c:valAx>
        <c:axId val="2144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67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Feuil4!$H$1</c:f>
              <c:strCache>
                <c:ptCount val="1"/>
                <c:pt idx="0">
                  <c:v>Closure speed (nm/scan)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Feuil4!$D$2:$D$17</c:f>
              <c:numCache>
                <c:formatCode>General</c:formatCode>
                <c:ptCount val="16"/>
                <c:pt idx="0">
                  <c:v>500.0</c:v>
                </c:pt>
                <c:pt idx="1">
                  <c:v>750.0</c:v>
                </c:pt>
                <c:pt idx="2">
                  <c:v>1500.0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500.0</c:v>
                </c:pt>
                <c:pt idx="7">
                  <c:v>250.0</c:v>
                </c:pt>
                <c:pt idx="8">
                  <c:v>500.0</c:v>
                </c:pt>
                <c:pt idx="9">
                  <c:v>300.0</c:v>
                </c:pt>
                <c:pt idx="10">
                  <c:v>300.0</c:v>
                </c:pt>
                <c:pt idx="11">
                  <c:v>250.0</c:v>
                </c:pt>
                <c:pt idx="12">
                  <c:v>250.0</c:v>
                </c:pt>
                <c:pt idx="13">
                  <c:v>125.0</c:v>
                </c:pt>
                <c:pt idx="14">
                  <c:v>250.0</c:v>
                </c:pt>
                <c:pt idx="15">
                  <c:v>250.0</c:v>
                </c:pt>
              </c:numCache>
            </c:numRef>
          </c:xVal>
          <c:yVal>
            <c:numRef>
              <c:f>Feuil4!$H$2:$H$17</c:f>
              <c:numCache>
                <c:formatCode>General</c:formatCode>
                <c:ptCount val="16"/>
                <c:pt idx="0">
                  <c:v>3.61</c:v>
                </c:pt>
                <c:pt idx="1">
                  <c:v>1.93</c:v>
                </c:pt>
                <c:pt idx="2">
                  <c:v>0.353</c:v>
                </c:pt>
                <c:pt idx="3">
                  <c:v>4.33</c:v>
                </c:pt>
                <c:pt idx="4">
                  <c:v>5.21</c:v>
                </c:pt>
                <c:pt idx="5">
                  <c:v>4.79</c:v>
                </c:pt>
                <c:pt idx="6">
                  <c:v>2.36</c:v>
                </c:pt>
                <c:pt idx="7">
                  <c:v>3.54</c:v>
                </c:pt>
                <c:pt idx="8">
                  <c:v>0.99</c:v>
                </c:pt>
                <c:pt idx="9">
                  <c:v>2.59</c:v>
                </c:pt>
                <c:pt idx="10">
                  <c:v>1.59</c:v>
                </c:pt>
                <c:pt idx="11">
                  <c:v>1.42</c:v>
                </c:pt>
                <c:pt idx="12">
                  <c:v>1.06</c:v>
                </c:pt>
                <c:pt idx="13">
                  <c:v>1.74</c:v>
                </c:pt>
                <c:pt idx="14">
                  <c:v>3.77</c:v>
                </c:pt>
                <c:pt idx="15">
                  <c:v>2.28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08960"/>
        <c:axId val="-2106811648"/>
      </c:scatterChart>
      <c:valAx>
        <c:axId val="-210840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811648"/>
        <c:crosses val="autoZero"/>
        <c:crossBetween val="midCat"/>
      </c:valAx>
      <c:valAx>
        <c:axId val="-21068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40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Feuil4!$I$1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Feuil4!$D$2:$D$17</c:f>
              <c:numCache>
                <c:formatCode>General</c:formatCode>
                <c:ptCount val="16"/>
                <c:pt idx="0">
                  <c:v>500.0</c:v>
                </c:pt>
                <c:pt idx="1">
                  <c:v>750.0</c:v>
                </c:pt>
                <c:pt idx="2">
                  <c:v>1500.0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500.0</c:v>
                </c:pt>
                <c:pt idx="7">
                  <c:v>250.0</c:v>
                </c:pt>
                <c:pt idx="8">
                  <c:v>500.0</c:v>
                </c:pt>
                <c:pt idx="9">
                  <c:v>300.0</c:v>
                </c:pt>
                <c:pt idx="10">
                  <c:v>300.0</c:v>
                </c:pt>
                <c:pt idx="11">
                  <c:v>250.0</c:v>
                </c:pt>
                <c:pt idx="12">
                  <c:v>250.0</c:v>
                </c:pt>
                <c:pt idx="13">
                  <c:v>125.0</c:v>
                </c:pt>
                <c:pt idx="14">
                  <c:v>250.0</c:v>
                </c:pt>
                <c:pt idx="15">
                  <c:v>250.0</c:v>
                </c:pt>
              </c:numCache>
            </c:numRef>
          </c:xVal>
          <c:yVal>
            <c:numRef>
              <c:f>Feuil4!$I$2:$I$17</c:f>
              <c:numCache>
                <c:formatCode>0.00</c:formatCode>
                <c:ptCount val="16"/>
                <c:pt idx="0">
                  <c:v>0.304725395981903</c:v>
                </c:pt>
                <c:pt idx="1">
                  <c:v>0.162914131369826</c:v>
                </c:pt>
                <c:pt idx="2">
                  <c:v>0.0302571428571429</c:v>
                </c:pt>
                <c:pt idx="3">
                  <c:v>0.571096331631596</c:v>
                </c:pt>
                <c:pt idx="4">
                  <c:v>0.687162098799218</c:v>
                </c:pt>
                <c:pt idx="5">
                  <c:v>0.631767073560125</c:v>
                </c:pt>
                <c:pt idx="6">
                  <c:v>0.448224889934599</c:v>
                </c:pt>
                <c:pt idx="7">
                  <c:v>0.672337334901899</c:v>
                </c:pt>
                <c:pt idx="8">
                  <c:v>0.188026542811548</c:v>
                </c:pt>
                <c:pt idx="9">
                  <c:v>0.607293610028569</c:v>
                </c:pt>
                <c:pt idx="10">
                  <c:v>0.838838953620542</c:v>
                </c:pt>
                <c:pt idx="11">
                  <c:v>1.078778548656154</c:v>
                </c:pt>
                <c:pt idx="12">
                  <c:v>0.805285395475721</c:v>
                </c:pt>
                <c:pt idx="13">
                  <c:v>1.321883573705428</c:v>
                </c:pt>
                <c:pt idx="14">
                  <c:v>0.7163</c:v>
                </c:pt>
                <c:pt idx="15">
                  <c:v>1.6416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092304"/>
        <c:axId val="-2107255456"/>
      </c:scatterChart>
      <c:valAx>
        <c:axId val="-209609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255456"/>
        <c:crosses val="autoZero"/>
        <c:crossBetween val="midCat"/>
      </c:valAx>
      <c:valAx>
        <c:axId val="-21072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09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Feuil4!$I$1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Feuil4!$G$2:$G$17</c:f>
              <c:numCache>
                <c:formatCode>0.00</c:formatCode>
                <c:ptCount val="16"/>
                <c:pt idx="0">
                  <c:v>0.084411467030998</c:v>
                </c:pt>
                <c:pt idx="1">
                  <c:v>0.084411467030998</c:v>
                </c:pt>
                <c:pt idx="2">
                  <c:v>0.0857142857142857</c:v>
                </c:pt>
                <c:pt idx="3">
                  <c:v>0.131892917235934</c:v>
                </c:pt>
                <c:pt idx="4">
                  <c:v>0.131892917235934</c:v>
                </c:pt>
                <c:pt idx="5">
                  <c:v>0.131892917235934</c:v>
                </c:pt>
                <c:pt idx="6">
                  <c:v>0.189925800819745</c:v>
                </c:pt>
                <c:pt idx="7">
                  <c:v>0.189925800819745</c:v>
                </c:pt>
                <c:pt idx="8">
                  <c:v>0.189925800819745</c:v>
                </c:pt>
                <c:pt idx="9">
                  <c:v>0.234476297308328</c:v>
                </c:pt>
                <c:pt idx="10">
                  <c:v>0.527571668943737</c:v>
                </c:pt>
                <c:pt idx="11">
                  <c:v>0.759703203278982</c:v>
                </c:pt>
                <c:pt idx="12">
                  <c:v>0.759703203278982</c:v>
                </c:pt>
                <c:pt idx="13">
                  <c:v>0.759703203278982</c:v>
                </c:pt>
                <c:pt idx="14" formatCode="General">
                  <c:v>0.19</c:v>
                </c:pt>
                <c:pt idx="15" formatCode="General">
                  <c:v>0.72</c:v>
                </c:pt>
              </c:numCache>
            </c:numRef>
          </c:xVal>
          <c:yVal>
            <c:numRef>
              <c:f>Feuil4!$I$2:$I$17</c:f>
              <c:numCache>
                <c:formatCode>0.00</c:formatCode>
                <c:ptCount val="16"/>
                <c:pt idx="0">
                  <c:v>0.304725395981903</c:v>
                </c:pt>
                <c:pt idx="1">
                  <c:v>0.162914131369826</c:v>
                </c:pt>
                <c:pt idx="2">
                  <c:v>0.0302571428571429</c:v>
                </c:pt>
                <c:pt idx="3">
                  <c:v>0.571096331631596</c:v>
                </c:pt>
                <c:pt idx="4">
                  <c:v>0.687162098799218</c:v>
                </c:pt>
                <c:pt idx="5">
                  <c:v>0.631767073560125</c:v>
                </c:pt>
                <c:pt idx="6">
                  <c:v>0.448224889934599</c:v>
                </c:pt>
                <c:pt idx="7">
                  <c:v>0.672337334901899</c:v>
                </c:pt>
                <c:pt idx="8">
                  <c:v>0.188026542811548</c:v>
                </c:pt>
                <c:pt idx="9">
                  <c:v>0.607293610028569</c:v>
                </c:pt>
                <c:pt idx="10">
                  <c:v>0.838838953620542</c:v>
                </c:pt>
                <c:pt idx="11">
                  <c:v>1.078778548656154</c:v>
                </c:pt>
                <c:pt idx="12">
                  <c:v>0.805285395475721</c:v>
                </c:pt>
                <c:pt idx="13">
                  <c:v>1.321883573705428</c:v>
                </c:pt>
                <c:pt idx="14">
                  <c:v>0.7163</c:v>
                </c:pt>
                <c:pt idx="15">
                  <c:v>1.6416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61888"/>
        <c:axId val="-2088917936"/>
      </c:scatterChart>
      <c:valAx>
        <c:axId val="214126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scan 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88917936"/>
        <c:crosses val="autoZero"/>
        <c:crossBetween val="midCat"/>
      </c:valAx>
      <c:valAx>
        <c:axId val="-20889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126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Closure Speed (nm/scan)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Feuil4!$I$1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Feuil4!$G$2:$G$17</c:f>
              <c:numCache>
                <c:formatCode>0.00</c:formatCode>
                <c:ptCount val="16"/>
                <c:pt idx="0">
                  <c:v>0.084411467030998</c:v>
                </c:pt>
                <c:pt idx="1">
                  <c:v>0.084411467030998</c:v>
                </c:pt>
                <c:pt idx="2">
                  <c:v>0.0857142857142857</c:v>
                </c:pt>
                <c:pt idx="3">
                  <c:v>0.131892917235934</c:v>
                </c:pt>
                <c:pt idx="4">
                  <c:v>0.131892917235934</c:v>
                </c:pt>
                <c:pt idx="5">
                  <c:v>0.131892917235934</c:v>
                </c:pt>
                <c:pt idx="6">
                  <c:v>0.189925800819745</c:v>
                </c:pt>
                <c:pt idx="7">
                  <c:v>0.189925800819745</c:v>
                </c:pt>
                <c:pt idx="8">
                  <c:v>0.189925800819745</c:v>
                </c:pt>
                <c:pt idx="9">
                  <c:v>0.234476297308328</c:v>
                </c:pt>
                <c:pt idx="10">
                  <c:v>0.527571668943737</c:v>
                </c:pt>
                <c:pt idx="11">
                  <c:v>0.759703203278982</c:v>
                </c:pt>
                <c:pt idx="12">
                  <c:v>0.759703203278982</c:v>
                </c:pt>
                <c:pt idx="13">
                  <c:v>0.759703203278982</c:v>
                </c:pt>
                <c:pt idx="14" formatCode="General">
                  <c:v>0.19</c:v>
                </c:pt>
                <c:pt idx="15" formatCode="General">
                  <c:v>0.72</c:v>
                </c:pt>
              </c:numCache>
            </c:numRef>
          </c:xVal>
          <c:yVal>
            <c:numRef>
              <c:f>Feuil4!$H$2:$H$17</c:f>
              <c:numCache>
                <c:formatCode>General</c:formatCode>
                <c:ptCount val="16"/>
                <c:pt idx="0">
                  <c:v>3.61</c:v>
                </c:pt>
                <c:pt idx="1">
                  <c:v>1.93</c:v>
                </c:pt>
                <c:pt idx="2">
                  <c:v>0.353</c:v>
                </c:pt>
                <c:pt idx="3">
                  <c:v>4.33</c:v>
                </c:pt>
                <c:pt idx="4">
                  <c:v>5.21</c:v>
                </c:pt>
                <c:pt idx="5">
                  <c:v>4.79</c:v>
                </c:pt>
                <c:pt idx="6">
                  <c:v>2.36</c:v>
                </c:pt>
                <c:pt idx="7">
                  <c:v>3.54</c:v>
                </c:pt>
                <c:pt idx="8">
                  <c:v>0.99</c:v>
                </c:pt>
                <c:pt idx="9">
                  <c:v>2.59</c:v>
                </c:pt>
                <c:pt idx="10">
                  <c:v>1.59</c:v>
                </c:pt>
                <c:pt idx="11">
                  <c:v>1.42</c:v>
                </c:pt>
                <c:pt idx="12">
                  <c:v>1.06</c:v>
                </c:pt>
                <c:pt idx="13">
                  <c:v>1.74</c:v>
                </c:pt>
                <c:pt idx="14">
                  <c:v>3.77</c:v>
                </c:pt>
                <c:pt idx="15">
                  <c:v>2.28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551456"/>
        <c:axId val="-2093012240"/>
      </c:scatterChart>
      <c:valAx>
        <c:axId val="-209555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scan 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3012240"/>
        <c:crosses val="autoZero"/>
        <c:crossBetween val="midCat"/>
      </c:valAx>
      <c:valAx>
        <c:axId val="-20930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55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Courbes!$F$57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99343832021"/>
                  <c:y val="-0.184148075240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Courbes!$E$58:$E$74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46.0</c:v>
                </c:pt>
              </c:numCache>
            </c:numRef>
          </c:xVal>
          <c:yVal>
            <c:numRef>
              <c:f>Courbes!$F$58:$F$74</c:f>
              <c:numCache>
                <c:formatCode>General</c:formatCode>
                <c:ptCount val="17"/>
                <c:pt idx="0">
                  <c:v>70.3</c:v>
                </c:pt>
                <c:pt idx="1">
                  <c:v>68.1</c:v>
                </c:pt>
                <c:pt idx="2">
                  <c:v>63.6</c:v>
                </c:pt>
                <c:pt idx="3">
                  <c:v>60.3</c:v>
                </c:pt>
                <c:pt idx="4">
                  <c:v>58.1</c:v>
                </c:pt>
                <c:pt idx="5">
                  <c:v>55.7</c:v>
                </c:pt>
                <c:pt idx="6">
                  <c:v>50.2</c:v>
                </c:pt>
                <c:pt idx="7">
                  <c:v>46.9</c:v>
                </c:pt>
                <c:pt idx="8">
                  <c:v>42.4</c:v>
                </c:pt>
                <c:pt idx="9">
                  <c:v>40.2</c:v>
                </c:pt>
                <c:pt idx="10">
                  <c:v>35.7</c:v>
                </c:pt>
                <c:pt idx="11">
                  <c:v>26.8</c:v>
                </c:pt>
                <c:pt idx="12">
                  <c:v>22.3</c:v>
                </c:pt>
                <c:pt idx="13">
                  <c:v>16.8</c:v>
                </c:pt>
                <c:pt idx="14">
                  <c:v>12.3</c:v>
                </c:pt>
                <c:pt idx="15">
                  <c:v>7.8</c:v>
                </c:pt>
                <c:pt idx="16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21616"/>
        <c:axId val="2112218368"/>
      </c:scatterChart>
      <c:valAx>
        <c:axId val="21122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218368"/>
        <c:crosses val="autoZero"/>
        <c:crossBetween val="midCat"/>
      </c:valAx>
      <c:valAx>
        <c:axId val="21122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2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Courbes!$F$76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Courbes!$E$77:$E$84</c:f>
              <c:numCache>
                <c:formatCode>General</c:formatCode>
                <c:ptCount val="8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19.0</c:v>
                </c:pt>
                <c:pt idx="5">
                  <c:v>25.0</c:v>
                </c:pt>
                <c:pt idx="6">
                  <c:v>32.0</c:v>
                </c:pt>
                <c:pt idx="7">
                  <c:v>35.0</c:v>
                </c:pt>
              </c:numCache>
            </c:numRef>
          </c:xVal>
          <c:yVal>
            <c:numRef>
              <c:f>Courbes!$F$77:$F$84</c:f>
              <c:numCache>
                <c:formatCode>General</c:formatCode>
                <c:ptCount val="8"/>
                <c:pt idx="0">
                  <c:v>69.0</c:v>
                </c:pt>
                <c:pt idx="1">
                  <c:v>62.0</c:v>
                </c:pt>
                <c:pt idx="2">
                  <c:v>52.0</c:v>
                </c:pt>
                <c:pt idx="3">
                  <c:v>41.0</c:v>
                </c:pt>
                <c:pt idx="4">
                  <c:v>34.0</c:v>
                </c:pt>
                <c:pt idx="5">
                  <c:v>23.0</c:v>
                </c:pt>
                <c:pt idx="6">
                  <c:v>12.3</c:v>
                </c:pt>
                <c:pt idx="7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85536"/>
        <c:axId val="2112182288"/>
      </c:scatterChart>
      <c:valAx>
        <c:axId val="21121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182288"/>
        <c:crosses val="autoZero"/>
        <c:crossBetween val="midCat"/>
      </c:valAx>
      <c:valAx>
        <c:axId val="211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18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Courbes!$F$86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Courbes!$E$87:$E$97</c:f>
              <c:numCache>
                <c:formatCode>General</c:formatCode>
                <c:ptCount val="11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17.0</c:v>
                </c:pt>
                <c:pt idx="4">
                  <c:v>22.0</c:v>
                </c:pt>
                <c:pt idx="5">
                  <c:v>28.0</c:v>
                </c:pt>
                <c:pt idx="6">
                  <c:v>34.0</c:v>
                </c:pt>
                <c:pt idx="7">
                  <c:v>39.0</c:v>
                </c:pt>
                <c:pt idx="8">
                  <c:v>45.0</c:v>
                </c:pt>
                <c:pt idx="9">
                  <c:v>50.0</c:v>
                </c:pt>
                <c:pt idx="10">
                  <c:v>58.0</c:v>
                </c:pt>
              </c:numCache>
            </c:numRef>
          </c:xVal>
          <c:yVal>
            <c:numRef>
              <c:f>Courbes!$F$87:$F$97</c:f>
              <c:numCache>
                <c:formatCode>General</c:formatCode>
                <c:ptCount val="11"/>
                <c:pt idx="0">
                  <c:v>71.5</c:v>
                </c:pt>
                <c:pt idx="1">
                  <c:v>61.4</c:v>
                </c:pt>
                <c:pt idx="2">
                  <c:v>54.0</c:v>
                </c:pt>
                <c:pt idx="3">
                  <c:v>52.0</c:v>
                </c:pt>
                <c:pt idx="4">
                  <c:v>49.0</c:v>
                </c:pt>
                <c:pt idx="5">
                  <c:v>42.0</c:v>
                </c:pt>
                <c:pt idx="6">
                  <c:v>34.0</c:v>
                </c:pt>
                <c:pt idx="7">
                  <c:v>29.0</c:v>
                </c:pt>
                <c:pt idx="8">
                  <c:v>21.0</c:v>
                </c:pt>
                <c:pt idx="9">
                  <c:v>13.0</c:v>
                </c:pt>
                <c:pt idx="10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49200"/>
        <c:axId val="2112145952"/>
      </c:scatterChart>
      <c:valAx>
        <c:axId val="211214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145952"/>
        <c:crosses val="autoZero"/>
        <c:crossBetween val="midCat"/>
      </c:valAx>
      <c:valAx>
        <c:axId val="21121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14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Courbes!$F$99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Courbes!$E$100:$E$110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11.0</c:v>
                </c:pt>
                <c:pt idx="8">
                  <c:v>13.0</c:v>
                </c:pt>
                <c:pt idx="9">
                  <c:v>14.0</c:v>
                </c:pt>
                <c:pt idx="10">
                  <c:v>16.0</c:v>
                </c:pt>
              </c:numCache>
            </c:numRef>
          </c:xVal>
          <c:yVal>
            <c:numRef>
              <c:f>Courbes!$F$100:$F$110</c:f>
              <c:numCache>
                <c:formatCode>General</c:formatCode>
                <c:ptCount val="11"/>
                <c:pt idx="0">
                  <c:v>63.6</c:v>
                </c:pt>
                <c:pt idx="1">
                  <c:v>62.5</c:v>
                </c:pt>
                <c:pt idx="2">
                  <c:v>58.0</c:v>
                </c:pt>
                <c:pt idx="3">
                  <c:v>53.6</c:v>
                </c:pt>
                <c:pt idx="4">
                  <c:v>48.0</c:v>
                </c:pt>
                <c:pt idx="5">
                  <c:v>40.7</c:v>
                </c:pt>
                <c:pt idx="6">
                  <c:v>31.0</c:v>
                </c:pt>
                <c:pt idx="7">
                  <c:v>30.0</c:v>
                </c:pt>
                <c:pt idx="8">
                  <c:v>18.0</c:v>
                </c:pt>
                <c:pt idx="9">
                  <c:v>13.4</c:v>
                </c:pt>
                <c:pt idx="10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13584"/>
        <c:axId val="2112110336"/>
      </c:scatterChart>
      <c:valAx>
        <c:axId val="211211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110336"/>
        <c:crosses val="autoZero"/>
        <c:crossBetween val="midCat"/>
      </c:valAx>
      <c:valAx>
        <c:axId val="21121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11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Courbes!$F$112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Courbes!$E$113:$E$123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</c:numCache>
            </c:numRef>
          </c:xVal>
          <c:yVal>
            <c:numRef>
              <c:f>Courbes!$F$113:$F$123</c:f>
              <c:numCache>
                <c:formatCode>General</c:formatCode>
                <c:ptCount val="11"/>
                <c:pt idx="0">
                  <c:v>69.0</c:v>
                </c:pt>
                <c:pt idx="1">
                  <c:v>68.0</c:v>
                </c:pt>
                <c:pt idx="2">
                  <c:v>65.0</c:v>
                </c:pt>
                <c:pt idx="3">
                  <c:v>58.0</c:v>
                </c:pt>
                <c:pt idx="4">
                  <c:v>51.0</c:v>
                </c:pt>
                <c:pt idx="5">
                  <c:v>42.0</c:v>
                </c:pt>
                <c:pt idx="6">
                  <c:v>31.0</c:v>
                </c:pt>
                <c:pt idx="7">
                  <c:v>21.0</c:v>
                </c:pt>
                <c:pt idx="8">
                  <c:v>16.0</c:v>
                </c:pt>
                <c:pt idx="9">
                  <c:v>11.0</c:v>
                </c:pt>
                <c:pt idx="10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78352"/>
        <c:axId val="2112075104"/>
      </c:scatterChart>
      <c:valAx>
        <c:axId val="211207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075104"/>
        <c:crosses val="autoZero"/>
        <c:crossBetween val="midCat"/>
      </c:valAx>
      <c:valAx>
        <c:axId val="21120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07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Courbes!$F$125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Courbes!$E$126:$E$132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</c:numCache>
            </c:numRef>
          </c:xVal>
          <c:yVal>
            <c:numRef>
              <c:f>Courbes!$F$126:$F$132</c:f>
              <c:numCache>
                <c:formatCode>General</c:formatCode>
                <c:ptCount val="7"/>
                <c:pt idx="0">
                  <c:v>67.0</c:v>
                </c:pt>
                <c:pt idx="1">
                  <c:v>58.0</c:v>
                </c:pt>
                <c:pt idx="2">
                  <c:v>47.5</c:v>
                </c:pt>
                <c:pt idx="3">
                  <c:v>36.3</c:v>
                </c:pt>
                <c:pt idx="4">
                  <c:v>26.2</c:v>
                </c:pt>
                <c:pt idx="5">
                  <c:v>11.2</c:v>
                </c:pt>
                <c:pt idx="6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42768"/>
        <c:axId val="2112039520"/>
      </c:scatterChart>
      <c:valAx>
        <c:axId val="211204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039520"/>
        <c:crosses val="autoZero"/>
        <c:crossBetween val="midCat"/>
      </c:valAx>
      <c:valAx>
        <c:axId val="21120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04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Courbes!$F$135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Courbes!$E$136:$E$146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</c:numCache>
            </c:numRef>
          </c:xVal>
          <c:yVal>
            <c:numRef>
              <c:f>Courbes!$F$136:$F$146</c:f>
              <c:numCache>
                <c:formatCode>General</c:formatCode>
                <c:ptCount val="11"/>
                <c:pt idx="0">
                  <c:v>68.0</c:v>
                </c:pt>
                <c:pt idx="1">
                  <c:v>59.7</c:v>
                </c:pt>
                <c:pt idx="2">
                  <c:v>56.0</c:v>
                </c:pt>
                <c:pt idx="3">
                  <c:v>54.0</c:v>
                </c:pt>
                <c:pt idx="4">
                  <c:v>47.0</c:v>
                </c:pt>
                <c:pt idx="5">
                  <c:v>38.0</c:v>
                </c:pt>
                <c:pt idx="6">
                  <c:v>34.0</c:v>
                </c:pt>
                <c:pt idx="7">
                  <c:v>28.0</c:v>
                </c:pt>
                <c:pt idx="8">
                  <c:v>15.0</c:v>
                </c:pt>
                <c:pt idx="9">
                  <c:v>12.0</c:v>
                </c:pt>
                <c:pt idx="10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70208"/>
        <c:axId val="2113673456"/>
      </c:scatterChart>
      <c:valAx>
        <c:axId val="211367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673456"/>
        <c:crosses val="autoZero"/>
        <c:crossBetween val="midCat"/>
      </c:valAx>
      <c:valAx>
        <c:axId val="21136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367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30</xdr:row>
      <xdr:rowOff>190500</xdr:rowOff>
    </xdr:from>
    <xdr:to>
      <xdr:col>11</xdr:col>
      <xdr:colOff>355600</xdr:colOff>
      <xdr:row>42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43</xdr:row>
      <xdr:rowOff>127000</xdr:rowOff>
    </xdr:from>
    <xdr:to>
      <xdr:col>11</xdr:col>
      <xdr:colOff>292100</xdr:colOff>
      <xdr:row>54</xdr:row>
      <xdr:rowOff>177800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831850</xdr:colOff>
      <xdr:row>57</xdr:row>
      <xdr:rowOff>127000</xdr:rowOff>
    </xdr:from>
    <xdr:to>
      <xdr:col>12</xdr:col>
      <xdr:colOff>120650</xdr:colOff>
      <xdr:row>71</xdr:row>
      <xdr:rowOff>25400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234950</xdr:colOff>
      <xdr:row>75</xdr:row>
      <xdr:rowOff>0</xdr:rowOff>
    </xdr:from>
    <xdr:to>
      <xdr:col>12</xdr:col>
      <xdr:colOff>393700</xdr:colOff>
      <xdr:row>84</xdr:row>
      <xdr:rowOff>63500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184150</xdr:colOff>
      <xdr:row>85</xdr:row>
      <xdr:rowOff>76200</xdr:rowOff>
    </xdr:from>
    <xdr:to>
      <xdr:col>12</xdr:col>
      <xdr:colOff>533400</xdr:colOff>
      <xdr:row>97</xdr:row>
      <xdr:rowOff>190500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793750</xdr:colOff>
      <xdr:row>99</xdr:row>
      <xdr:rowOff>63500</xdr:rowOff>
    </xdr:from>
    <xdr:to>
      <xdr:col>12</xdr:col>
      <xdr:colOff>254000</xdr:colOff>
      <xdr:row>110</xdr:row>
      <xdr:rowOff>177800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234950</xdr:colOff>
      <xdr:row>110</xdr:row>
      <xdr:rowOff>165100</xdr:rowOff>
    </xdr:from>
    <xdr:to>
      <xdr:col>13</xdr:col>
      <xdr:colOff>273050</xdr:colOff>
      <xdr:row>124</xdr:row>
      <xdr:rowOff>63500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806450</xdr:colOff>
      <xdr:row>124</xdr:row>
      <xdr:rowOff>139700</xdr:rowOff>
    </xdr:from>
    <xdr:to>
      <xdr:col>14</xdr:col>
      <xdr:colOff>254000</xdr:colOff>
      <xdr:row>133</xdr:row>
      <xdr:rowOff>127000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679450</xdr:colOff>
      <xdr:row>134</xdr:row>
      <xdr:rowOff>88900</xdr:rowOff>
    </xdr:from>
    <xdr:to>
      <xdr:col>14</xdr:col>
      <xdr:colOff>355600</xdr:colOff>
      <xdr:row>145</xdr:row>
      <xdr:rowOff>88900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44450</xdr:colOff>
      <xdr:row>147</xdr:row>
      <xdr:rowOff>12700</xdr:rowOff>
    </xdr:from>
    <xdr:to>
      <xdr:col>14</xdr:col>
      <xdr:colOff>831850</xdr:colOff>
      <xdr:row>160</xdr:row>
      <xdr:rowOff>114300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158750</xdr:colOff>
      <xdr:row>165</xdr:row>
      <xdr:rowOff>152400</xdr:rowOff>
    </xdr:from>
    <xdr:to>
      <xdr:col>12</xdr:col>
      <xdr:colOff>298450</xdr:colOff>
      <xdr:row>179</xdr:row>
      <xdr:rowOff>50800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146050</xdr:colOff>
      <xdr:row>192</xdr:row>
      <xdr:rowOff>50800</xdr:rowOff>
    </xdr:from>
    <xdr:to>
      <xdr:col>13</xdr:col>
      <xdr:colOff>184150</xdr:colOff>
      <xdr:row>205</xdr:row>
      <xdr:rowOff>152400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494030</xdr:colOff>
      <xdr:row>235</xdr:row>
      <xdr:rowOff>71120</xdr:rowOff>
    </xdr:from>
    <xdr:to>
      <xdr:col>10</xdr:col>
      <xdr:colOff>908050</xdr:colOff>
      <xdr:row>248</xdr:row>
      <xdr:rowOff>172720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736600</xdr:colOff>
      <xdr:row>271</xdr:row>
      <xdr:rowOff>177800</xdr:rowOff>
    </xdr:from>
    <xdr:to>
      <xdr:col>9</xdr:col>
      <xdr:colOff>1168400</xdr:colOff>
      <xdr:row>285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1066800</xdr:colOff>
      <xdr:row>263</xdr:row>
      <xdr:rowOff>50800</xdr:rowOff>
    </xdr:from>
    <xdr:to>
      <xdr:col>14</xdr:col>
      <xdr:colOff>431800</xdr:colOff>
      <xdr:row>276</xdr:row>
      <xdr:rowOff>152400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391160</xdr:colOff>
      <xdr:row>286</xdr:row>
      <xdr:rowOff>193040</xdr:rowOff>
    </xdr:from>
    <xdr:to>
      <xdr:col>7</xdr:col>
      <xdr:colOff>797560</xdr:colOff>
      <xdr:row>300</xdr:row>
      <xdr:rowOff>91440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695960</xdr:colOff>
      <xdr:row>302</xdr:row>
      <xdr:rowOff>20320</xdr:rowOff>
    </xdr:from>
    <xdr:to>
      <xdr:col>7</xdr:col>
      <xdr:colOff>248920</xdr:colOff>
      <xdr:row>315</xdr:row>
      <xdr:rowOff>121920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5</xdr:row>
      <xdr:rowOff>25400</xdr:rowOff>
    </xdr:from>
    <xdr:to>
      <xdr:col>11</xdr:col>
      <xdr:colOff>107950</xdr:colOff>
      <xdr:row>18</xdr:row>
      <xdr:rowOff>127000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271640</xdr:colOff>
      <xdr:row>26</xdr:row>
      <xdr:rowOff>145343</xdr:rowOff>
    </xdr:from>
    <xdr:to>
      <xdr:col>4</xdr:col>
      <xdr:colOff>1016001</xdr:colOff>
      <xdr:row>39</xdr:row>
      <xdr:rowOff>136877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1233715</xdr:colOff>
      <xdr:row>26</xdr:row>
      <xdr:rowOff>180621</xdr:rowOff>
    </xdr:from>
    <xdr:to>
      <xdr:col>8</xdr:col>
      <xdr:colOff>575028</xdr:colOff>
      <xdr:row>39</xdr:row>
      <xdr:rowOff>172155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280460</xdr:colOff>
      <xdr:row>41</xdr:row>
      <xdr:rowOff>4233</xdr:rowOff>
    </xdr:from>
    <xdr:to>
      <xdr:col>4</xdr:col>
      <xdr:colOff>997859</xdr:colOff>
      <xdr:row>54</xdr:row>
      <xdr:rowOff>7862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1215573</xdr:colOff>
      <xdr:row>41</xdr:row>
      <xdr:rowOff>110066</xdr:rowOff>
    </xdr:from>
    <xdr:to>
      <xdr:col>8</xdr:col>
      <xdr:colOff>566209</xdr:colOff>
      <xdr:row>54</xdr:row>
      <xdr:rowOff>101600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1270001</xdr:colOff>
      <xdr:row>56</xdr:row>
      <xdr:rowOff>57149</xdr:rowOff>
    </xdr:from>
    <xdr:to>
      <xdr:col>8</xdr:col>
      <xdr:colOff>636765</xdr:colOff>
      <xdr:row>69</xdr:row>
      <xdr:rowOff>48683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351014</xdr:colOff>
      <xdr:row>56</xdr:row>
      <xdr:rowOff>110066</xdr:rowOff>
    </xdr:from>
    <xdr:to>
      <xdr:col>4</xdr:col>
      <xdr:colOff>997859</xdr:colOff>
      <xdr:row>69</xdr:row>
      <xdr:rowOff>101600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Q24" totalsRowCount="1">
  <autoFilter ref="A1:Q23"/>
  <tableColumns count="17">
    <tableColumn id="1" name="Magnification"/>
    <tableColumn id="2" name="Area (*10^3 nm^2)"/>
    <tableColumn id="17" name="rac area" dataDxfId="21">
      <calculatedColumnFormula>SQRT(Tableau1[[#This Row],[Area (*10^3 nm^2)]]*1000)</calculatedColumnFormula>
    </tableColumn>
    <tableColumn id="3" name="Voltage"/>
    <tableColumn id="4" name="Pente (nm/scans)"/>
    <tableColumn id="5" name="Position"/>
    <tableColumn id="6" name="vitesse (s/scans)"/>
    <tableColumn id="7" name="pauses"/>
    <tableColumn id="8" name="vitesse (scans/s)" dataDxfId="20" totalsRowDxfId="19">
      <calculatedColumnFormula>1/Tableau1[[#This Row],[vitesse (s/scans)]]</calculatedColumnFormula>
    </tableColumn>
    <tableColumn id="9" name="vitesse de closure (nm/s)" dataDxfId="18" totalsRowDxfId="17">
      <calculatedColumnFormula>Tableau1[[#This Row],[Pente (nm/scans)]]*Tableau1[[#This Row],[vitesse (scans/s)]]</calculatedColumnFormula>
    </tableColumn>
    <tableColumn id="10" name="area*vscan*gama^2" dataDxfId="16" totalsRowDxfId="15">
      <calculatedColumnFormula>Tableau1[[#This Row],[Area (*10^3 nm^2)]]*Tableau1[[#This Row],[vitesse (s/scans)]]*Tableau1[[#This Row],[Magnification]]^2</calculatedColumnFormula>
    </tableColumn>
    <tableColumn id="11" name="Colonne11" totalsRowFunction="custom">
      <totalsRowFormula>0.09/0.23</totalsRowFormula>
    </tableColumn>
    <tableColumn id="12" name="vscan*gamma^2" dataDxfId="14" totalsRowDxfId="13">
      <calculatedColumnFormula>Tableau1[[#This Row],[vitesse (scans/s)]]*Tableau1[[#This Row],[Magnification]]^2</calculatedColumnFormula>
    </tableColumn>
    <tableColumn id="13" name="Colonne13" dataDxfId="12" totalsRowDxfId="11">
      <calculatedColumnFormula>Tableau1[[#This Row],[rac area]]^2*Tableau1[[#This Row],[vitesse (scans/s)]]*Tableau1[[#This Row],[Magnification]]^2</calculatedColumnFormula>
    </tableColumn>
    <tableColumn id="14" name="Colonne14"/>
    <tableColumn id="15" name="Colonne15"/>
    <tableColumn id="16" name="Colonne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I21" totalsRowShown="0" headerRowDxfId="10" dataDxfId="9">
  <autoFilter ref="A1:I21"/>
  <sortState ref="A2:I21">
    <sortCondition ref="G1:G21"/>
  </sortState>
  <tableColumns count="9">
    <tableColumn id="14" name="Position" dataDxfId="2"/>
    <tableColumn id="13" name="Pauses" dataDxfId="3"/>
    <tableColumn id="1" name="Magnification (K)" dataDxfId="1"/>
    <tableColumn id="2" name="L (nm)" dataDxfId="8"/>
    <tableColumn id="10" name="gamma^2 L^2" dataDxfId="4">
      <calculatedColumnFormula>(Tableau2[[#This Row],[Magnification (K)]]*Tableau2[[#This Row],[L (nm)]])^2*10^(-6)</calculatedColumnFormula>
    </tableColumn>
    <tableColumn id="3" name="Voltage (kV)" dataDxfId="7"/>
    <tableColumn id="15" name="Scan speed (scan/s)" dataDxfId="0"/>
    <tableColumn id="4" name="Closure speed (nm/scan)" dataDxfId="6"/>
    <tableColumn id="8" name="Closure Speed (nm/s)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2"/>
  <sheetViews>
    <sheetView topLeftCell="A70" zoomScale="125" zoomScaleNormal="56" zoomScalePageLayoutView="56" workbookViewId="0">
      <selection activeCell="I234" sqref="I234"/>
    </sheetView>
  </sheetViews>
  <sheetFormatPr baseColWidth="10" defaultRowHeight="16" x14ac:dyDescent="0.2"/>
  <cols>
    <col min="1" max="6" width="11.1640625" customWidth="1"/>
    <col min="7" max="7" width="21" customWidth="1"/>
    <col min="8" max="8" width="11.1640625" customWidth="1"/>
    <col min="9" max="9" width="22.1640625" customWidth="1"/>
    <col min="10" max="10" width="18.6640625" style="1" customWidth="1"/>
    <col min="11" max="11" width="12.1640625" customWidth="1"/>
    <col min="12" max="12" width="12.5" customWidth="1"/>
    <col min="13" max="14" width="12.5" style="1" customWidth="1"/>
    <col min="15" max="17" width="12.5" customWidth="1"/>
  </cols>
  <sheetData>
    <row r="1" spans="1:19" x14ac:dyDescent="0.2">
      <c r="A1" t="s">
        <v>0</v>
      </c>
      <c r="B1" t="s">
        <v>19</v>
      </c>
      <c r="C1" t="s">
        <v>28</v>
      </c>
      <c r="D1" t="s">
        <v>6</v>
      </c>
      <c r="E1" t="s">
        <v>24</v>
      </c>
      <c r="F1" t="s">
        <v>17</v>
      </c>
      <c r="G1" t="s">
        <v>21</v>
      </c>
      <c r="H1" t="s">
        <v>10</v>
      </c>
      <c r="I1" t="s">
        <v>18</v>
      </c>
      <c r="J1" s="1" t="s">
        <v>25</v>
      </c>
      <c r="K1" t="s">
        <v>26</v>
      </c>
      <c r="L1" t="s">
        <v>1</v>
      </c>
      <c r="M1" s="1" t="s">
        <v>29</v>
      </c>
      <c r="N1" s="1" t="s">
        <v>2</v>
      </c>
      <c r="O1" t="s">
        <v>3</v>
      </c>
      <c r="P1" t="s">
        <v>4</v>
      </c>
      <c r="Q1" t="s">
        <v>5</v>
      </c>
    </row>
    <row r="2" spans="1:19" x14ac:dyDescent="0.2">
      <c r="A2">
        <v>100</v>
      </c>
      <c r="B2">
        <v>250</v>
      </c>
      <c r="C2">
        <f>SQRT(Tableau1[[#This Row],[Area (*10^3 nm^2)]]*1000)</f>
        <v>500</v>
      </c>
      <c r="D2">
        <v>5</v>
      </c>
      <c r="E2">
        <v>2.36</v>
      </c>
      <c r="F2">
        <v>1.2</v>
      </c>
      <c r="H2" t="s">
        <v>23</v>
      </c>
      <c r="I2" s="1"/>
      <c r="K2">
        <f>Tableau1[[#This Row],[Area (*10^3 nm^2)]]*Tableau1[[#This Row],[vitesse (s/scans)]]*Tableau1[[#This Row],[Magnification]]^2</f>
        <v>0</v>
      </c>
      <c r="L2" t="s">
        <v>27</v>
      </c>
      <c r="M2" s="1">
        <f>Tableau1[[#This Row],[vitesse (scans/s)]]*Tableau1[[#This Row],[Magnification]]^2</f>
        <v>0</v>
      </c>
      <c r="N2" s="1">
        <f>Tableau1[[#This Row],[rac area]]^2*Tableau1[[#This Row],[vitesse (scans/s)]]*Tableau1[[#This Row],[Magnification]]^2</f>
        <v>0</v>
      </c>
    </row>
    <row r="3" spans="1:19" x14ac:dyDescent="0.2">
      <c r="A3">
        <v>100</v>
      </c>
      <c r="B3">
        <v>90</v>
      </c>
      <c r="C3">
        <f>SQRT(Tableau1[[#This Row],[Area (*10^3 nm^2)]]*1000)</f>
        <v>300</v>
      </c>
      <c r="D3">
        <v>5</v>
      </c>
      <c r="E3">
        <v>1.59</v>
      </c>
      <c r="F3">
        <v>1.3</v>
      </c>
      <c r="H3" t="s">
        <v>23</v>
      </c>
      <c r="I3" s="1"/>
      <c r="K3">
        <f>Tableau1[[#This Row],[Area (*10^3 nm^2)]]*Tableau1[[#This Row],[vitesse (s/scans)]]*Tableau1[[#This Row],[Magnification]]^2</f>
        <v>0</v>
      </c>
      <c r="M3" s="1">
        <f>Tableau1[[#This Row],[vitesse (scans/s)]]*Tableau1[[#This Row],[Magnification]]^2</f>
        <v>0</v>
      </c>
      <c r="N3" s="1">
        <f>Tableau1[[#This Row],[rac area]]^2*Tableau1[[#This Row],[vitesse (scans/s)]]*Tableau1[[#This Row],[Magnification]]^2</f>
        <v>0</v>
      </c>
    </row>
    <row r="4" spans="1:19" x14ac:dyDescent="0.2">
      <c r="A4">
        <v>100</v>
      </c>
      <c r="B4">
        <v>62.5</v>
      </c>
      <c r="C4">
        <f>SQRT(Tableau1[[#This Row],[Area (*10^3 nm^2)]]*1000)</f>
        <v>250</v>
      </c>
      <c r="D4">
        <v>5</v>
      </c>
      <c r="E4">
        <v>1.42</v>
      </c>
      <c r="F4">
        <v>1.4</v>
      </c>
      <c r="H4" t="s">
        <v>22</v>
      </c>
      <c r="I4" s="1"/>
      <c r="K4">
        <f>Tableau1[[#This Row],[Area (*10^3 nm^2)]]*Tableau1[[#This Row],[vitesse (s/scans)]]*Tableau1[[#This Row],[Magnification]]^2</f>
        <v>0</v>
      </c>
      <c r="M4" s="1">
        <f>Tableau1[[#This Row],[vitesse (scans/s)]]*Tableau1[[#This Row],[Magnification]]^2</f>
        <v>0</v>
      </c>
      <c r="N4" s="1">
        <f>Tableau1[[#This Row],[rac area]]^2*Tableau1[[#This Row],[vitesse (scans/s)]]*Tableau1[[#This Row],[Magnification]]^2</f>
        <v>0</v>
      </c>
    </row>
    <row r="5" spans="1:19" x14ac:dyDescent="0.2">
      <c r="A5">
        <v>200</v>
      </c>
      <c r="B5">
        <v>15.625</v>
      </c>
      <c r="C5">
        <f>SQRT(Tableau1[[#This Row],[Area (*10^3 nm^2)]]*1000)</f>
        <v>125</v>
      </c>
      <c r="D5">
        <v>5</v>
      </c>
      <c r="E5">
        <v>1.74</v>
      </c>
      <c r="F5">
        <v>2.5</v>
      </c>
      <c r="H5" t="s">
        <v>23</v>
      </c>
      <c r="I5" s="1"/>
      <c r="K5">
        <f>Tableau1[[#This Row],[Area (*10^3 nm^2)]]*Tableau1[[#This Row],[vitesse (s/scans)]]*Tableau1[[#This Row],[Magnification]]^2</f>
        <v>0</v>
      </c>
      <c r="M5" s="1">
        <f>Tableau1[[#This Row],[vitesse (scans/s)]]*Tableau1[[#This Row],[Magnification]]^2</f>
        <v>0</v>
      </c>
      <c r="N5" s="1">
        <f>Tableau1[[#This Row],[rac area]]^2*Tableau1[[#This Row],[vitesse (scans/s)]]*Tableau1[[#This Row],[Magnification]]^2</f>
        <v>0</v>
      </c>
    </row>
    <row r="6" spans="1:19" x14ac:dyDescent="0.2">
      <c r="A6">
        <v>100</v>
      </c>
      <c r="B6">
        <v>62.5</v>
      </c>
      <c r="C6">
        <f>SQRT(Tableau1[[#This Row],[Area (*10^3 nm^2)]]*1000)</f>
        <v>250</v>
      </c>
      <c r="D6">
        <v>5</v>
      </c>
      <c r="E6">
        <v>1.06</v>
      </c>
      <c r="F6">
        <v>1.5</v>
      </c>
      <c r="H6" t="s">
        <v>23</v>
      </c>
      <c r="I6" s="1"/>
      <c r="K6">
        <f>Tableau1[[#This Row],[Area (*10^3 nm^2)]]*Tableau1[[#This Row],[vitesse (s/scans)]]*Tableau1[[#This Row],[Magnification]]^2</f>
        <v>0</v>
      </c>
      <c r="M6" s="1">
        <f>Tableau1[[#This Row],[vitesse (scans/s)]]*Tableau1[[#This Row],[Magnification]]^2</f>
        <v>0</v>
      </c>
      <c r="N6" s="1">
        <f>Tableau1[[#This Row],[rac area]]^2*Tableau1[[#This Row],[vitesse (scans/s)]]*Tableau1[[#This Row],[Magnification]]^2</f>
        <v>0</v>
      </c>
    </row>
    <row r="7" spans="1:19" x14ac:dyDescent="0.2">
      <c r="A7">
        <v>200</v>
      </c>
      <c r="B7">
        <v>62.5</v>
      </c>
      <c r="C7">
        <f>SQRT(Tableau1[[#This Row],[Area (*10^3 nm^2)]]*1000)</f>
        <v>250</v>
      </c>
      <c r="D7">
        <v>5</v>
      </c>
      <c r="E7">
        <v>3.54</v>
      </c>
      <c r="F7">
        <v>2.2000000000000002</v>
      </c>
      <c r="H7" t="s">
        <v>23</v>
      </c>
      <c r="I7" s="1"/>
      <c r="K7">
        <f>Tableau1[[#This Row],[Area (*10^3 nm^2)]]*Tableau1[[#This Row],[vitesse (s/scans)]]*Tableau1[[#This Row],[Magnification]]^2</f>
        <v>0</v>
      </c>
      <c r="M7" s="1">
        <f>Tableau1[[#This Row],[vitesse (scans/s)]]*Tableau1[[#This Row],[Magnification]]^2</f>
        <v>0</v>
      </c>
      <c r="N7" s="1">
        <f>Tableau1[[#This Row],[rac area]]^2*Tableau1[[#This Row],[vitesse (scans/s)]]*Tableau1[[#This Row],[Magnification]]^2</f>
        <v>0</v>
      </c>
    </row>
    <row r="8" spans="1:19" x14ac:dyDescent="0.2">
      <c r="A8">
        <v>200</v>
      </c>
      <c r="B8">
        <v>90</v>
      </c>
      <c r="C8">
        <f>SQRT(Tableau1[[#This Row],[Area (*10^3 nm^2)]]*1000)</f>
        <v>300</v>
      </c>
      <c r="D8">
        <v>5</v>
      </c>
      <c r="E8">
        <v>4.33</v>
      </c>
      <c r="F8">
        <v>2.1</v>
      </c>
      <c r="H8" t="s">
        <v>23</v>
      </c>
      <c r="I8" s="1"/>
      <c r="K8">
        <f>Tableau1[[#This Row],[Area (*10^3 nm^2)]]*Tableau1[[#This Row],[vitesse (s/scans)]]*Tableau1[[#This Row],[Magnification]]^2</f>
        <v>0</v>
      </c>
      <c r="M8" s="1">
        <f>Tableau1[[#This Row],[vitesse (scans/s)]]*Tableau1[[#This Row],[Magnification]]^2</f>
        <v>0</v>
      </c>
      <c r="N8" s="1">
        <f>Tableau1[[#This Row],[rac area]]^2*Tableau1[[#This Row],[vitesse (scans/s)]]*Tableau1[[#This Row],[Magnification]]^2</f>
        <v>0</v>
      </c>
    </row>
    <row r="9" spans="1:19" x14ac:dyDescent="0.2">
      <c r="A9">
        <v>200</v>
      </c>
      <c r="B9">
        <v>90</v>
      </c>
      <c r="C9">
        <f>SQRT(Tableau1[[#This Row],[Area (*10^3 nm^2)]]*1000)</f>
        <v>300</v>
      </c>
      <c r="D9">
        <v>5</v>
      </c>
      <c r="E9">
        <v>5.21</v>
      </c>
      <c r="F9">
        <v>2.2999999999999998</v>
      </c>
      <c r="G9">
        <v>7.6</v>
      </c>
      <c r="H9" t="s">
        <v>23</v>
      </c>
      <c r="I9" s="1">
        <f>1/Tableau1[[#This Row],[vitesse (s/scans)]]</f>
        <v>0.13157894736842105</v>
      </c>
      <c r="J9" s="1">
        <f>Tableau1[[#This Row],[Pente (nm/scans)]]*Tableau1[[#This Row],[vitesse (scans/s)]]</f>
        <v>0.68552631578947365</v>
      </c>
      <c r="K9">
        <f>Tableau1[[#This Row],[Area (*10^3 nm^2)]]*Tableau1[[#This Row],[vitesse (s/scans)]]*Tableau1[[#This Row],[Magnification]]^2</f>
        <v>27360000</v>
      </c>
      <c r="L9">
        <f>Tableau1[[#This Row],[Magnification]]*Tableau1[[#This Row],[Magnification]]*Tableau1[[#This Row],[Area (*10^3 nm^2)]]</f>
        <v>3600000</v>
      </c>
      <c r="M9" s="1">
        <f>Tableau1[[#This Row],[vitesse (scans/s)]]*Tableau1[[#This Row],[Magnification]]^2</f>
        <v>5263.1578947368416</v>
      </c>
      <c r="N9" s="1">
        <f>Tableau1[[#This Row],[rac area]]^2*Tableau1[[#This Row],[vitesse (scans/s)]]*Tableau1[[#This Row],[Magnification]]^2</f>
        <v>473684210.52631575</v>
      </c>
    </row>
    <row r="10" spans="1:19" x14ac:dyDescent="0.2">
      <c r="A10">
        <v>200</v>
      </c>
      <c r="B10">
        <v>90</v>
      </c>
      <c r="C10">
        <f>SQRT(Tableau1[[#This Row],[Area (*10^3 nm^2)]]*1000)</f>
        <v>300</v>
      </c>
      <c r="D10">
        <v>5</v>
      </c>
      <c r="E10">
        <v>4.79</v>
      </c>
      <c r="F10">
        <v>2.4</v>
      </c>
      <c r="G10">
        <v>7.5</v>
      </c>
      <c r="H10" t="s">
        <v>23</v>
      </c>
      <c r="I10" s="1">
        <f>1/Tableau1[[#This Row],[vitesse (s/scans)]]</f>
        <v>0.13333333333333333</v>
      </c>
      <c r="J10" s="1">
        <f>Tableau1[[#This Row],[Pente (nm/scans)]]*Tableau1[[#This Row],[vitesse (scans/s)]]</f>
        <v>0.63866666666666672</v>
      </c>
      <c r="K10">
        <f>Tableau1[[#This Row],[Area (*10^3 nm^2)]]*Tableau1[[#This Row],[vitesse (s/scans)]]*Tableau1[[#This Row],[Magnification]]^2</f>
        <v>27000000</v>
      </c>
      <c r="L10">
        <f>Tableau1[[#This Row],[Magnification]]*Tableau1[[#This Row],[Magnification]]*Tableau1[[#This Row],[Area (*10^3 nm^2)]]</f>
        <v>3600000</v>
      </c>
      <c r="M10" s="1">
        <f>Tableau1[[#This Row],[vitesse (scans/s)]]*Tableau1[[#This Row],[Magnification]]^2</f>
        <v>5333.333333333333</v>
      </c>
      <c r="N10" s="1">
        <f>Tableau1[[#This Row],[rac area]]^2*Tableau1[[#This Row],[vitesse (scans/s)]]*Tableau1[[#This Row],[Magnification]]^2</f>
        <v>480000000</v>
      </c>
    </row>
    <row r="11" spans="1:19" x14ac:dyDescent="0.2">
      <c r="A11">
        <v>150</v>
      </c>
      <c r="B11">
        <v>90</v>
      </c>
      <c r="C11">
        <f>SQRT(Tableau1[[#This Row],[Area (*10^3 nm^2)]]*1000)</f>
        <v>300</v>
      </c>
      <c r="D11">
        <v>5</v>
      </c>
      <c r="E11">
        <v>2.59</v>
      </c>
      <c r="F11">
        <v>3.1</v>
      </c>
      <c r="G11">
        <v>4.3</v>
      </c>
      <c r="H11" t="s">
        <v>23</v>
      </c>
      <c r="I11" s="1">
        <f>1/Tableau1[[#This Row],[vitesse (s/scans)]]</f>
        <v>0.23255813953488372</v>
      </c>
      <c r="J11" s="1">
        <f>Tableau1[[#This Row],[Pente (nm/scans)]]*Tableau1[[#This Row],[vitesse (scans/s)]]</f>
        <v>0.60232558139534875</v>
      </c>
      <c r="K11">
        <f>Tableau1[[#This Row],[Area (*10^3 nm^2)]]*Tableau1[[#This Row],[vitesse (s/scans)]]*Tableau1[[#This Row],[Magnification]]^2</f>
        <v>8707500</v>
      </c>
      <c r="L11">
        <f>Tableau1[[#This Row],[Magnification]]*Tableau1[[#This Row],[Magnification]]*Tableau1[[#This Row],[Area (*10^3 nm^2)]]</f>
        <v>2025000</v>
      </c>
      <c r="M11" s="1">
        <f>Tableau1[[#This Row],[vitesse (scans/s)]]*Tableau1[[#This Row],[Magnification]]^2</f>
        <v>5232.5581395348836</v>
      </c>
      <c r="N11" s="1">
        <f>Tableau1[[#This Row],[rac area]]^2*Tableau1[[#This Row],[vitesse (scans/s)]]*Tableau1[[#This Row],[Magnification]]^2</f>
        <v>470930232.5581395</v>
      </c>
    </row>
    <row r="12" spans="1:19" x14ac:dyDescent="0.2">
      <c r="A12">
        <v>150</v>
      </c>
      <c r="B12">
        <v>250</v>
      </c>
      <c r="C12">
        <f>SQRT(Tableau1[[#This Row],[Area (*10^3 nm^2)]]*1000)</f>
        <v>500</v>
      </c>
      <c r="D12">
        <v>5</v>
      </c>
      <c r="E12">
        <v>3.61</v>
      </c>
      <c r="F12">
        <v>3.2</v>
      </c>
      <c r="G12">
        <v>11.7</v>
      </c>
      <c r="H12" t="s">
        <v>23</v>
      </c>
      <c r="I12" s="1">
        <f>1/Tableau1[[#This Row],[vitesse (s/scans)]]</f>
        <v>8.5470085470085472E-2</v>
      </c>
      <c r="J12" s="1">
        <f>Tableau1[[#This Row],[Pente (nm/scans)]]*Tableau1[[#This Row],[vitesse (scans/s)]]</f>
        <v>0.30854700854700856</v>
      </c>
      <c r="K12">
        <f>Tableau1[[#This Row],[Area (*10^3 nm^2)]]*Tableau1[[#This Row],[vitesse (s/scans)]]*Tableau1[[#This Row],[Magnification]]^2</f>
        <v>65812500</v>
      </c>
      <c r="L12">
        <f>Tableau1[[#This Row],[Magnification]]*Tableau1[[#This Row],[Magnification]]*Tableau1[[#This Row],[Area (*10^3 nm^2)]]</f>
        <v>5625000</v>
      </c>
      <c r="M12" s="1">
        <f>Tableau1[[#This Row],[vitesse (scans/s)]]*Tableau1[[#This Row],[Magnification]]^2</f>
        <v>1923.0769230769231</v>
      </c>
      <c r="N12" s="1">
        <f>Tableau1[[#This Row],[rac area]]^2*Tableau1[[#This Row],[vitesse (scans/s)]]*Tableau1[[#This Row],[Magnification]]^2</f>
        <v>480769230.76923078</v>
      </c>
      <c r="S12">
        <f>1923*90/5232</f>
        <v>33.079128440366972</v>
      </c>
    </row>
    <row r="13" spans="1:19" x14ac:dyDescent="0.2">
      <c r="A13">
        <v>100</v>
      </c>
      <c r="B13">
        <v>562.5</v>
      </c>
      <c r="C13">
        <f>SQRT(Tableau1[[#This Row],[Area (*10^3 nm^2)]]*1000)</f>
        <v>750</v>
      </c>
      <c r="D13">
        <v>5</v>
      </c>
      <c r="E13">
        <v>1.93</v>
      </c>
      <c r="F13" t="s">
        <v>20</v>
      </c>
      <c r="G13">
        <v>11.8</v>
      </c>
      <c r="H13" t="s">
        <v>23</v>
      </c>
      <c r="I13" s="1">
        <f>1/Tableau1[[#This Row],[vitesse (s/scans)]]</f>
        <v>8.4745762711864403E-2</v>
      </c>
      <c r="J13" s="1">
        <f>Tableau1[[#This Row],[Pente (nm/scans)]]*Tableau1[[#This Row],[vitesse (scans/s)]]</f>
        <v>0.16355932203389828</v>
      </c>
      <c r="K13">
        <f>Tableau1[[#This Row],[Area (*10^3 nm^2)]]*Tableau1[[#This Row],[vitesse (s/scans)]]*Tableau1[[#This Row],[Magnification]]^2</f>
        <v>66375000</v>
      </c>
      <c r="L13">
        <f>Tableau1[[#This Row],[Magnification]]*Tableau1[[#This Row],[Magnification]]*Tableau1[[#This Row],[Area (*10^3 nm^2)]]</f>
        <v>5625000</v>
      </c>
      <c r="M13" s="1">
        <f>Tableau1[[#This Row],[vitesse (scans/s)]]*Tableau1[[#This Row],[Magnification]]^2</f>
        <v>847.45762711864404</v>
      </c>
      <c r="N13" s="1">
        <f>Tableau1[[#This Row],[rac area]]^2*Tableau1[[#This Row],[vitesse (scans/s)]]*Tableau1[[#This Row],[Magnification]]^2</f>
        <v>476694915.25423729</v>
      </c>
    </row>
    <row r="14" spans="1:19" x14ac:dyDescent="0.2">
      <c r="A14">
        <v>200</v>
      </c>
      <c r="B14">
        <v>62.5</v>
      </c>
      <c r="C14">
        <f>SQRT(Tableau1[[#This Row],[Area (*10^3 nm^2)]]*1000)</f>
        <v>250</v>
      </c>
      <c r="D14">
        <v>5</v>
      </c>
      <c r="F14" t="s">
        <v>13</v>
      </c>
      <c r="G14">
        <v>5.3</v>
      </c>
      <c r="H14" t="s">
        <v>23</v>
      </c>
      <c r="I14" s="1">
        <f>1/Tableau1[[#This Row],[vitesse (s/scans)]]</f>
        <v>0.18867924528301888</v>
      </c>
      <c r="J14" s="1">
        <f>Tableau1[[#This Row],[Pente (nm/scans)]]*Tableau1[[#This Row],[vitesse (scans/s)]]</f>
        <v>0</v>
      </c>
      <c r="K14">
        <f>Tableau1[[#This Row],[Area (*10^3 nm^2)]]*Tableau1[[#This Row],[vitesse (s/scans)]]*Tableau1[[#This Row],[Magnification]]^2</f>
        <v>13250000</v>
      </c>
      <c r="L14">
        <f>Tableau1[[#This Row],[Magnification]]*Tableau1[[#This Row],[Magnification]]*Tableau1[[#This Row],[Area (*10^3 nm^2)]]</f>
        <v>2500000</v>
      </c>
      <c r="M14" s="1">
        <f>Tableau1[[#This Row],[vitesse (scans/s)]]*Tableau1[[#This Row],[Magnification]]^2</f>
        <v>7547.1698113207549</v>
      </c>
      <c r="N14" s="1">
        <f>Tableau1[[#This Row],[rac area]]^2*Tableau1[[#This Row],[vitesse (scans/s)]]*Tableau1[[#This Row],[Magnification]]^2</f>
        <v>471698113.20754719</v>
      </c>
    </row>
    <row r="15" spans="1:19" x14ac:dyDescent="0.2">
      <c r="A15">
        <v>100</v>
      </c>
      <c r="B15">
        <v>250</v>
      </c>
      <c r="C15">
        <f>SQRT(Tableau1[[#This Row],[Area (*10^3 nm^2)]]*1000)</f>
        <v>500</v>
      </c>
      <c r="D15">
        <v>10</v>
      </c>
      <c r="E15">
        <v>0.99</v>
      </c>
      <c r="F15">
        <v>4.0999999999999996</v>
      </c>
      <c r="G15">
        <v>5.32</v>
      </c>
      <c r="H15" t="s">
        <v>23</v>
      </c>
      <c r="I15" s="1">
        <f>1/Tableau1[[#This Row],[vitesse (s/scans)]]</f>
        <v>0.18796992481203006</v>
      </c>
      <c r="J15" s="1">
        <f>Tableau1[[#This Row],[Pente (nm/scans)]]*Tableau1[[#This Row],[vitesse (scans/s)]]</f>
        <v>0.18609022556390975</v>
      </c>
      <c r="K15">
        <f>Tableau1[[#This Row],[Area (*10^3 nm^2)]]*Tableau1[[#This Row],[vitesse (s/scans)]]*Tableau1[[#This Row],[Magnification]]^2</f>
        <v>13300000</v>
      </c>
      <c r="L15">
        <f>Tableau1[[#This Row],[Magnification]]*Tableau1[[#This Row],[Magnification]]*Tableau1[[#This Row],[Area (*10^3 nm^2)]]</f>
        <v>2500000</v>
      </c>
      <c r="M15" s="1">
        <f>Tableau1[[#This Row],[vitesse (scans/s)]]*Tableau1[[#This Row],[Magnification]]^2</f>
        <v>1879.6992481203006</v>
      </c>
      <c r="N15" s="1">
        <f>Tableau1[[#This Row],[rac area]]^2*Tableau1[[#This Row],[vitesse (scans/s)]]*Tableau1[[#This Row],[Magnification]]^2</f>
        <v>469924812.03007519</v>
      </c>
    </row>
    <row r="16" spans="1:19" x14ac:dyDescent="0.2">
      <c r="C16">
        <f>SQRT(Tableau1[[#This Row],[Area (*10^3 nm^2)]]*1000)</f>
        <v>0</v>
      </c>
      <c r="I16" s="1"/>
      <c r="K16">
        <f>Tableau1[[#This Row],[Area (*10^3 nm^2)]]*Tableau1[[#This Row],[vitesse (s/scans)]]*Tableau1[[#This Row],[Magnification]]^2</f>
        <v>0</v>
      </c>
      <c r="M16" s="1">
        <f>Tableau1[[#This Row],[vitesse (scans/s)]]*Tableau1[[#This Row],[Magnification]]^2</f>
        <v>0</v>
      </c>
      <c r="N16" s="1">
        <f>Tableau1[[#This Row],[rac area]]^2*Tableau1[[#This Row],[vitesse (scans/s)]]*Tableau1[[#This Row],[Magnification]]^2</f>
        <v>0</v>
      </c>
    </row>
    <row r="17" spans="3:15" x14ac:dyDescent="0.2">
      <c r="C17">
        <f>SQRT(Tableau1[[#This Row],[Area (*10^3 nm^2)]]*1000)</f>
        <v>0</v>
      </c>
      <c r="I17" s="1"/>
      <c r="K17">
        <f>Tableau1[[#This Row],[Area (*10^3 nm^2)]]*Tableau1[[#This Row],[vitesse (s/scans)]]*Tableau1[[#This Row],[Magnification]]^2</f>
        <v>0</v>
      </c>
      <c r="M17" s="1">
        <f>Tableau1[[#This Row],[vitesse (scans/s)]]*Tableau1[[#This Row],[Magnification]]^2</f>
        <v>0</v>
      </c>
      <c r="N17" s="1">
        <f>Tableau1[[#This Row],[rac area]]^2*Tableau1[[#This Row],[vitesse (scans/s)]]*Tableau1[[#This Row],[Magnification]]^2</f>
        <v>0</v>
      </c>
    </row>
    <row r="18" spans="3:15" x14ac:dyDescent="0.2">
      <c r="C18">
        <f>SQRT(Tableau1[[#This Row],[Area (*10^3 nm^2)]]*1000)</f>
        <v>0</v>
      </c>
      <c r="I18" s="1"/>
      <c r="K18">
        <f>Tableau1[[#This Row],[Area (*10^3 nm^2)]]*Tableau1[[#This Row],[vitesse (s/scans)]]*Tableau1[[#This Row],[Magnification]]^2</f>
        <v>0</v>
      </c>
      <c r="M18" s="1">
        <f>Tableau1[[#This Row],[vitesse (scans/s)]]*Tableau1[[#This Row],[Magnification]]^2</f>
        <v>0</v>
      </c>
      <c r="N18" s="1">
        <f>Tableau1[[#This Row],[rac area]]^2*Tableau1[[#This Row],[vitesse (scans/s)]]*Tableau1[[#This Row],[Magnification]]^2</f>
        <v>0</v>
      </c>
    </row>
    <row r="19" spans="3:15" x14ac:dyDescent="0.2">
      <c r="C19">
        <f>SQRT(Tableau1[[#This Row],[Area (*10^3 nm^2)]]*1000)</f>
        <v>0</v>
      </c>
      <c r="I19" s="1"/>
      <c r="K19">
        <f>Tableau1[[#This Row],[Area (*10^3 nm^2)]]*Tableau1[[#This Row],[vitesse (s/scans)]]*Tableau1[[#This Row],[Magnification]]^2</f>
        <v>0</v>
      </c>
      <c r="M19" s="1">
        <f>Tableau1[[#This Row],[vitesse (scans/s)]]*Tableau1[[#This Row],[Magnification]]^2</f>
        <v>0</v>
      </c>
      <c r="N19" s="1">
        <f>Tableau1[[#This Row],[rac area]]^2*Tableau1[[#This Row],[vitesse (scans/s)]]*Tableau1[[#This Row],[Magnification]]^2</f>
        <v>0</v>
      </c>
    </row>
    <row r="20" spans="3:15" x14ac:dyDescent="0.2">
      <c r="C20">
        <f>SQRT(Tableau1[[#This Row],[Area (*10^3 nm^2)]]*1000)</f>
        <v>0</v>
      </c>
      <c r="I20" s="1"/>
      <c r="K20">
        <f>Tableau1[[#This Row],[Area (*10^3 nm^2)]]*Tableau1[[#This Row],[vitesse (s/scans)]]*Tableau1[[#This Row],[Magnification]]^2</f>
        <v>0</v>
      </c>
      <c r="M20" s="1">
        <f>Tableau1[[#This Row],[vitesse (scans/s)]]*Tableau1[[#This Row],[Magnification]]^2</f>
        <v>0</v>
      </c>
      <c r="N20" s="1">
        <f>Tableau1[[#This Row],[rac area]]^2*Tableau1[[#This Row],[vitesse (scans/s)]]*Tableau1[[#This Row],[Magnification]]^2</f>
        <v>0</v>
      </c>
    </row>
    <row r="21" spans="3:15" x14ac:dyDescent="0.2">
      <c r="C21">
        <f>SQRT(Tableau1[[#This Row],[Area (*10^3 nm^2)]]*1000)</f>
        <v>0</v>
      </c>
      <c r="I21" s="1"/>
      <c r="K21">
        <f>Tableau1[[#This Row],[Area (*10^3 nm^2)]]*Tableau1[[#This Row],[vitesse (s/scans)]]*Tableau1[[#This Row],[Magnification]]^2</f>
        <v>0</v>
      </c>
      <c r="M21" s="1">
        <f>Tableau1[[#This Row],[vitesse (scans/s)]]*Tableau1[[#This Row],[Magnification]]^2</f>
        <v>0</v>
      </c>
      <c r="N21" s="1">
        <f>Tableau1[[#This Row],[rac area]]^2*Tableau1[[#This Row],[vitesse (scans/s)]]*Tableau1[[#This Row],[Magnification]]^2</f>
        <v>0</v>
      </c>
    </row>
    <row r="22" spans="3:15" x14ac:dyDescent="0.2">
      <c r="C22">
        <f>SQRT(Tableau1[[#This Row],[Area (*10^3 nm^2)]]*1000)</f>
        <v>0</v>
      </c>
      <c r="I22" s="1"/>
      <c r="K22">
        <f>Tableau1[[#This Row],[Area (*10^3 nm^2)]]*Tableau1[[#This Row],[vitesse (s/scans)]]*Tableau1[[#This Row],[Magnification]]^2</f>
        <v>0</v>
      </c>
      <c r="M22" s="1">
        <f>Tableau1[[#This Row],[vitesse (scans/s)]]*Tableau1[[#This Row],[Magnification]]^2</f>
        <v>0</v>
      </c>
      <c r="N22" s="1">
        <f>Tableau1[[#This Row],[rac area]]^2*Tableau1[[#This Row],[vitesse (scans/s)]]*Tableau1[[#This Row],[Magnification]]^2</f>
        <v>0</v>
      </c>
    </row>
    <row r="23" spans="3:15" x14ac:dyDescent="0.2">
      <c r="C23">
        <f>SQRT(Tableau1[[#This Row],[Area (*10^3 nm^2)]]*1000)</f>
        <v>0</v>
      </c>
      <c r="I23" s="1"/>
      <c r="K23">
        <f>Tableau1[[#This Row],[Area (*10^3 nm^2)]]*Tableau1[[#This Row],[vitesse (s/scans)]]*Tableau1[[#This Row],[Magnification]]^2</f>
        <v>0</v>
      </c>
      <c r="M23" s="1">
        <f>Tableau1[[#This Row],[vitesse (scans/s)]]*Tableau1[[#This Row],[Magnification]]^2</f>
        <v>0</v>
      </c>
      <c r="N23" s="1">
        <f>Tableau1[[#This Row],[rac area]]^2*Tableau1[[#This Row],[vitesse (scans/s)]]*Tableau1[[#This Row],[Magnification]]^2</f>
        <v>0</v>
      </c>
    </row>
    <row r="24" spans="3:15" x14ac:dyDescent="0.2">
      <c r="I24" s="1"/>
      <c r="K24" s="2"/>
      <c r="L24">
        <f>0.09/0.23</f>
        <v>0.39130434782608692</v>
      </c>
    </row>
    <row r="25" spans="3:15" x14ac:dyDescent="0.2">
      <c r="I25" s="1"/>
      <c r="K25" s="2"/>
    </row>
    <row r="26" spans="3:15" x14ac:dyDescent="0.2">
      <c r="I26" s="1"/>
      <c r="K26" s="2"/>
      <c r="M26" s="1" t="s">
        <v>30</v>
      </c>
      <c r="N26" s="1">
        <f>AVERAGE(N9:N15)</f>
        <v>474814502.04936367</v>
      </c>
    </row>
    <row r="27" spans="3:15" x14ac:dyDescent="0.2">
      <c r="I27" s="1"/>
      <c r="K27" s="2"/>
    </row>
    <row r="28" spans="3:15" x14ac:dyDescent="0.2">
      <c r="I28" s="1"/>
      <c r="K28" s="2"/>
    </row>
    <row r="29" spans="3:15" x14ac:dyDescent="0.2">
      <c r="I29" s="1"/>
      <c r="K29" s="2"/>
    </row>
    <row r="30" spans="3:15" x14ac:dyDescent="0.2">
      <c r="I30" s="1"/>
      <c r="K30" s="2"/>
    </row>
    <row r="31" spans="3:15" x14ac:dyDescent="0.2">
      <c r="N31" s="1" t="s">
        <v>30</v>
      </c>
      <c r="O31" s="1" t="e">
        <f>AVERAGE(O14:O20)</f>
        <v>#DIV/0!</v>
      </c>
    </row>
    <row r="33" spans="1:6" x14ac:dyDescent="0.2">
      <c r="A33">
        <v>100</v>
      </c>
      <c r="B33">
        <f>500*500</f>
        <v>250000</v>
      </c>
      <c r="D33">
        <v>5</v>
      </c>
      <c r="E33" t="s">
        <v>7</v>
      </c>
      <c r="F33" t="s">
        <v>8</v>
      </c>
    </row>
    <row r="34" spans="1:6" x14ac:dyDescent="0.2">
      <c r="E34">
        <v>2</v>
      </c>
      <c r="F34">
        <v>62.5</v>
      </c>
    </row>
    <row r="35" spans="1:6" x14ac:dyDescent="0.2">
      <c r="E35">
        <v>6</v>
      </c>
      <c r="F35">
        <v>54.7</v>
      </c>
    </row>
    <row r="36" spans="1:6" x14ac:dyDescent="0.2">
      <c r="E36">
        <v>10</v>
      </c>
      <c r="F36">
        <v>44.7</v>
      </c>
    </row>
    <row r="37" spans="1:6" x14ac:dyDescent="0.2">
      <c r="E37">
        <v>14</v>
      </c>
      <c r="F37">
        <v>36.799999999999997</v>
      </c>
    </row>
    <row r="38" spans="1:6" x14ac:dyDescent="0.2">
      <c r="E38">
        <v>17</v>
      </c>
      <c r="F38">
        <v>30.2</v>
      </c>
    </row>
    <row r="39" spans="1:6" x14ac:dyDescent="0.2">
      <c r="E39">
        <v>20</v>
      </c>
      <c r="F39">
        <v>21.2</v>
      </c>
    </row>
    <row r="40" spans="1:6" x14ac:dyDescent="0.2">
      <c r="E40">
        <v>22</v>
      </c>
      <c r="F40">
        <v>13.4</v>
      </c>
    </row>
    <row r="41" spans="1:6" x14ac:dyDescent="0.2">
      <c r="E41">
        <v>24</v>
      </c>
      <c r="F41">
        <v>10.1</v>
      </c>
    </row>
    <row r="42" spans="1:6" x14ac:dyDescent="0.2">
      <c r="E42">
        <v>26</v>
      </c>
      <c r="F42">
        <v>8.9</v>
      </c>
    </row>
    <row r="43" spans="1:6" x14ac:dyDescent="0.2">
      <c r="E43">
        <v>30</v>
      </c>
    </row>
    <row r="45" spans="1:6" x14ac:dyDescent="0.2">
      <c r="A45">
        <v>100</v>
      </c>
      <c r="B45">
        <f>300*300</f>
        <v>90000</v>
      </c>
      <c r="D45">
        <v>5</v>
      </c>
      <c r="E45" t="s">
        <v>7</v>
      </c>
      <c r="F45" t="s">
        <v>9</v>
      </c>
    </row>
    <row r="46" spans="1:6" x14ac:dyDescent="0.2">
      <c r="E46">
        <v>0</v>
      </c>
      <c r="F46">
        <v>67</v>
      </c>
    </row>
    <row r="47" spans="1:6" x14ac:dyDescent="0.2">
      <c r="E47">
        <v>4</v>
      </c>
      <c r="F47">
        <v>60.3</v>
      </c>
    </row>
    <row r="48" spans="1:6" x14ac:dyDescent="0.2">
      <c r="E48">
        <v>8</v>
      </c>
      <c r="F48">
        <v>51.4</v>
      </c>
    </row>
    <row r="49" spans="1:7" x14ac:dyDescent="0.2">
      <c r="E49">
        <v>12</v>
      </c>
      <c r="F49">
        <v>49.1</v>
      </c>
    </row>
    <row r="50" spans="1:7" x14ac:dyDescent="0.2">
      <c r="E50">
        <v>16</v>
      </c>
      <c r="F50">
        <v>42.4</v>
      </c>
    </row>
    <row r="51" spans="1:7" x14ac:dyDescent="0.2">
      <c r="E51">
        <v>20</v>
      </c>
      <c r="F51">
        <v>34.6</v>
      </c>
    </row>
    <row r="52" spans="1:7" x14ac:dyDescent="0.2">
      <c r="E52">
        <v>24</v>
      </c>
      <c r="F52">
        <v>29</v>
      </c>
    </row>
    <row r="53" spans="1:7" x14ac:dyDescent="0.2">
      <c r="E53">
        <v>28</v>
      </c>
      <c r="F53">
        <v>22.3</v>
      </c>
    </row>
    <row r="54" spans="1:7" x14ac:dyDescent="0.2">
      <c r="E54">
        <v>32</v>
      </c>
      <c r="F54">
        <v>13.4</v>
      </c>
    </row>
    <row r="55" spans="1:7" x14ac:dyDescent="0.2">
      <c r="E55">
        <v>37</v>
      </c>
      <c r="F55">
        <v>8.9</v>
      </c>
    </row>
    <row r="57" spans="1:7" x14ac:dyDescent="0.2">
      <c r="A57">
        <v>100</v>
      </c>
      <c r="B57">
        <f>250*250</f>
        <v>62500</v>
      </c>
      <c r="D57">
        <v>5</v>
      </c>
      <c r="E57" t="s">
        <v>7</v>
      </c>
      <c r="F57" t="s">
        <v>9</v>
      </c>
      <c r="G57" t="s">
        <v>10</v>
      </c>
    </row>
    <row r="58" spans="1:7" x14ac:dyDescent="0.2">
      <c r="E58">
        <v>0</v>
      </c>
      <c r="F58">
        <v>70.3</v>
      </c>
    </row>
    <row r="59" spans="1:7" x14ac:dyDescent="0.2">
      <c r="E59">
        <v>3</v>
      </c>
      <c r="F59">
        <v>68.099999999999994</v>
      </c>
    </row>
    <row r="60" spans="1:7" x14ac:dyDescent="0.2">
      <c r="E60">
        <v>6</v>
      </c>
      <c r="F60">
        <v>63.6</v>
      </c>
    </row>
    <row r="61" spans="1:7" x14ac:dyDescent="0.2">
      <c r="E61">
        <v>9</v>
      </c>
      <c r="F61">
        <v>60.3</v>
      </c>
    </row>
    <row r="62" spans="1:7" x14ac:dyDescent="0.2">
      <c r="E62">
        <v>12</v>
      </c>
      <c r="F62">
        <v>58.1</v>
      </c>
    </row>
    <row r="63" spans="1:7" x14ac:dyDescent="0.2">
      <c r="E63">
        <v>15</v>
      </c>
      <c r="F63">
        <v>55.7</v>
      </c>
    </row>
    <row r="64" spans="1:7" x14ac:dyDescent="0.2">
      <c r="E64">
        <v>18</v>
      </c>
      <c r="F64">
        <v>50.2</v>
      </c>
    </row>
    <row r="65" spans="1:8" x14ac:dyDescent="0.2">
      <c r="E65">
        <v>21</v>
      </c>
      <c r="F65">
        <v>46.9</v>
      </c>
    </row>
    <row r="66" spans="1:8" x14ac:dyDescent="0.2">
      <c r="E66">
        <v>24</v>
      </c>
      <c r="F66">
        <v>42.4</v>
      </c>
    </row>
    <row r="67" spans="1:8" x14ac:dyDescent="0.2">
      <c r="E67">
        <v>27</v>
      </c>
      <c r="F67">
        <v>40.200000000000003</v>
      </c>
    </row>
    <row r="68" spans="1:8" x14ac:dyDescent="0.2">
      <c r="E68">
        <v>30</v>
      </c>
      <c r="F68">
        <v>35.700000000000003</v>
      </c>
    </row>
    <row r="69" spans="1:8" x14ac:dyDescent="0.2">
      <c r="E69">
        <v>33</v>
      </c>
      <c r="F69">
        <v>26.8</v>
      </c>
    </row>
    <row r="70" spans="1:8" x14ac:dyDescent="0.2">
      <c r="E70">
        <v>36</v>
      </c>
      <c r="F70">
        <v>22.3</v>
      </c>
    </row>
    <row r="71" spans="1:8" x14ac:dyDescent="0.2">
      <c r="E71">
        <v>39</v>
      </c>
      <c r="F71">
        <v>16.8</v>
      </c>
    </row>
    <row r="72" spans="1:8" x14ac:dyDescent="0.2">
      <c r="E72">
        <v>42</v>
      </c>
      <c r="F72">
        <v>12.3</v>
      </c>
    </row>
    <row r="73" spans="1:8" x14ac:dyDescent="0.2">
      <c r="E73">
        <v>45</v>
      </c>
      <c r="F73">
        <v>7.8</v>
      </c>
    </row>
    <row r="74" spans="1:8" x14ac:dyDescent="0.2">
      <c r="E74">
        <v>46</v>
      </c>
      <c r="F74">
        <v>6.7</v>
      </c>
    </row>
    <row r="76" spans="1:8" x14ac:dyDescent="0.2">
      <c r="A76">
        <v>200</v>
      </c>
      <c r="B76">
        <f>125*125</f>
        <v>15625</v>
      </c>
      <c r="D76">
        <v>5</v>
      </c>
      <c r="E76" t="s">
        <v>7</v>
      </c>
      <c r="F76" t="s">
        <v>9</v>
      </c>
      <c r="G76" t="s">
        <v>11</v>
      </c>
      <c r="H76">
        <v>2.5</v>
      </c>
    </row>
    <row r="77" spans="1:8" x14ac:dyDescent="0.2">
      <c r="E77">
        <v>0</v>
      </c>
      <c r="F77">
        <v>69</v>
      </c>
    </row>
    <row r="78" spans="1:8" x14ac:dyDescent="0.2">
      <c r="E78">
        <v>3</v>
      </c>
      <c r="F78">
        <v>62</v>
      </c>
    </row>
    <row r="79" spans="1:8" x14ac:dyDescent="0.2">
      <c r="E79">
        <v>7</v>
      </c>
      <c r="F79">
        <v>52</v>
      </c>
    </row>
    <row r="80" spans="1:8" x14ac:dyDescent="0.2">
      <c r="E80">
        <v>14</v>
      </c>
      <c r="F80">
        <v>41</v>
      </c>
    </row>
    <row r="81" spans="1:8" x14ac:dyDescent="0.2">
      <c r="E81">
        <v>19</v>
      </c>
      <c r="F81">
        <v>34</v>
      </c>
    </row>
    <row r="82" spans="1:8" x14ac:dyDescent="0.2">
      <c r="E82">
        <v>25</v>
      </c>
      <c r="F82">
        <v>23</v>
      </c>
    </row>
    <row r="83" spans="1:8" x14ac:dyDescent="0.2">
      <c r="E83">
        <v>32</v>
      </c>
      <c r="F83">
        <v>12.3</v>
      </c>
    </row>
    <row r="84" spans="1:8" x14ac:dyDescent="0.2">
      <c r="E84">
        <v>35</v>
      </c>
      <c r="F84">
        <v>6</v>
      </c>
    </row>
    <row r="86" spans="1:8" x14ac:dyDescent="0.2">
      <c r="A86">
        <v>100</v>
      </c>
      <c r="B86">
        <f>250*250</f>
        <v>62500</v>
      </c>
      <c r="D86">
        <v>5</v>
      </c>
      <c r="E86" t="s">
        <v>7</v>
      </c>
      <c r="F86" t="s">
        <v>9</v>
      </c>
      <c r="G86" t="s">
        <v>11</v>
      </c>
      <c r="H86">
        <v>1.5</v>
      </c>
    </row>
    <row r="87" spans="1:8" x14ac:dyDescent="0.2">
      <c r="E87">
        <v>0</v>
      </c>
      <c r="F87">
        <v>71.5</v>
      </c>
    </row>
    <row r="88" spans="1:8" x14ac:dyDescent="0.2">
      <c r="E88">
        <v>6</v>
      </c>
      <c r="F88">
        <v>61.4</v>
      </c>
    </row>
    <row r="89" spans="1:8" x14ac:dyDescent="0.2">
      <c r="E89">
        <v>12</v>
      </c>
      <c r="F89">
        <v>54</v>
      </c>
    </row>
    <row r="90" spans="1:8" x14ac:dyDescent="0.2">
      <c r="E90">
        <v>17</v>
      </c>
      <c r="F90">
        <v>52</v>
      </c>
    </row>
    <row r="91" spans="1:8" x14ac:dyDescent="0.2">
      <c r="E91">
        <v>22</v>
      </c>
      <c r="F91">
        <v>49</v>
      </c>
    </row>
    <row r="92" spans="1:8" x14ac:dyDescent="0.2">
      <c r="E92">
        <v>28</v>
      </c>
      <c r="F92">
        <v>42</v>
      </c>
    </row>
    <row r="93" spans="1:8" x14ac:dyDescent="0.2">
      <c r="E93">
        <v>34</v>
      </c>
      <c r="F93">
        <v>34</v>
      </c>
    </row>
    <row r="94" spans="1:8" x14ac:dyDescent="0.2">
      <c r="E94">
        <v>39</v>
      </c>
      <c r="F94">
        <v>29</v>
      </c>
    </row>
    <row r="95" spans="1:8" x14ac:dyDescent="0.2">
      <c r="E95">
        <v>45</v>
      </c>
      <c r="F95">
        <v>21</v>
      </c>
    </row>
    <row r="96" spans="1:8" x14ac:dyDescent="0.2">
      <c r="E96">
        <v>50</v>
      </c>
      <c r="F96">
        <v>13</v>
      </c>
    </row>
    <row r="97" spans="1:8" x14ac:dyDescent="0.2">
      <c r="E97">
        <v>58</v>
      </c>
      <c r="F97">
        <v>11</v>
      </c>
    </row>
    <row r="99" spans="1:8" x14ac:dyDescent="0.2">
      <c r="A99">
        <v>200</v>
      </c>
      <c r="B99">
        <f>250*250</f>
        <v>62500</v>
      </c>
      <c r="D99">
        <v>5</v>
      </c>
      <c r="E99" t="s">
        <v>7</v>
      </c>
      <c r="F99" t="s">
        <v>9</v>
      </c>
      <c r="G99" t="s">
        <v>11</v>
      </c>
      <c r="H99">
        <v>2.2000000000000002</v>
      </c>
    </row>
    <row r="100" spans="1:8" x14ac:dyDescent="0.2">
      <c r="E100">
        <v>0</v>
      </c>
      <c r="F100">
        <v>63.6</v>
      </c>
    </row>
    <row r="101" spans="1:8" x14ac:dyDescent="0.2">
      <c r="E101">
        <v>1</v>
      </c>
      <c r="F101">
        <v>62.5</v>
      </c>
    </row>
    <row r="102" spans="1:8" x14ac:dyDescent="0.2">
      <c r="E102">
        <v>2</v>
      </c>
      <c r="F102">
        <v>58</v>
      </c>
    </row>
    <row r="103" spans="1:8" x14ac:dyDescent="0.2">
      <c r="E103">
        <v>4</v>
      </c>
      <c r="F103">
        <v>53.6</v>
      </c>
    </row>
    <row r="104" spans="1:8" x14ac:dyDescent="0.2">
      <c r="E104">
        <v>6</v>
      </c>
      <c r="F104">
        <v>48</v>
      </c>
    </row>
    <row r="105" spans="1:8" x14ac:dyDescent="0.2">
      <c r="E105">
        <v>8</v>
      </c>
      <c r="F105">
        <v>40.700000000000003</v>
      </c>
    </row>
    <row r="106" spans="1:8" x14ac:dyDescent="0.2">
      <c r="E106">
        <v>10</v>
      </c>
      <c r="F106">
        <v>31</v>
      </c>
    </row>
    <row r="107" spans="1:8" x14ac:dyDescent="0.2">
      <c r="E107">
        <v>11</v>
      </c>
      <c r="F107">
        <v>30</v>
      </c>
    </row>
    <row r="108" spans="1:8" x14ac:dyDescent="0.2">
      <c r="E108">
        <v>13</v>
      </c>
      <c r="F108">
        <v>18</v>
      </c>
    </row>
    <row r="109" spans="1:8" x14ac:dyDescent="0.2">
      <c r="E109">
        <v>14</v>
      </c>
      <c r="F109">
        <v>13.4</v>
      </c>
    </row>
    <row r="110" spans="1:8" x14ac:dyDescent="0.2">
      <c r="E110">
        <v>16</v>
      </c>
      <c r="F110">
        <v>10</v>
      </c>
    </row>
    <row r="112" spans="1:8" x14ac:dyDescent="0.2">
      <c r="A112" s="20">
        <v>200</v>
      </c>
      <c r="B112">
        <f>300*300</f>
        <v>90000</v>
      </c>
      <c r="D112">
        <v>5</v>
      </c>
      <c r="E112" t="s">
        <v>7</v>
      </c>
      <c r="F112" t="s">
        <v>9</v>
      </c>
      <c r="G112" t="s">
        <v>11</v>
      </c>
      <c r="H112">
        <v>2.1</v>
      </c>
    </row>
    <row r="113" spans="1:16" x14ac:dyDescent="0.2">
      <c r="A113" s="20"/>
      <c r="E113">
        <v>0</v>
      </c>
      <c r="F113">
        <v>69</v>
      </c>
    </row>
    <row r="114" spans="1:16" x14ac:dyDescent="0.2">
      <c r="A114" s="20"/>
      <c r="E114">
        <v>1</v>
      </c>
      <c r="F114">
        <v>68</v>
      </c>
    </row>
    <row r="115" spans="1:16" x14ac:dyDescent="0.2">
      <c r="A115" s="20"/>
      <c r="E115">
        <v>2</v>
      </c>
      <c r="F115">
        <v>65</v>
      </c>
    </row>
    <row r="116" spans="1:16" x14ac:dyDescent="0.2">
      <c r="A116" s="20"/>
      <c r="E116">
        <v>4</v>
      </c>
      <c r="F116">
        <v>58</v>
      </c>
    </row>
    <row r="117" spans="1:16" x14ac:dyDescent="0.2">
      <c r="A117" s="20"/>
      <c r="E117">
        <v>6</v>
      </c>
      <c r="F117">
        <v>51</v>
      </c>
    </row>
    <row r="118" spans="1:16" x14ac:dyDescent="0.2">
      <c r="A118" s="20"/>
      <c r="E118">
        <v>8</v>
      </c>
      <c r="F118">
        <v>42</v>
      </c>
    </row>
    <row r="119" spans="1:16" x14ac:dyDescent="0.2">
      <c r="A119" s="20"/>
      <c r="E119">
        <v>10</v>
      </c>
      <c r="F119">
        <v>31</v>
      </c>
    </row>
    <row r="120" spans="1:16" x14ac:dyDescent="0.2">
      <c r="A120" s="20"/>
      <c r="E120">
        <v>12</v>
      </c>
      <c r="F120">
        <v>21</v>
      </c>
    </row>
    <row r="121" spans="1:16" x14ac:dyDescent="0.2">
      <c r="A121" s="20"/>
      <c r="E121">
        <v>13</v>
      </c>
      <c r="F121">
        <v>16</v>
      </c>
    </row>
    <row r="122" spans="1:16" x14ac:dyDescent="0.2">
      <c r="A122" s="20"/>
      <c r="E122">
        <v>14</v>
      </c>
      <c r="F122">
        <v>11</v>
      </c>
    </row>
    <row r="123" spans="1:16" x14ac:dyDescent="0.2">
      <c r="A123" s="20"/>
      <c r="E123">
        <v>15</v>
      </c>
      <c r="F123">
        <v>7</v>
      </c>
    </row>
    <row r="124" spans="1:16" x14ac:dyDescent="0.2">
      <c r="A124" s="20"/>
      <c r="P124">
        <v>4.33</v>
      </c>
    </row>
    <row r="125" spans="1:16" x14ac:dyDescent="0.2">
      <c r="A125" s="20">
        <v>200</v>
      </c>
      <c r="B125">
        <f>300*300</f>
        <v>90000</v>
      </c>
      <c r="D125">
        <v>5</v>
      </c>
      <c r="E125" t="s">
        <v>7</v>
      </c>
      <c r="F125" t="s">
        <v>9</v>
      </c>
      <c r="G125" t="s">
        <v>11</v>
      </c>
      <c r="H125">
        <v>2.2999999999999998</v>
      </c>
      <c r="I125" t="s">
        <v>12</v>
      </c>
      <c r="J125" s="1" t="s">
        <v>13</v>
      </c>
      <c r="P125">
        <v>5.21</v>
      </c>
    </row>
    <row r="126" spans="1:16" x14ac:dyDescent="0.2">
      <c r="A126" s="20"/>
      <c r="E126">
        <v>0</v>
      </c>
      <c r="F126">
        <v>67</v>
      </c>
      <c r="I126">
        <v>12</v>
      </c>
      <c r="J126" s="1">
        <v>91</v>
      </c>
      <c r="P126">
        <v>4.79</v>
      </c>
    </row>
    <row r="127" spans="1:16" x14ac:dyDescent="0.2">
      <c r="A127" s="20"/>
      <c r="E127">
        <v>2</v>
      </c>
      <c r="F127">
        <v>58</v>
      </c>
      <c r="I127">
        <v>1</v>
      </c>
      <c r="J127" s="1">
        <f>J126/I126</f>
        <v>7.583333333333333</v>
      </c>
      <c r="K127" t="s">
        <v>14</v>
      </c>
      <c r="P127">
        <f>P125-P124</f>
        <v>0.87999999999999989</v>
      </c>
    </row>
    <row r="128" spans="1:16" x14ac:dyDescent="0.2">
      <c r="A128" s="20"/>
      <c r="E128">
        <v>4</v>
      </c>
      <c r="F128">
        <v>47.5</v>
      </c>
      <c r="P128">
        <f>(P124+P125)</f>
        <v>9.5399999999999991</v>
      </c>
    </row>
    <row r="129" spans="1:16" x14ac:dyDescent="0.2">
      <c r="A129" s="20"/>
      <c r="E129">
        <v>6</v>
      </c>
      <c r="F129">
        <v>36.299999999999997</v>
      </c>
      <c r="P129">
        <f>P127/P128</f>
        <v>9.2243186582809222E-2</v>
      </c>
    </row>
    <row r="130" spans="1:16" x14ac:dyDescent="0.2">
      <c r="A130" s="20"/>
      <c r="E130">
        <v>8</v>
      </c>
      <c r="F130">
        <v>26.2</v>
      </c>
    </row>
    <row r="131" spans="1:16" x14ac:dyDescent="0.2">
      <c r="A131" s="20"/>
      <c r="E131">
        <v>10</v>
      </c>
      <c r="F131">
        <v>11.2</v>
      </c>
    </row>
    <row r="132" spans="1:16" x14ac:dyDescent="0.2">
      <c r="A132" s="20"/>
      <c r="E132">
        <v>12</v>
      </c>
      <c r="F132">
        <v>8</v>
      </c>
    </row>
    <row r="133" spans="1:16" x14ac:dyDescent="0.2">
      <c r="A133" s="20"/>
      <c r="E133">
        <v>13</v>
      </c>
    </row>
    <row r="134" spans="1:16" x14ac:dyDescent="0.2">
      <c r="A134" s="20"/>
    </row>
    <row r="135" spans="1:16" x14ac:dyDescent="0.2">
      <c r="A135" s="20">
        <v>200</v>
      </c>
      <c r="B135">
        <f>300*300</f>
        <v>90000</v>
      </c>
      <c r="D135">
        <v>5</v>
      </c>
      <c r="E135" t="s">
        <v>7</v>
      </c>
      <c r="F135" t="s">
        <v>9</v>
      </c>
      <c r="G135" t="s">
        <v>11</v>
      </c>
      <c r="H135">
        <v>2.4</v>
      </c>
      <c r="I135" t="s">
        <v>12</v>
      </c>
      <c r="J135" s="1" t="s">
        <v>13</v>
      </c>
    </row>
    <row r="136" spans="1:16" x14ac:dyDescent="0.2">
      <c r="A136" s="20"/>
      <c r="E136">
        <v>0</v>
      </c>
      <c r="F136">
        <v>68</v>
      </c>
      <c r="I136">
        <v>13</v>
      </c>
      <c r="J136" s="1">
        <f>60+38</f>
        <v>98</v>
      </c>
    </row>
    <row r="137" spans="1:16" x14ac:dyDescent="0.2">
      <c r="A137" s="20"/>
      <c r="E137">
        <v>2</v>
      </c>
      <c r="F137">
        <v>59.7</v>
      </c>
      <c r="I137">
        <v>1</v>
      </c>
      <c r="J137" s="1">
        <f>J136/I136</f>
        <v>7.5384615384615383</v>
      </c>
      <c r="K137" t="s">
        <v>14</v>
      </c>
    </row>
    <row r="138" spans="1:16" x14ac:dyDescent="0.2">
      <c r="A138" s="20"/>
      <c r="E138">
        <v>3</v>
      </c>
      <c r="F138">
        <v>56</v>
      </c>
    </row>
    <row r="139" spans="1:16" x14ac:dyDescent="0.2">
      <c r="A139" s="20"/>
      <c r="E139">
        <v>4</v>
      </c>
      <c r="F139">
        <v>54</v>
      </c>
    </row>
    <row r="140" spans="1:16" x14ac:dyDescent="0.2">
      <c r="A140" s="20"/>
      <c r="E140">
        <v>5</v>
      </c>
      <c r="F140">
        <v>47</v>
      </c>
    </row>
    <row r="141" spans="1:16" x14ac:dyDescent="0.2">
      <c r="A141" s="20"/>
      <c r="E141">
        <v>7</v>
      </c>
      <c r="F141">
        <v>38</v>
      </c>
    </row>
    <row r="142" spans="1:16" x14ac:dyDescent="0.2">
      <c r="A142" s="20"/>
      <c r="E142">
        <v>8</v>
      </c>
      <c r="F142">
        <v>34</v>
      </c>
    </row>
    <row r="143" spans="1:16" x14ac:dyDescent="0.2">
      <c r="A143" s="20"/>
      <c r="E143">
        <v>9</v>
      </c>
      <c r="F143">
        <v>28</v>
      </c>
    </row>
    <row r="144" spans="1:16" x14ac:dyDescent="0.2">
      <c r="A144" s="20"/>
      <c r="E144">
        <v>11</v>
      </c>
      <c r="F144">
        <v>15</v>
      </c>
    </row>
    <row r="145" spans="1:10" x14ac:dyDescent="0.2">
      <c r="A145" s="20"/>
      <c r="E145">
        <v>12</v>
      </c>
      <c r="F145">
        <v>12</v>
      </c>
    </row>
    <row r="146" spans="1:10" x14ac:dyDescent="0.2">
      <c r="A146" s="20"/>
      <c r="E146">
        <v>13</v>
      </c>
      <c r="F146">
        <v>8</v>
      </c>
    </row>
    <row r="147" spans="1:10" x14ac:dyDescent="0.2">
      <c r="A147" s="20"/>
    </row>
    <row r="148" spans="1:10" x14ac:dyDescent="0.2">
      <c r="A148">
        <v>150</v>
      </c>
      <c r="B148">
        <f>300*300</f>
        <v>90000</v>
      </c>
      <c r="D148">
        <v>5</v>
      </c>
      <c r="E148" t="s">
        <v>7</v>
      </c>
      <c r="F148" t="s">
        <v>9</v>
      </c>
      <c r="G148" t="s">
        <v>11</v>
      </c>
      <c r="H148">
        <v>3.1</v>
      </c>
      <c r="I148" t="s">
        <v>12</v>
      </c>
      <c r="J148" s="1" t="s">
        <v>13</v>
      </c>
    </row>
    <row r="149" spans="1:10" x14ac:dyDescent="0.2">
      <c r="E149">
        <v>0</v>
      </c>
      <c r="F149">
        <v>67</v>
      </c>
      <c r="I149">
        <v>24</v>
      </c>
      <c r="J149" s="1">
        <f>60+43</f>
        <v>103</v>
      </c>
    </row>
    <row r="150" spans="1:10" x14ac:dyDescent="0.2">
      <c r="E150">
        <v>2</v>
      </c>
      <c r="F150">
        <v>64</v>
      </c>
      <c r="I150">
        <v>1</v>
      </c>
      <c r="J150" s="1">
        <f>J149/I149</f>
        <v>4.291666666666667</v>
      </c>
    </row>
    <row r="151" spans="1:10" x14ac:dyDescent="0.2">
      <c r="E151">
        <v>4</v>
      </c>
      <c r="F151">
        <v>60</v>
      </c>
    </row>
    <row r="152" spans="1:10" x14ac:dyDescent="0.2">
      <c r="E152">
        <v>6</v>
      </c>
      <c r="F152">
        <v>52</v>
      </c>
    </row>
    <row r="153" spans="1:10" x14ac:dyDescent="0.2">
      <c r="E153">
        <v>8</v>
      </c>
      <c r="F153">
        <v>50</v>
      </c>
    </row>
    <row r="154" spans="1:10" x14ac:dyDescent="0.2">
      <c r="E154">
        <v>10</v>
      </c>
      <c r="F154">
        <v>42</v>
      </c>
    </row>
    <row r="155" spans="1:10" x14ac:dyDescent="0.2">
      <c r="E155">
        <v>12</v>
      </c>
      <c r="F155">
        <v>37</v>
      </c>
    </row>
    <row r="156" spans="1:10" x14ac:dyDescent="0.2">
      <c r="E156">
        <v>14</v>
      </c>
      <c r="F156">
        <v>33</v>
      </c>
    </row>
    <row r="157" spans="1:10" x14ac:dyDescent="0.2">
      <c r="E157">
        <v>15</v>
      </c>
      <c r="F157">
        <v>26</v>
      </c>
    </row>
    <row r="158" spans="1:10" x14ac:dyDescent="0.2">
      <c r="E158">
        <v>17</v>
      </c>
      <c r="F158">
        <v>23</v>
      </c>
    </row>
    <row r="159" spans="1:10" x14ac:dyDescent="0.2">
      <c r="E159">
        <v>19</v>
      </c>
      <c r="F159">
        <v>16</v>
      </c>
    </row>
    <row r="160" spans="1:10" x14ac:dyDescent="0.2">
      <c r="E160">
        <v>22</v>
      </c>
      <c r="F160">
        <v>13</v>
      </c>
    </row>
    <row r="161" spans="1:10" x14ac:dyDescent="0.2">
      <c r="E161">
        <v>24</v>
      </c>
      <c r="F161">
        <v>9</v>
      </c>
    </row>
    <row r="163" spans="1:10" x14ac:dyDescent="0.2">
      <c r="A163">
        <v>150</v>
      </c>
      <c r="B163">
        <f>500*500</f>
        <v>250000</v>
      </c>
      <c r="D163">
        <v>5</v>
      </c>
      <c r="E163" t="s">
        <v>15</v>
      </c>
      <c r="F163" t="s">
        <v>9</v>
      </c>
      <c r="G163" t="s">
        <v>11</v>
      </c>
      <c r="H163">
        <v>3.2</v>
      </c>
      <c r="I163" t="s">
        <v>12</v>
      </c>
      <c r="J163" s="1" t="s">
        <v>13</v>
      </c>
    </row>
    <row r="164" spans="1:10" x14ac:dyDescent="0.2">
      <c r="E164">
        <v>0</v>
      </c>
      <c r="F164">
        <v>67</v>
      </c>
      <c r="I164">
        <v>17</v>
      </c>
      <c r="J164" s="1">
        <v>199</v>
      </c>
    </row>
    <row r="165" spans="1:10" x14ac:dyDescent="0.2">
      <c r="E165">
        <v>1</v>
      </c>
      <c r="F165">
        <v>65.7</v>
      </c>
      <c r="I165">
        <v>1</v>
      </c>
      <c r="J165" s="1">
        <f>J164/I164</f>
        <v>11.705882352941176</v>
      </c>
    </row>
    <row r="166" spans="1:10" x14ac:dyDescent="0.2">
      <c r="E166">
        <v>2</v>
      </c>
      <c r="F166">
        <v>61</v>
      </c>
    </row>
    <row r="167" spans="1:10" x14ac:dyDescent="0.2">
      <c r="E167">
        <v>3</v>
      </c>
      <c r="F167">
        <v>60</v>
      </c>
    </row>
    <row r="168" spans="1:10" x14ac:dyDescent="0.2">
      <c r="E168">
        <v>4</v>
      </c>
      <c r="F168">
        <v>55</v>
      </c>
    </row>
    <row r="169" spans="1:10" x14ac:dyDescent="0.2">
      <c r="E169">
        <v>5</v>
      </c>
      <c r="F169">
        <v>52.8</v>
      </c>
    </row>
    <row r="170" spans="1:10" x14ac:dyDescent="0.2">
      <c r="E170">
        <v>6</v>
      </c>
      <c r="F170">
        <v>51.4</v>
      </c>
    </row>
    <row r="171" spans="1:10" x14ac:dyDescent="0.2">
      <c r="E171">
        <v>7</v>
      </c>
      <c r="F171">
        <v>47</v>
      </c>
    </row>
    <row r="172" spans="1:10" x14ac:dyDescent="0.2">
      <c r="E172">
        <v>8</v>
      </c>
      <c r="F172">
        <v>43</v>
      </c>
    </row>
    <row r="173" spans="1:10" x14ac:dyDescent="0.2">
      <c r="E173">
        <v>9</v>
      </c>
      <c r="F173">
        <v>39</v>
      </c>
    </row>
    <row r="174" spans="1:10" x14ac:dyDescent="0.2">
      <c r="E174">
        <v>10</v>
      </c>
      <c r="F174">
        <v>36</v>
      </c>
    </row>
    <row r="175" spans="1:10" x14ac:dyDescent="0.2">
      <c r="E175">
        <v>11</v>
      </c>
      <c r="F175">
        <v>33</v>
      </c>
    </row>
    <row r="176" spans="1:10" x14ac:dyDescent="0.2">
      <c r="E176">
        <v>12</v>
      </c>
      <c r="F176">
        <v>28</v>
      </c>
    </row>
    <row r="177" spans="1:10" x14ac:dyDescent="0.2">
      <c r="E177">
        <v>13</v>
      </c>
      <c r="F177">
        <v>25</v>
      </c>
    </row>
    <row r="178" spans="1:10" x14ac:dyDescent="0.2">
      <c r="E178">
        <v>14</v>
      </c>
      <c r="F178">
        <v>19</v>
      </c>
    </row>
    <row r="179" spans="1:10" x14ac:dyDescent="0.2">
      <c r="E179">
        <v>15</v>
      </c>
      <c r="F179">
        <v>14</v>
      </c>
    </row>
    <row r="180" spans="1:10" x14ac:dyDescent="0.2">
      <c r="E180">
        <v>16</v>
      </c>
      <c r="F180">
        <v>9.6</v>
      </c>
    </row>
    <row r="181" spans="1:10" x14ac:dyDescent="0.2">
      <c r="E181">
        <v>17</v>
      </c>
      <c r="F181">
        <v>7</v>
      </c>
    </row>
    <row r="183" spans="1:10" x14ac:dyDescent="0.2">
      <c r="A183">
        <v>100</v>
      </c>
      <c r="B183">
        <f>750*750</f>
        <v>562500</v>
      </c>
      <c r="D183">
        <v>5</v>
      </c>
      <c r="E183" t="s">
        <v>7</v>
      </c>
      <c r="F183" t="s">
        <v>9</v>
      </c>
      <c r="G183" t="s">
        <v>11</v>
      </c>
      <c r="I183" t="s">
        <v>16</v>
      </c>
      <c r="J183" s="1" t="s">
        <v>13</v>
      </c>
    </row>
    <row r="184" spans="1:10" x14ac:dyDescent="0.2">
      <c r="E184">
        <v>0</v>
      </c>
      <c r="I184">
        <v>107</v>
      </c>
      <c r="J184" s="1">
        <f>21*60+1</f>
        <v>1261</v>
      </c>
    </row>
    <row r="185" spans="1:10" x14ac:dyDescent="0.2">
      <c r="E185">
        <v>1</v>
      </c>
      <c r="F185">
        <v>200</v>
      </c>
      <c r="I185">
        <v>1</v>
      </c>
      <c r="J185" s="1">
        <f>J184/I184</f>
        <v>11.785046728971963</v>
      </c>
    </row>
    <row r="186" spans="1:10" x14ac:dyDescent="0.2">
      <c r="E186">
        <v>2</v>
      </c>
      <c r="F186">
        <v>195</v>
      </c>
    </row>
    <row r="187" spans="1:10" x14ac:dyDescent="0.2">
      <c r="E187">
        <v>12</v>
      </c>
      <c r="F187">
        <v>182</v>
      </c>
    </row>
    <row r="188" spans="1:10" x14ac:dyDescent="0.2">
      <c r="E188">
        <v>18</v>
      </c>
      <c r="F188">
        <v>167</v>
      </c>
    </row>
    <row r="189" spans="1:10" x14ac:dyDescent="0.2">
      <c r="E189">
        <v>22</v>
      </c>
      <c r="F189">
        <v>156</v>
      </c>
    </row>
    <row r="190" spans="1:10" x14ac:dyDescent="0.2">
      <c r="E190">
        <v>27</v>
      </c>
      <c r="F190">
        <v>150</v>
      </c>
    </row>
    <row r="191" spans="1:10" x14ac:dyDescent="0.2">
      <c r="E191">
        <v>32</v>
      </c>
      <c r="F191">
        <v>146</v>
      </c>
    </row>
    <row r="192" spans="1:10" x14ac:dyDescent="0.2">
      <c r="E192">
        <v>39</v>
      </c>
      <c r="F192">
        <v>130</v>
      </c>
    </row>
    <row r="193" spans="5:6" x14ac:dyDescent="0.2">
      <c r="E193">
        <v>45</v>
      </c>
      <c r="F193">
        <v>122</v>
      </c>
    </row>
    <row r="194" spans="5:6" x14ac:dyDescent="0.2">
      <c r="E194">
        <v>50</v>
      </c>
      <c r="F194">
        <v>112</v>
      </c>
    </row>
    <row r="195" spans="5:6" x14ac:dyDescent="0.2">
      <c r="E195">
        <v>55</v>
      </c>
      <c r="F195">
        <v>103</v>
      </c>
    </row>
    <row r="196" spans="5:6" x14ac:dyDescent="0.2">
      <c r="E196">
        <v>60</v>
      </c>
      <c r="F196">
        <v>94</v>
      </c>
    </row>
    <row r="197" spans="5:6" x14ac:dyDescent="0.2">
      <c r="E197">
        <v>65</v>
      </c>
      <c r="F197">
        <v>84</v>
      </c>
    </row>
    <row r="198" spans="5:6" x14ac:dyDescent="0.2">
      <c r="E198">
        <v>67</v>
      </c>
      <c r="F198">
        <v>80</v>
      </c>
    </row>
    <row r="199" spans="5:6" x14ac:dyDescent="0.2">
      <c r="E199">
        <v>69</v>
      </c>
      <c r="F199">
        <v>77</v>
      </c>
    </row>
    <row r="200" spans="5:6" x14ac:dyDescent="0.2">
      <c r="E200">
        <v>71</v>
      </c>
      <c r="F200">
        <v>71</v>
      </c>
    </row>
    <row r="201" spans="5:6" x14ac:dyDescent="0.2">
      <c r="E201">
        <v>73</v>
      </c>
      <c r="F201">
        <v>67</v>
      </c>
    </row>
    <row r="202" spans="5:6" x14ac:dyDescent="0.2">
      <c r="E202">
        <v>75</v>
      </c>
      <c r="F202">
        <v>64</v>
      </c>
    </row>
    <row r="203" spans="5:6" x14ac:dyDescent="0.2">
      <c r="E203">
        <v>76</v>
      </c>
      <c r="F203">
        <v>61</v>
      </c>
    </row>
    <row r="204" spans="5:6" x14ac:dyDescent="0.2">
      <c r="E204">
        <v>78</v>
      </c>
      <c r="F204">
        <v>57</v>
      </c>
    </row>
    <row r="205" spans="5:6" x14ac:dyDescent="0.2">
      <c r="E205">
        <v>80</v>
      </c>
      <c r="F205">
        <v>55</v>
      </c>
    </row>
    <row r="206" spans="5:6" x14ac:dyDescent="0.2">
      <c r="E206">
        <v>82</v>
      </c>
      <c r="F206">
        <v>49</v>
      </c>
    </row>
    <row r="207" spans="5:6" x14ac:dyDescent="0.2">
      <c r="E207">
        <v>84</v>
      </c>
      <c r="F207">
        <v>45</v>
      </c>
    </row>
    <row r="208" spans="5:6" x14ac:dyDescent="0.2">
      <c r="E208">
        <v>85</v>
      </c>
      <c r="F208">
        <v>42</v>
      </c>
    </row>
    <row r="209" spans="5:6" x14ac:dyDescent="0.2">
      <c r="E209">
        <v>86</v>
      </c>
      <c r="F209">
        <v>39</v>
      </c>
    </row>
    <row r="210" spans="5:6" x14ac:dyDescent="0.2">
      <c r="E210">
        <v>87</v>
      </c>
      <c r="F210">
        <v>36</v>
      </c>
    </row>
    <row r="211" spans="5:6" x14ac:dyDescent="0.2">
      <c r="E211">
        <v>88</v>
      </c>
      <c r="F211">
        <v>35</v>
      </c>
    </row>
    <row r="212" spans="5:6" x14ac:dyDescent="0.2">
      <c r="E212">
        <v>89</v>
      </c>
      <c r="F212">
        <v>31</v>
      </c>
    </row>
    <row r="213" spans="5:6" x14ac:dyDescent="0.2">
      <c r="E213">
        <v>90</v>
      </c>
      <c r="F213">
        <v>29</v>
      </c>
    </row>
    <row r="214" spans="5:6" x14ac:dyDescent="0.2">
      <c r="E214">
        <v>91</v>
      </c>
      <c r="F214">
        <v>26</v>
      </c>
    </row>
    <row r="215" spans="5:6" x14ac:dyDescent="0.2">
      <c r="E215">
        <v>92</v>
      </c>
      <c r="F215">
        <v>25</v>
      </c>
    </row>
    <row r="216" spans="5:6" x14ac:dyDescent="0.2">
      <c r="E216">
        <v>93</v>
      </c>
      <c r="F216">
        <v>22</v>
      </c>
    </row>
    <row r="217" spans="5:6" x14ac:dyDescent="0.2">
      <c r="E217">
        <v>94</v>
      </c>
      <c r="F217">
        <v>20</v>
      </c>
    </row>
    <row r="218" spans="5:6" x14ac:dyDescent="0.2">
      <c r="E218">
        <v>95</v>
      </c>
      <c r="F218">
        <v>18</v>
      </c>
    </row>
    <row r="219" spans="5:6" x14ac:dyDescent="0.2">
      <c r="E219">
        <v>96</v>
      </c>
      <c r="F219">
        <v>15</v>
      </c>
    </row>
    <row r="220" spans="5:6" x14ac:dyDescent="0.2">
      <c r="E220">
        <v>97</v>
      </c>
      <c r="F220">
        <v>13</v>
      </c>
    </row>
    <row r="221" spans="5:6" x14ac:dyDescent="0.2">
      <c r="E221">
        <v>98</v>
      </c>
      <c r="F221">
        <v>12</v>
      </c>
    </row>
    <row r="222" spans="5:6" x14ac:dyDescent="0.2">
      <c r="E222">
        <v>99</v>
      </c>
      <c r="F222">
        <v>10</v>
      </c>
    </row>
    <row r="223" spans="5:6" x14ac:dyDescent="0.2">
      <c r="E223">
        <v>100</v>
      </c>
      <c r="F223">
        <v>10</v>
      </c>
    </row>
    <row r="224" spans="5:6" x14ac:dyDescent="0.2">
      <c r="E224">
        <v>101</v>
      </c>
      <c r="F224">
        <v>10</v>
      </c>
    </row>
    <row r="225" spans="1:10" x14ac:dyDescent="0.2">
      <c r="E225">
        <v>102</v>
      </c>
      <c r="F225">
        <v>10</v>
      </c>
    </row>
    <row r="227" spans="1:10" x14ac:dyDescent="0.2">
      <c r="A227">
        <v>200</v>
      </c>
      <c r="B227">
        <f>250*250</f>
        <v>62500</v>
      </c>
      <c r="D227">
        <v>5</v>
      </c>
      <c r="H227" t="s">
        <v>7</v>
      </c>
      <c r="I227" t="s">
        <v>13</v>
      </c>
    </row>
    <row r="228" spans="1:10" x14ac:dyDescent="0.2">
      <c r="H228">
        <v>20</v>
      </c>
      <c r="I228">
        <v>106</v>
      </c>
    </row>
    <row r="229" spans="1:10" x14ac:dyDescent="0.2">
      <c r="H229">
        <v>1</v>
      </c>
      <c r="I229">
        <f>I228/H228</f>
        <v>5.3</v>
      </c>
    </row>
    <row r="231" spans="1:10" x14ac:dyDescent="0.2">
      <c r="A231">
        <v>100</v>
      </c>
      <c r="B231">
        <f>500*500</f>
        <v>250000</v>
      </c>
      <c r="D231">
        <v>10</v>
      </c>
      <c r="E231" t="s">
        <v>7</v>
      </c>
      <c r="F231" t="s">
        <v>9</v>
      </c>
      <c r="G231" t="s">
        <v>11</v>
      </c>
      <c r="H231">
        <v>4.0999999999999996</v>
      </c>
      <c r="I231" t="s">
        <v>7</v>
      </c>
      <c r="J231" s="1" t="s">
        <v>13</v>
      </c>
    </row>
    <row r="232" spans="1:10" x14ac:dyDescent="0.2">
      <c r="E232">
        <v>0</v>
      </c>
      <c r="F232">
        <v>67</v>
      </c>
      <c r="I232">
        <v>66</v>
      </c>
      <c r="J232" s="1">
        <v>351</v>
      </c>
    </row>
    <row r="233" spans="1:10" x14ac:dyDescent="0.2">
      <c r="E233">
        <v>2</v>
      </c>
      <c r="F233">
        <v>62</v>
      </c>
      <c r="I233">
        <v>1</v>
      </c>
      <c r="J233" s="1">
        <f>J232/I232</f>
        <v>5.3181818181818183</v>
      </c>
    </row>
    <row r="234" spans="1:10" x14ac:dyDescent="0.2">
      <c r="E234">
        <v>4</v>
      </c>
      <c r="F234">
        <v>61</v>
      </c>
      <c r="I234">
        <f>I232/J232</f>
        <v>0.18803418803418803</v>
      </c>
      <c r="J234" s="1">
        <v>1</v>
      </c>
    </row>
    <row r="235" spans="1:10" x14ac:dyDescent="0.2">
      <c r="E235">
        <v>5</v>
      </c>
      <c r="F235">
        <v>60</v>
      </c>
    </row>
    <row r="236" spans="1:10" x14ac:dyDescent="0.2">
      <c r="E236">
        <v>7</v>
      </c>
      <c r="F236">
        <v>58</v>
      </c>
    </row>
    <row r="237" spans="1:10" x14ac:dyDescent="0.2">
      <c r="E237">
        <v>9</v>
      </c>
      <c r="F237">
        <v>56</v>
      </c>
    </row>
    <row r="238" spans="1:10" x14ac:dyDescent="0.2">
      <c r="E238">
        <v>11</v>
      </c>
      <c r="F238">
        <v>55</v>
      </c>
    </row>
    <row r="239" spans="1:10" x14ac:dyDescent="0.2">
      <c r="E239">
        <v>13</v>
      </c>
      <c r="F239">
        <v>51</v>
      </c>
    </row>
    <row r="240" spans="1:10" x14ac:dyDescent="0.2">
      <c r="E240">
        <v>15</v>
      </c>
      <c r="F240">
        <v>49</v>
      </c>
    </row>
    <row r="241" spans="5:6" x14ac:dyDescent="0.2">
      <c r="E241">
        <v>17</v>
      </c>
      <c r="F241">
        <v>47</v>
      </c>
    </row>
    <row r="242" spans="5:6" x14ac:dyDescent="0.2">
      <c r="E242">
        <v>19</v>
      </c>
      <c r="F242">
        <v>46</v>
      </c>
    </row>
    <row r="243" spans="5:6" x14ac:dyDescent="0.2">
      <c r="E243">
        <v>21</v>
      </c>
      <c r="F243">
        <v>44</v>
      </c>
    </row>
    <row r="244" spans="5:6" x14ac:dyDescent="0.2">
      <c r="E244">
        <v>22</v>
      </c>
      <c r="F244">
        <v>42</v>
      </c>
    </row>
    <row r="245" spans="5:6" x14ac:dyDescent="0.2">
      <c r="E245">
        <v>24</v>
      </c>
      <c r="F245">
        <v>41</v>
      </c>
    </row>
    <row r="246" spans="5:6" x14ac:dyDescent="0.2">
      <c r="E246">
        <v>27</v>
      </c>
      <c r="F246">
        <v>39</v>
      </c>
    </row>
    <row r="247" spans="5:6" x14ac:dyDescent="0.2">
      <c r="E247">
        <v>29</v>
      </c>
      <c r="F247">
        <v>36</v>
      </c>
    </row>
    <row r="248" spans="5:6" x14ac:dyDescent="0.2">
      <c r="E248">
        <v>31</v>
      </c>
      <c r="F248">
        <v>34</v>
      </c>
    </row>
    <row r="249" spans="5:6" x14ac:dyDescent="0.2">
      <c r="E249">
        <v>33</v>
      </c>
      <c r="F249">
        <v>32</v>
      </c>
    </row>
    <row r="250" spans="5:6" x14ac:dyDescent="0.2">
      <c r="E250">
        <v>35</v>
      </c>
      <c r="F250">
        <v>30</v>
      </c>
    </row>
    <row r="251" spans="5:6" x14ac:dyDescent="0.2">
      <c r="E251">
        <v>37</v>
      </c>
      <c r="F251">
        <v>29</v>
      </c>
    </row>
    <row r="252" spans="5:6" x14ac:dyDescent="0.2">
      <c r="E252">
        <v>40</v>
      </c>
      <c r="F252">
        <v>28</v>
      </c>
    </row>
    <row r="253" spans="5:6" x14ac:dyDescent="0.2">
      <c r="E253">
        <v>42</v>
      </c>
      <c r="F253">
        <v>23</v>
      </c>
    </row>
    <row r="254" spans="5:6" x14ac:dyDescent="0.2">
      <c r="E254">
        <v>44</v>
      </c>
      <c r="F254">
        <v>22</v>
      </c>
    </row>
    <row r="255" spans="5:6" x14ac:dyDescent="0.2">
      <c r="E255">
        <v>46</v>
      </c>
      <c r="F255">
        <v>19</v>
      </c>
    </row>
    <row r="256" spans="5:6" x14ac:dyDescent="0.2">
      <c r="E256">
        <v>48</v>
      </c>
      <c r="F256">
        <v>17</v>
      </c>
    </row>
    <row r="257" spans="1:8" x14ac:dyDescent="0.2">
      <c r="E257">
        <v>49</v>
      </c>
      <c r="F257">
        <v>15</v>
      </c>
    </row>
    <row r="258" spans="1:8" x14ac:dyDescent="0.2">
      <c r="E258">
        <v>51</v>
      </c>
      <c r="F258">
        <v>13</v>
      </c>
    </row>
    <row r="259" spans="1:8" x14ac:dyDescent="0.2">
      <c r="E259">
        <v>54</v>
      </c>
      <c r="F259">
        <v>11</v>
      </c>
    </row>
    <row r="260" spans="1:8" x14ac:dyDescent="0.2">
      <c r="E260">
        <v>56</v>
      </c>
      <c r="F260">
        <v>9</v>
      </c>
    </row>
    <row r="261" spans="1:8" x14ac:dyDescent="0.2">
      <c r="E261">
        <v>58</v>
      </c>
      <c r="F261">
        <v>9</v>
      </c>
    </row>
    <row r="262" spans="1:8" x14ac:dyDescent="0.2">
      <c r="E262">
        <v>60</v>
      </c>
      <c r="F262">
        <v>7</v>
      </c>
    </row>
    <row r="266" spans="1:8" x14ac:dyDescent="0.2">
      <c r="A266" t="s">
        <v>43</v>
      </c>
    </row>
    <row r="267" spans="1:8" x14ac:dyDescent="0.2">
      <c r="G267" t="s">
        <v>44</v>
      </c>
      <c r="H267" t="s">
        <v>12</v>
      </c>
    </row>
    <row r="268" spans="1:8" x14ac:dyDescent="0.2">
      <c r="B268" t="s">
        <v>7</v>
      </c>
      <c r="C268" t="s">
        <v>13</v>
      </c>
      <c r="D268" t="s">
        <v>45</v>
      </c>
      <c r="G268">
        <f>5*60+50</f>
        <v>350</v>
      </c>
      <c r="H268">
        <v>30</v>
      </c>
    </row>
    <row r="269" spans="1:8" x14ac:dyDescent="0.2">
      <c r="B269">
        <v>0</v>
      </c>
      <c r="C269" s="1">
        <f>B269*350/30</f>
        <v>0</v>
      </c>
      <c r="D269">
        <v>67</v>
      </c>
      <c r="G269">
        <f>H269*G268/H268</f>
        <v>11.666666666666666</v>
      </c>
      <c r="H269">
        <v>1</v>
      </c>
    </row>
    <row r="270" spans="1:8" x14ac:dyDescent="0.2">
      <c r="B270">
        <v>2</v>
      </c>
      <c r="C270" s="1">
        <f t="shared" ref="C270:C274" si="0">B270*350/30</f>
        <v>23.333333333333332</v>
      </c>
      <c r="D270">
        <v>65</v>
      </c>
    </row>
    <row r="271" spans="1:8" x14ac:dyDescent="0.2">
      <c r="B271">
        <v>9</v>
      </c>
      <c r="C271" s="1">
        <f t="shared" si="0"/>
        <v>105</v>
      </c>
      <c r="D271">
        <v>63</v>
      </c>
    </row>
    <row r="272" spans="1:8" x14ac:dyDescent="0.2">
      <c r="B272">
        <v>14</v>
      </c>
      <c r="C272" s="1">
        <f t="shared" si="0"/>
        <v>163.33333333333334</v>
      </c>
      <c r="D272">
        <v>60</v>
      </c>
    </row>
    <row r="273" spans="2:7" x14ac:dyDescent="0.2">
      <c r="B273">
        <v>25</v>
      </c>
      <c r="C273" s="1">
        <f t="shared" si="0"/>
        <v>291.66666666666669</v>
      </c>
      <c r="D273">
        <v>58</v>
      </c>
    </row>
    <row r="274" spans="2:7" x14ac:dyDescent="0.2">
      <c r="B274">
        <v>30</v>
      </c>
      <c r="C274" s="1">
        <f t="shared" si="0"/>
        <v>350</v>
      </c>
      <c r="D274">
        <v>55</v>
      </c>
    </row>
    <row r="275" spans="2:7" x14ac:dyDescent="0.2">
      <c r="B275">
        <v>39</v>
      </c>
      <c r="C275" s="1">
        <f>7*60+36</f>
        <v>456</v>
      </c>
      <c r="D275">
        <v>53</v>
      </c>
      <c r="G275" t="s">
        <v>13</v>
      </c>
    </row>
    <row r="276" spans="2:7" x14ac:dyDescent="0.2">
      <c r="B276">
        <v>51</v>
      </c>
      <c r="C276" s="1">
        <f>9*60+56</f>
        <v>596</v>
      </c>
      <c r="D276">
        <v>47</v>
      </c>
    </row>
    <row r="277" spans="2:7" x14ac:dyDescent="0.2">
      <c r="B277">
        <v>74</v>
      </c>
      <c r="C277" s="1">
        <f>14*60+25</f>
        <v>865</v>
      </c>
      <c r="D277">
        <v>40.200000000000003</v>
      </c>
    </row>
    <row r="278" spans="2:7" x14ac:dyDescent="0.2">
      <c r="B278">
        <v>84</v>
      </c>
      <c r="C278" s="1">
        <f>16*60+22</f>
        <v>982</v>
      </c>
      <c r="D278">
        <v>38</v>
      </c>
    </row>
    <row r="279" spans="2:7" x14ac:dyDescent="0.2">
      <c r="B279">
        <v>102</v>
      </c>
      <c r="C279" s="1">
        <f>19*60+52</f>
        <v>1192</v>
      </c>
      <c r="D279">
        <v>31.3</v>
      </c>
    </row>
    <row r="280" spans="2:7" x14ac:dyDescent="0.2">
      <c r="B280">
        <v>126</v>
      </c>
      <c r="C280" s="1">
        <f>24*60+33</f>
        <v>1473</v>
      </c>
      <c r="D280">
        <v>22.33</v>
      </c>
    </row>
    <row r="281" spans="2:7" x14ac:dyDescent="0.2">
      <c r="B281">
        <v>145</v>
      </c>
      <c r="C281" s="1">
        <f>28*60+16</f>
        <v>1696</v>
      </c>
      <c r="D281">
        <v>13.8</v>
      </c>
    </row>
    <row r="282" spans="2:7" x14ac:dyDescent="0.2">
      <c r="B282">
        <v>148</v>
      </c>
      <c r="C282" s="1">
        <f>28*60+51</f>
        <v>1731</v>
      </c>
      <c r="D282">
        <v>13.4</v>
      </c>
    </row>
    <row r="283" spans="2:7" x14ac:dyDescent="0.2">
      <c r="C283" s="1"/>
    </row>
    <row r="289" spans="1:3" x14ac:dyDescent="0.2">
      <c r="A289" t="s">
        <v>52</v>
      </c>
    </row>
    <row r="290" spans="1:3" x14ac:dyDescent="0.2">
      <c r="A290" t="s">
        <v>13</v>
      </c>
      <c r="B290" t="s">
        <v>12</v>
      </c>
      <c r="C290" t="s">
        <v>53</v>
      </c>
    </row>
    <row r="291" spans="1:3" x14ac:dyDescent="0.2">
      <c r="A291">
        <v>0</v>
      </c>
      <c r="B291">
        <f>0.19*A291</f>
        <v>0</v>
      </c>
      <c r="C291">
        <v>65.900000000000006</v>
      </c>
    </row>
    <row r="292" spans="1:3" x14ac:dyDescent="0.2">
      <c r="A292">
        <v>2</v>
      </c>
      <c r="B292">
        <f t="shared" ref="B292:B296" si="1">0.19*A292</f>
        <v>0.38</v>
      </c>
      <c r="C292">
        <v>56.3</v>
      </c>
    </row>
    <row r="293" spans="1:3" x14ac:dyDescent="0.2">
      <c r="A293">
        <v>27</v>
      </c>
      <c r="B293">
        <f t="shared" si="1"/>
        <v>5.13</v>
      </c>
      <c r="C293">
        <v>36.799999999999997</v>
      </c>
    </row>
    <row r="294" spans="1:3" x14ac:dyDescent="0.2">
      <c r="A294">
        <v>51</v>
      </c>
      <c r="B294">
        <f t="shared" si="1"/>
        <v>9.69</v>
      </c>
      <c r="C294">
        <v>20</v>
      </c>
    </row>
    <row r="295" spans="1:3" x14ac:dyDescent="0.2">
      <c r="A295">
        <v>65</v>
      </c>
      <c r="B295">
        <f t="shared" si="1"/>
        <v>12.35</v>
      </c>
      <c r="C295">
        <v>11.72</v>
      </c>
    </row>
    <row r="296" spans="1:3" x14ac:dyDescent="0.2">
      <c r="A296">
        <v>80</v>
      </c>
      <c r="B296">
        <f t="shared" si="1"/>
        <v>15.2</v>
      </c>
      <c r="C296">
        <v>7.3</v>
      </c>
    </row>
    <row r="303" spans="1:3" x14ac:dyDescent="0.2">
      <c r="A303" t="s">
        <v>54</v>
      </c>
    </row>
    <row r="305" spans="1:2" x14ac:dyDescent="0.2">
      <c r="A305" t="s">
        <v>12</v>
      </c>
      <c r="B305" t="s">
        <v>53</v>
      </c>
    </row>
    <row r="306" spans="1:2" x14ac:dyDescent="0.2">
      <c r="A306">
        <v>0</v>
      </c>
      <c r="B306">
        <v>67</v>
      </c>
    </row>
    <row r="307" spans="1:2" x14ac:dyDescent="0.2">
      <c r="A307">
        <v>1</v>
      </c>
      <c r="B307">
        <v>62.5</v>
      </c>
    </row>
    <row r="308" spans="1:2" x14ac:dyDescent="0.2">
      <c r="A308">
        <v>4</v>
      </c>
      <c r="B308">
        <v>53.6</v>
      </c>
    </row>
    <row r="309" spans="1:2" x14ac:dyDescent="0.2">
      <c r="A309">
        <v>9</v>
      </c>
      <c r="B309">
        <v>42.43</v>
      </c>
    </row>
    <row r="310" spans="1:2" x14ac:dyDescent="0.2">
      <c r="A310">
        <v>14</v>
      </c>
      <c r="B310">
        <v>31.2</v>
      </c>
    </row>
    <row r="311" spans="1:2" x14ac:dyDescent="0.2">
      <c r="A311">
        <v>19</v>
      </c>
      <c r="B311">
        <v>21.21</v>
      </c>
    </row>
    <row r="312" spans="1:2" x14ac:dyDescent="0.2">
      <c r="A312">
        <v>24</v>
      </c>
      <c r="B312">
        <v>11.1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J26" sqref="J26"/>
    </sheetView>
  </sheetViews>
  <sheetFormatPr baseColWidth="10" defaultRowHeight="16" x14ac:dyDescent="0.2"/>
  <cols>
    <col min="1" max="1" width="16.5" customWidth="1"/>
  </cols>
  <sheetData>
    <row r="1" spans="1:4" x14ac:dyDescent="0.2">
      <c r="A1" s="6" t="s">
        <v>49</v>
      </c>
      <c r="B1" s="6" t="s">
        <v>46</v>
      </c>
      <c r="C1" s="6" t="s">
        <v>47</v>
      </c>
      <c r="D1" s="6" t="s">
        <v>48</v>
      </c>
    </row>
    <row r="2" spans="1:4" x14ac:dyDescent="0.2">
      <c r="A2" s="6">
        <v>0</v>
      </c>
      <c r="B2" s="6">
        <v>69</v>
      </c>
      <c r="C2" s="6"/>
      <c r="D2" s="6"/>
    </row>
    <row r="3" spans="1:4" x14ac:dyDescent="0.2">
      <c r="A3" s="6">
        <v>1</v>
      </c>
      <c r="B3" s="6">
        <v>68</v>
      </c>
      <c r="C3" s="6"/>
      <c r="D3" s="6"/>
    </row>
    <row r="4" spans="1:4" x14ac:dyDescent="0.2">
      <c r="A4" s="6">
        <v>2</v>
      </c>
      <c r="B4" s="6">
        <v>65</v>
      </c>
      <c r="C4" s="6"/>
      <c r="D4" s="6"/>
    </row>
    <row r="5" spans="1:4" x14ac:dyDescent="0.2">
      <c r="A5" s="6">
        <v>4</v>
      </c>
      <c r="B5" s="6">
        <v>58</v>
      </c>
      <c r="C5" s="6"/>
      <c r="D5" s="6"/>
    </row>
    <row r="6" spans="1:4" x14ac:dyDescent="0.2">
      <c r="A6" s="6">
        <v>6</v>
      </c>
      <c r="B6" s="6">
        <v>51</v>
      </c>
      <c r="C6" s="6"/>
      <c r="D6" s="6"/>
    </row>
    <row r="7" spans="1:4" x14ac:dyDescent="0.2">
      <c r="A7" s="6">
        <v>8</v>
      </c>
      <c r="B7" s="6">
        <v>42</v>
      </c>
      <c r="C7" s="6"/>
      <c r="D7" s="6"/>
    </row>
    <row r="8" spans="1:4" x14ac:dyDescent="0.2">
      <c r="A8" s="6">
        <v>10</v>
      </c>
      <c r="B8" s="6">
        <v>31</v>
      </c>
      <c r="C8" s="6"/>
      <c r="D8" s="6"/>
    </row>
    <row r="9" spans="1:4" x14ac:dyDescent="0.2">
      <c r="A9" s="6">
        <v>12</v>
      </c>
      <c r="B9" s="6">
        <v>21</v>
      </c>
      <c r="C9" s="6"/>
      <c r="D9" s="6"/>
    </row>
    <row r="10" spans="1:4" x14ac:dyDescent="0.2">
      <c r="A10" s="6">
        <v>13</v>
      </c>
      <c r="B10" s="6">
        <v>16</v>
      </c>
      <c r="C10" s="6"/>
      <c r="D10" s="6"/>
    </row>
    <row r="11" spans="1:4" x14ac:dyDescent="0.2">
      <c r="A11" s="6">
        <v>14</v>
      </c>
      <c r="B11" s="6">
        <v>11</v>
      </c>
      <c r="C11" s="6"/>
      <c r="D11" s="6"/>
    </row>
    <row r="12" spans="1:4" x14ac:dyDescent="0.2">
      <c r="A12" s="6">
        <v>15</v>
      </c>
      <c r="B12" s="6">
        <v>7</v>
      </c>
      <c r="C12" s="6"/>
      <c r="D12" s="6"/>
    </row>
    <row r="13" spans="1:4" x14ac:dyDescent="0.2">
      <c r="A13" s="6">
        <v>0</v>
      </c>
      <c r="B13" s="6"/>
      <c r="C13" s="6">
        <v>67</v>
      </c>
      <c r="D13" s="6"/>
    </row>
    <row r="14" spans="1:4" x14ac:dyDescent="0.2">
      <c r="A14" s="6">
        <v>2</v>
      </c>
      <c r="B14" s="6"/>
      <c r="C14" s="6">
        <v>58</v>
      </c>
      <c r="D14" s="6"/>
    </row>
    <row r="15" spans="1:4" x14ac:dyDescent="0.2">
      <c r="A15" s="6">
        <v>4</v>
      </c>
      <c r="B15" s="6"/>
      <c r="C15" s="6">
        <v>47.5</v>
      </c>
      <c r="D15" s="6"/>
    </row>
    <row r="16" spans="1:4" x14ac:dyDescent="0.2">
      <c r="A16" s="6">
        <v>6</v>
      </c>
      <c r="B16" s="6"/>
      <c r="C16" s="6">
        <v>36.299999999999997</v>
      </c>
      <c r="D16" s="6"/>
    </row>
    <row r="17" spans="1:4" x14ac:dyDescent="0.2">
      <c r="A17" s="6">
        <v>8</v>
      </c>
      <c r="B17" s="6"/>
      <c r="C17" s="6">
        <v>26.2</v>
      </c>
      <c r="D17" s="6"/>
    </row>
    <row r="18" spans="1:4" x14ac:dyDescent="0.2">
      <c r="A18" s="6">
        <v>10</v>
      </c>
      <c r="B18" s="6"/>
      <c r="C18" s="6">
        <v>11.2</v>
      </c>
      <c r="D18" s="6"/>
    </row>
    <row r="19" spans="1:4" x14ac:dyDescent="0.2">
      <c r="A19" s="6">
        <v>12</v>
      </c>
      <c r="B19" s="6"/>
      <c r="C19" s="6">
        <v>8</v>
      </c>
      <c r="D19" s="6"/>
    </row>
    <row r="20" spans="1:4" x14ac:dyDescent="0.2">
      <c r="A20" s="6">
        <v>0</v>
      </c>
      <c r="B20" s="6"/>
      <c r="C20" s="6"/>
      <c r="D20" s="6">
        <v>68</v>
      </c>
    </row>
    <row r="21" spans="1:4" x14ac:dyDescent="0.2">
      <c r="A21" s="6">
        <v>2</v>
      </c>
      <c r="B21" s="6"/>
      <c r="C21" s="6"/>
      <c r="D21" s="6">
        <v>59.7</v>
      </c>
    </row>
    <row r="22" spans="1:4" x14ac:dyDescent="0.2">
      <c r="A22" s="6">
        <v>3</v>
      </c>
      <c r="B22" s="6"/>
      <c r="C22" s="6"/>
      <c r="D22" s="6">
        <v>56</v>
      </c>
    </row>
    <row r="23" spans="1:4" x14ac:dyDescent="0.2">
      <c r="A23" s="6">
        <v>4</v>
      </c>
      <c r="B23" s="6"/>
      <c r="C23" s="6"/>
      <c r="D23" s="6">
        <v>54</v>
      </c>
    </row>
    <row r="24" spans="1:4" x14ac:dyDescent="0.2">
      <c r="A24" s="6">
        <v>5</v>
      </c>
      <c r="B24" s="6"/>
      <c r="C24" s="6"/>
      <c r="D24" s="6">
        <v>47</v>
      </c>
    </row>
    <row r="25" spans="1:4" x14ac:dyDescent="0.2">
      <c r="A25" s="6">
        <v>7</v>
      </c>
      <c r="B25" s="6"/>
      <c r="C25" s="6"/>
      <c r="D25" s="6">
        <v>38</v>
      </c>
    </row>
    <row r="26" spans="1:4" x14ac:dyDescent="0.2">
      <c r="A26" s="6">
        <v>8</v>
      </c>
      <c r="B26" s="6"/>
      <c r="C26" s="6"/>
      <c r="D26" s="6">
        <v>34</v>
      </c>
    </row>
    <row r="27" spans="1:4" x14ac:dyDescent="0.2">
      <c r="A27" s="6">
        <v>9</v>
      </c>
      <c r="B27" s="6"/>
      <c r="C27" s="6"/>
      <c r="D27" s="6">
        <v>28</v>
      </c>
    </row>
    <row r="28" spans="1:4" x14ac:dyDescent="0.2">
      <c r="A28" s="6">
        <v>11</v>
      </c>
      <c r="B28" s="6"/>
      <c r="C28" s="6"/>
      <c r="D28" s="6">
        <v>15</v>
      </c>
    </row>
    <row r="29" spans="1:4" x14ac:dyDescent="0.2">
      <c r="A29" s="6">
        <v>12</v>
      </c>
      <c r="B29" s="6"/>
      <c r="C29" s="6"/>
      <c r="D29" s="6">
        <v>12</v>
      </c>
    </row>
    <row r="30" spans="1:4" x14ac:dyDescent="0.2">
      <c r="A30" s="6">
        <v>13</v>
      </c>
      <c r="B30" s="6"/>
      <c r="C30" s="6"/>
      <c r="D30" s="6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22" sqref="B22"/>
    </sheetView>
  </sheetViews>
  <sheetFormatPr baseColWidth="10" defaultRowHeight="16" x14ac:dyDescent="0.2"/>
  <cols>
    <col min="1" max="1" width="17.6640625" style="6" customWidth="1"/>
    <col min="2" max="2" width="10.83203125" style="6"/>
    <col min="3" max="3" width="11.83203125" style="6" customWidth="1"/>
    <col min="4" max="4" width="26" style="6" customWidth="1"/>
    <col min="5" max="5" width="10.83203125" style="6"/>
    <col min="6" max="6" width="16.1640625" style="17" customWidth="1"/>
    <col min="7" max="7" width="10.83203125" style="6"/>
    <col min="8" max="8" width="22.1640625" style="6" customWidth="1"/>
    <col min="9" max="16384" width="10.83203125" style="6"/>
  </cols>
  <sheetData>
    <row r="1" spans="1:13" ht="17" thickBot="1" x14ac:dyDescent="0.25">
      <c r="A1" s="3" t="s">
        <v>35</v>
      </c>
      <c r="B1" s="4" t="s">
        <v>33</v>
      </c>
      <c r="C1" s="4" t="s">
        <v>34</v>
      </c>
      <c r="D1" s="4" t="s">
        <v>36</v>
      </c>
      <c r="E1" s="4" t="s">
        <v>17</v>
      </c>
      <c r="F1" s="5" t="s">
        <v>31</v>
      </c>
      <c r="G1" s="4" t="s">
        <v>10</v>
      </c>
      <c r="H1" s="4" t="s">
        <v>32</v>
      </c>
      <c r="I1" s="5"/>
      <c r="J1" s="4"/>
      <c r="K1" s="4"/>
      <c r="L1" s="5"/>
      <c r="M1" s="5"/>
    </row>
    <row r="2" spans="1:13" ht="17" thickTop="1" x14ac:dyDescent="0.2">
      <c r="A2" s="7">
        <v>100</v>
      </c>
      <c r="B2" s="8">
        <f>SQRT(Tableau1[[#This Row],[Area (*10^3 nm^2)]]*1000)</f>
        <v>500</v>
      </c>
      <c r="C2" s="8">
        <v>5</v>
      </c>
      <c r="D2" s="8">
        <v>2.36</v>
      </c>
      <c r="E2" s="8">
        <v>1.2</v>
      </c>
      <c r="F2" s="9">
        <f>$B$18/A2^2/B2^2</f>
        <v>0.18992580081974547</v>
      </c>
      <c r="G2" s="8" t="s">
        <v>23</v>
      </c>
      <c r="H2" s="9">
        <f>D2*F2</f>
        <v>0.4482248899345993</v>
      </c>
      <c r="I2" s="9"/>
      <c r="J2" s="8"/>
      <c r="K2" s="8"/>
      <c r="L2" s="9"/>
      <c r="M2" s="9"/>
    </row>
    <row r="3" spans="1:13" x14ac:dyDescent="0.2">
      <c r="A3" s="10">
        <v>100</v>
      </c>
      <c r="B3" s="11">
        <f>SQRT(Tableau1[[#This Row],[Area (*10^3 nm^2)]]*1000)</f>
        <v>300</v>
      </c>
      <c r="C3" s="11">
        <v>5</v>
      </c>
      <c r="D3" s="11">
        <v>1.59</v>
      </c>
      <c r="E3" s="11">
        <v>1.3</v>
      </c>
      <c r="F3" s="9">
        <f t="shared" ref="F3:F15" si="0">$B$18/A3^2/B3^2</f>
        <v>0.52757166894373742</v>
      </c>
      <c r="G3" s="11" t="s">
        <v>23</v>
      </c>
      <c r="H3" s="9">
        <f t="shared" ref="H3:H15" si="1">D3*F3</f>
        <v>0.8388389536205425</v>
      </c>
      <c r="I3" s="12"/>
      <c r="J3" s="11"/>
      <c r="K3" s="11"/>
      <c r="L3" s="12"/>
      <c r="M3" s="12"/>
    </row>
    <row r="4" spans="1:13" x14ac:dyDescent="0.2">
      <c r="A4" s="7">
        <v>100</v>
      </c>
      <c r="B4" s="8">
        <f>SQRT(Tableau1[[#This Row],[Area (*10^3 nm^2)]]*1000)</f>
        <v>250</v>
      </c>
      <c r="C4" s="8">
        <v>5</v>
      </c>
      <c r="D4" s="8">
        <v>1.42</v>
      </c>
      <c r="E4" s="8">
        <v>1.4</v>
      </c>
      <c r="F4" s="9">
        <f t="shared" si="0"/>
        <v>0.75970320327898189</v>
      </c>
      <c r="G4" s="8" t="s">
        <v>22</v>
      </c>
      <c r="H4" s="9">
        <f t="shared" si="1"/>
        <v>1.0787785486561543</v>
      </c>
      <c r="I4" s="9"/>
      <c r="J4" s="8"/>
      <c r="K4" s="8"/>
      <c r="L4" s="9"/>
      <c r="M4" s="9"/>
    </row>
    <row r="5" spans="1:13" x14ac:dyDescent="0.2">
      <c r="A5" s="10">
        <v>200</v>
      </c>
      <c r="B5" s="11">
        <f>SQRT(Tableau1[[#This Row],[Area (*10^3 nm^2)]]*1000)</f>
        <v>125</v>
      </c>
      <c r="C5" s="11">
        <v>5</v>
      </c>
      <c r="D5" s="11">
        <v>1.74</v>
      </c>
      <c r="E5" s="11">
        <v>2.5</v>
      </c>
      <c r="F5" s="9">
        <f t="shared" si="0"/>
        <v>0.75970320327898189</v>
      </c>
      <c r="G5" s="11" t="s">
        <v>23</v>
      </c>
      <c r="H5" s="9">
        <f t="shared" si="1"/>
        <v>1.3218835737054284</v>
      </c>
      <c r="I5" s="12"/>
      <c r="J5" s="11"/>
      <c r="K5" s="11"/>
      <c r="L5" s="12"/>
      <c r="M5" s="12"/>
    </row>
    <row r="6" spans="1:13" x14ac:dyDescent="0.2">
      <c r="A6" s="7">
        <v>100</v>
      </c>
      <c r="B6" s="8">
        <f>SQRT(Tableau1[[#This Row],[Area (*10^3 nm^2)]]*1000)</f>
        <v>250</v>
      </c>
      <c r="C6" s="8">
        <v>5</v>
      </c>
      <c r="D6" s="8">
        <v>1.06</v>
      </c>
      <c r="E6" s="8">
        <v>1.5</v>
      </c>
      <c r="F6" s="9">
        <f t="shared" si="0"/>
        <v>0.75970320327898189</v>
      </c>
      <c r="G6" s="8" t="s">
        <v>23</v>
      </c>
      <c r="H6" s="9">
        <f t="shared" si="1"/>
        <v>0.80528539547572087</v>
      </c>
      <c r="I6" s="9"/>
      <c r="J6" s="8"/>
      <c r="K6" s="8"/>
      <c r="L6" s="9"/>
      <c r="M6" s="9"/>
    </row>
    <row r="7" spans="1:13" x14ac:dyDescent="0.2">
      <c r="A7" s="10">
        <v>200</v>
      </c>
      <c r="B7" s="11">
        <f>SQRT(Tableau1[[#This Row],[Area (*10^3 nm^2)]]*1000)</f>
        <v>250</v>
      </c>
      <c r="C7" s="11">
        <v>5</v>
      </c>
      <c r="D7" s="11">
        <v>3.54</v>
      </c>
      <c r="E7" s="11">
        <v>2.2000000000000002</v>
      </c>
      <c r="F7" s="9">
        <f t="shared" si="0"/>
        <v>0.18992580081974547</v>
      </c>
      <c r="G7" s="11" t="s">
        <v>23</v>
      </c>
      <c r="H7" s="9">
        <f t="shared" si="1"/>
        <v>0.67233733490189895</v>
      </c>
      <c r="I7" s="12"/>
      <c r="J7" s="11"/>
      <c r="K7" s="11"/>
      <c r="L7" s="12"/>
      <c r="M7" s="12"/>
    </row>
    <row r="8" spans="1:13" x14ac:dyDescent="0.2">
      <c r="A8" s="7">
        <v>200</v>
      </c>
      <c r="B8" s="8">
        <f>SQRT(Tableau1[[#This Row],[Area (*10^3 nm^2)]]*1000)</f>
        <v>300</v>
      </c>
      <c r="C8" s="8">
        <v>5</v>
      </c>
      <c r="D8" s="8">
        <v>4.33</v>
      </c>
      <c r="E8" s="8">
        <v>2.1</v>
      </c>
      <c r="F8" s="9">
        <f t="shared" si="0"/>
        <v>0.13189291723593435</v>
      </c>
      <c r="G8" s="8" t="s">
        <v>23</v>
      </c>
      <c r="H8" s="9">
        <f t="shared" si="1"/>
        <v>0.57109633163159579</v>
      </c>
      <c r="I8" s="9"/>
      <c r="J8" s="8"/>
      <c r="K8" s="8"/>
      <c r="L8" s="9"/>
      <c r="M8" s="9"/>
    </row>
    <row r="9" spans="1:13" x14ac:dyDescent="0.2">
      <c r="A9" s="10">
        <v>200</v>
      </c>
      <c r="B9" s="11">
        <f>SQRT(Tableau1[[#This Row],[Area (*10^3 nm^2)]]*1000)</f>
        <v>300</v>
      </c>
      <c r="C9" s="11">
        <v>5</v>
      </c>
      <c r="D9" s="11">
        <v>5.21</v>
      </c>
      <c r="E9" s="11">
        <v>2.2999999999999998</v>
      </c>
      <c r="F9" s="9">
        <f t="shared" si="0"/>
        <v>0.13189291723593435</v>
      </c>
      <c r="G9" s="11" t="s">
        <v>23</v>
      </c>
      <c r="H9" s="9">
        <f t="shared" si="1"/>
        <v>0.68716209879921797</v>
      </c>
      <c r="I9" s="12"/>
      <c r="J9" s="11"/>
      <c r="K9" s="11"/>
      <c r="L9" s="12"/>
      <c r="M9" s="12"/>
    </row>
    <row r="10" spans="1:13" x14ac:dyDescent="0.2">
      <c r="A10" s="7">
        <v>200</v>
      </c>
      <c r="B10" s="8">
        <f>SQRT(Tableau1[[#This Row],[Area (*10^3 nm^2)]]*1000)</f>
        <v>300</v>
      </c>
      <c r="C10" s="8">
        <v>5</v>
      </c>
      <c r="D10" s="8">
        <v>4.79</v>
      </c>
      <c r="E10" s="8">
        <v>2.4</v>
      </c>
      <c r="F10" s="9">
        <f t="shared" si="0"/>
        <v>0.13189291723593435</v>
      </c>
      <c r="G10" s="8" t="s">
        <v>23</v>
      </c>
      <c r="H10" s="9">
        <f t="shared" si="1"/>
        <v>0.63176707356012551</v>
      </c>
      <c r="I10" s="9"/>
      <c r="J10" s="8"/>
      <c r="K10" s="8"/>
      <c r="L10" s="9"/>
      <c r="M10" s="9"/>
    </row>
    <row r="11" spans="1:13" x14ac:dyDescent="0.2">
      <c r="A11" s="10">
        <v>150</v>
      </c>
      <c r="B11" s="11">
        <f>SQRT(Tableau1[[#This Row],[Area (*10^3 nm^2)]]*1000)</f>
        <v>300</v>
      </c>
      <c r="C11" s="11">
        <v>5</v>
      </c>
      <c r="D11" s="11">
        <v>2.59</v>
      </c>
      <c r="E11" s="11">
        <v>3.1</v>
      </c>
      <c r="F11" s="9">
        <f t="shared" si="0"/>
        <v>0.23447629730832772</v>
      </c>
      <c r="G11" s="11" t="s">
        <v>23</v>
      </c>
      <c r="H11" s="9">
        <f t="shared" si="1"/>
        <v>0.60729361002856874</v>
      </c>
      <c r="I11" s="12"/>
      <c r="J11" s="11"/>
      <c r="K11" s="11"/>
      <c r="L11" s="12"/>
      <c r="M11" s="12"/>
    </row>
    <row r="12" spans="1:13" x14ac:dyDescent="0.2">
      <c r="A12" s="7">
        <v>150</v>
      </c>
      <c r="B12" s="8">
        <f>SQRT(Tableau1[[#This Row],[Area (*10^3 nm^2)]]*1000)</f>
        <v>500</v>
      </c>
      <c r="C12" s="8">
        <v>5</v>
      </c>
      <c r="D12" s="8">
        <v>3.61</v>
      </c>
      <c r="E12" s="8">
        <v>3.2</v>
      </c>
      <c r="F12" s="9">
        <f t="shared" si="0"/>
        <v>8.4411467030997986E-2</v>
      </c>
      <c r="G12" s="8" t="s">
        <v>23</v>
      </c>
      <c r="H12" s="9">
        <f t="shared" si="1"/>
        <v>0.30472539598190274</v>
      </c>
      <c r="I12" s="9"/>
      <c r="J12" s="8"/>
      <c r="K12" s="8"/>
      <c r="L12" s="9"/>
      <c r="M12" s="9"/>
    </row>
    <row r="13" spans="1:13" x14ac:dyDescent="0.2">
      <c r="A13" s="10">
        <v>100</v>
      </c>
      <c r="B13" s="11">
        <f>SQRT(Tableau1[[#This Row],[Area (*10^3 nm^2)]]*1000)</f>
        <v>750</v>
      </c>
      <c r="C13" s="11">
        <v>5</v>
      </c>
      <c r="D13" s="11">
        <v>1.93</v>
      </c>
      <c r="E13" s="11" t="s">
        <v>20</v>
      </c>
      <c r="F13" s="9">
        <f t="shared" si="0"/>
        <v>8.4411467030997986E-2</v>
      </c>
      <c r="G13" s="11" t="s">
        <v>23</v>
      </c>
      <c r="H13" s="9">
        <f t="shared" si="1"/>
        <v>0.1629141313698261</v>
      </c>
      <c r="I13" s="12"/>
      <c r="J13" s="11"/>
      <c r="K13" s="11"/>
      <c r="L13" s="12"/>
      <c r="M13" s="12"/>
    </row>
    <row r="14" spans="1:13" s="16" customFormat="1" x14ac:dyDescent="0.2">
      <c r="A14" s="13">
        <v>200</v>
      </c>
      <c r="B14" s="14">
        <f>SQRT(Tableau1[[#This Row],[Area (*10^3 nm^2)]]*1000)</f>
        <v>250</v>
      </c>
      <c r="C14" s="14">
        <v>5</v>
      </c>
      <c r="D14" s="14"/>
      <c r="E14" s="14" t="s">
        <v>13</v>
      </c>
      <c r="F14" s="15">
        <f t="shared" si="0"/>
        <v>0.18992580081974547</v>
      </c>
      <c r="G14" s="14" t="s">
        <v>23</v>
      </c>
      <c r="H14" s="15"/>
      <c r="I14" s="15"/>
      <c r="J14" s="14"/>
      <c r="K14" s="14"/>
      <c r="L14" s="15"/>
      <c r="M14" s="15"/>
    </row>
    <row r="15" spans="1:13" x14ac:dyDescent="0.2">
      <c r="A15" s="10">
        <v>100</v>
      </c>
      <c r="B15" s="11">
        <f>SQRT(Tableau1[[#This Row],[Area (*10^3 nm^2)]]*1000)</f>
        <v>500</v>
      </c>
      <c r="C15" s="11">
        <v>10</v>
      </c>
      <c r="D15" s="11">
        <v>0.99</v>
      </c>
      <c r="E15" s="11">
        <v>4.0999999999999996</v>
      </c>
      <c r="F15" s="9">
        <f t="shared" si="0"/>
        <v>0.18992580081974547</v>
      </c>
      <c r="G15" s="11" t="s">
        <v>23</v>
      </c>
      <c r="H15" s="9">
        <f t="shared" si="1"/>
        <v>0.18802654281154801</v>
      </c>
      <c r="I15" s="12"/>
      <c r="J15" s="11"/>
      <c r="K15" s="11"/>
      <c r="L15" s="12"/>
      <c r="M15" s="12"/>
    </row>
    <row r="18" spans="1:5" x14ac:dyDescent="0.2">
      <c r="A18" s="17" t="s">
        <v>30</v>
      </c>
      <c r="B18" s="6">
        <v>474814502.04936367</v>
      </c>
      <c r="E18" s="12"/>
    </row>
    <row r="19" spans="1:5" x14ac:dyDescent="0.2">
      <c r="E19" s="9"/>
    </row>
    <row r="20" spans="1:5" x14ac:dyDescent="0.2">
      <c r="B20" s="6">
        <f>B18/(0.72*250^2)</f>
        <v>10551.433378874748</v>
      </c>
      <c r="E20" s="12"/>
    </row>
    <row r="21" spans="1:5" x14ac:dyDescent="0.2">
      <c r="B21" s="6">
        <f>SQRT(B20)</f>
        <v>102.7201702630732</v>
      </c>
      <c r="E21" s="9"/>
    </row>
    <row r="22" spans="1:5" x14ac:dyDescent="0.2">
      <c r="E22" s="12"/>
    </row>
    <row r="23" spans="1:5" x14ac:dyDescent="0.2">
      <c r="E23" s="9"/>
    </row>
    <row r="24" spans="1:5" x14ac:dyDescent="0.2">
      <c r="E24" s="12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zoomScale="118" zoomScaleNormal="118" zoomScalePageLayoutView="118" workbookViewId="0">
      <selection activeCell="E10" sqref="E10"/>
    </sheetView>
  </sheetViews>
  <sheetFormatPr baseColWidth="10" defaultRowHeight="16" x14ac:dyDescent="0.2"/>
  <cols>
    <col min="1" max="1" width="13.1640625" style="6" bestFit="1" customWidth="1"/>
    <col min="2" max="2" width="12.1640625" style="6" bestFit="1" customWidth="1"/>
    <col min="3" max="3" width="20.6640625" style="6" bestFit="1" customWidth="1"/>
    <col min="4" max="4" width="11.6640625" style="6" bestFit="1" customWidth="1"/>
    <col min="5" max="5" width="17.83203125" style="6" bestFit="1" customWidth="1"/>
    <col min="6" max="6" width="16.6640625" style="6" bestFit="1" customWidth="1"/>
    <col min="7" max="7" width="16.6640625" style="6" customWidth="1"/>
    <col min="8" max="8" width="27" style="6" bestFit="1" customWidth="1"/>
    <col min="9" max="9" width="24.1640625" style="6" bestFit="1" customWidth="1"/>
    <col min="10" max="10" width="10.83203125" style="6"/>
    <col min="11" max="11" width="27.33203125" style="17" customWidth="1"/>
    <col min="12" max="16384" width="10.83203125" style="6"/>
  </cols>
  <sheetData>
    <row r="1" spans="1:11" x14ac:dyDescent="0.2">
      <c r="A1" s="6" t="s">
        <v>17</v>
      </c>
      <c r="B1" s="6" t="s">
        <v>37</v>
      </c>
      <c r="C1" s="6" t="s">
        <v>35</v>
      </c>
      <c r="D1" s="6" t="s">
        <v>33</v>
      </c>
      <c r="E1" s="6" t="s">
        <v>41</v>
      </c>
      <c r="F1" s="6" t="s">
        <v>34</v>
      </c>
      <c r="G1" s="6" t="s">
        <v>38</v>
      </c>
      <c r="H1" s="6" t="s">
        <v>40</v>
      </c>
      <c r="I1" s="17" t="s">
        <v>39</v>
      </c>
    </row>
    <row r="2" spans="1:11" x14ac:dyDescent="0.2">
      <c r="A2" s="6">
        <v>3.2</v>
      </c>
      <c r="B2" s="6" t="s">
        <v>23</v>
      </c>
      <c r="C2" s="6">
        <v>150</v>
      </c>
      <c r="D2" s="6">
        <v>500</v>
      </c>
      <c r="E2" s="6">
        <f>(Tableau2[[#This Row],[Magnification (K)]]*Tableau2[[#This Row],[L (nm)]])^2*10^(-6)</f>
        <v>5625</v>
      </c>
      <c r="F2" s="6">
        <v>5</v>
      </c>
      <c r="G2" s="17">
        <v>8.4411467030997986E-2</v>
      </c>
      <c r="H2" s="6">
        <v>3.61</v>
      </c>
      <c r="I2" s="17">
        <v>0.30472539598190274</v>
      </c>
    </row>
    <row r="3" spans="1:11" x14ac:dyDescent="0.2">
      <c r="A3" s="6" t="s">
        <v>20</v>
      </c>
      <c r="B3" s="6" t="s">
        <v>23</v>
      </c>
      <c r="C3" s="6">
        <v>100</v>
      </c>
      <c r="D3" s="6">
        <v>750</v>
      </c>
      <c r="E3" s="6">
        <f>(Tableau2[[#This Row],[Magnification (K)]]*Tableau2[[#This Row],[L (nm)]])^2*10^(-6)</f>
        <v>5625</v>
      </c>
      <c r="F3" s="6">
        <v>5</v>
      </c>
      <c r="G3" s="17">
        <v>8.4411467030997986E-2</v>
      </c>
      <c r="H3" s="6">
        <v>1.93</v>
      </c>
      <c r="I3" s="17">
        <v>0.1629141313698261</v>
      </c>
    </row>
    <row r="4" spans="1:11" x14ac:dyDescent="0.2">
      <c r="A4" s="6" t="s">
        <v>42</v>
      </c>
      <c r="B4" s="6" t="s">
        <v>23</v>
      </c>
      <c r="C4" s="6">
        <v>50</v>
      </c>
      <c r="D4" s="6">
        <v>1500</v>
      </c>
      <c r="E4" s="6">
        <f>(Tableau2[[#This Row],[Magnification (K)]]*Tableau2[[#This Row],[L (nm)]])^2*10^(-6)</f>
        <v>5625</v>
      </c>
      <c r="F4" s="6">
        <v>10</v>
      </c>
      <c r="G4" s="17">
        <f>30/350</f>
        <v>8.5714285714285715E-2</v>
      </c>
      <c r="H4" s="6">
        <v>0.35299999999999998</v>
      </c>
      <c r="I4" s="17">
        <f>Tableau2[[#This Row],[Closure speed (nm/scan)]]*Tableau2[[#This Row],[Scan speed (scan/s)]]</f>
        <v>3.0257142857142857E-2</v>
      </c>
    </row>
    <row r="5" spans="1:11" x14ac:dyDescent="0.2">
      <c r="A5" s="6">
        <v>2.1</v>
      </c>
      <c r="B5" s="6" t="s">
        <v>23</v>
      </c>
      <c r="C5" s="6">
        <v>200</v>
      </c>
      <c r="D5" s="6">
        <v>300</v>
      </c>
      <c r="E5" s="6">
        <f>(Tableau2[[#This Row],[Magnification (K)]]*Tableau2[[#This Row],[L (nm)]])^2*10^(-6)</f>
        <v>3600</v>
      </c>
      <c r="F5" s="6">
        <v>5</v>
      </c>
      <c r="G5" s="17">
        <v>0.13189291723593435</v>
      </c>
      <c r="H5" s="6">
        <v>4.33</v>
      </c>
      <c r="I5" s="17">
        <v>0.57109633163159579</v>
      </c>
    </row>
    <row r="6" spans="1:11" x14ac:dyDescent="0.2">
      <c r="A6" s="6">
        <v>2.2999999999999998</v>
      </c>
      <c r="B6" s="6" t="s">
        <v>23</v>
      </c>
      <c r="C6" s="6">
        <v>200</v>
      </c>
      <c r="D6" s="6">
        <v>300</v>
      </c>
      <c r="E6" s="6">
        <f>(Tableau2[[#This Row],[Magnification (K)]]*Tableau2[[#This Row],[L (nm)]])^2*10^(-6)</f>
        <v>3600</v>
      </c>
      <c r="F6" s="6">
        <v>5</v>
      </c>
      <c r="G6" s="17">
        <v>0.13189291723593435</v>
      </c>
      <c r="H6" s="6">
        <v>5.21</v>
      </c>
      <c r="I6" s="17">
        <v>0.68716209879921797</v>
      </c>
    </row>
    <row r="7" spans="1:11" x14ac:dyDescent="0.2">
      <c r="A7" s="6">
        <v>2.4</v>
      </c>
      <c r="B7" s="6" t="s">
        <v>23</v>
      </c>
      <c r="C7" s="6">
        <v>200</v>
      </c>
      <c r="D7" s="6">
        <v>300</v>
      </c>
      <c r="E7" s="6">
        <f>(Tableau2[[#This Row],[Magnification (K)]]*Tableau2[[#This Row],[L (nm)]])^2*10^(-6)</f>
        <v>3600</v>
      </c>
      <c r="F7" s="6">
        <v>5</v>
      </c>
      <c r="G7" s="17">
        <v>0.13189291723593435</v>
      </c>
      <c r="H7" s="6">
        <v>4.79</v>
      </c>
      <c r="I7" s="17">
        <v>0.63176707356012551</v>
      </c>
    </row>
    <row r="8" spans="1:11" x14ac:dyDescent="0.2">
      <c r="A8" s="6">
        <v>1.2</v>
      </c>
      <c r="B8" s="6" t="s">
        <v>23</v>
      </c>
      <c r="C8" s="6">
        <v>100</v>
      </c>
      <c r="D8" s="6">
        <v>500</v>
      </c>
      <c r="E8" s="6">
        <f>(Tableau2[[#This Row],[Magnification (K)]]*Tableau2[[#This Row],[L (nm)]])^2*10^(-6)</f>
        <v>2500</v>
      </c>
      <c r="F8" s="6">
        <v>5</v>
      </c>
      <c r="G8" s="17">
        <v>0.18992580081974547</v>
      </c>
      <c r="H8" s="6">
        <v>2.36</v>
      </c>
      <c r="I8" s="17">
        <v>0.4482248899345993</v>
      </c>
    </row>
    <row r="9" spans="1:11" x14ac:dyDescent="0.2">
      <c r="A9" s="6">
        <v>2.2000000000000002</v>
      </c>
      <c r="B9" s="6" t="s">
        <v>23</v>
      </c>
      <c r="C9" s="6">
        <v>200</v>
      </c>
      <c r="D9" s="6">
        <v>250</v>
      </c>
      <c r="E9" s="6">
        <f>(Tableau2[[#This Row],[Magnification (K)]]*Tableau2[[#This Row],[L (nm)]])^2*10^(-6)</f>
        <v>2500</v>
      </c>
      <c r="F9" s="6">
        <v>5</v>
      </c>
      <c r="G9" s="17">
        <v>0.18992580081974547</v>
      </c>
      <c r="H9" s="6">
        <v>3.54</v>
      </c>
      <c r="I9" s="17">
        <v>0.67233733490189895</v>
      </c>
      <c r="K9" s="18"/>
    </row>
    <row r="10" spans="1:11" x14ac:dyDescent="0.2">
      <c r="A10" s="6">
        <v>4.0999999999999996</v>
      </c>
      <c r="B10" s="6" t="s">
        <v>23</v>
      </c>
      <c r="C10" s="6">
        <v>100</v>
      </c>
      <c r="D10" s="6">
        <v>500</v>
      </c>
      <c r="E10" s="6">
        <f>(Tableau2[[#This Row],[Magnification (K)]]*Tableau2[[#This Row],[L (nm)]])^2*10^(-6)</f>
        <v>2500</v>
      </c>
      <c r="F10" s="6">
        <v>10</v>
      </c>
      <c r="G10" s="17">
        <v>0.18992580081974547</v>
      </c>
      <c r="H10" s="6">
        <v>0.99</v>
      </c>
      <c r="I10" s="17">
        <v>0.18802654281154801</v>
      </c>
      <c r="K10" s="19"/>
    </row>
    <row r="11" spans="1:11" x14ac:dyDescent="0.2">
      <c r="A11" s="6">
        <v>3.1</v>
      </c>
      <c r="B11" s="6" t="s">
        <v>23</v>
      </c>
      <c r="C11" s="6">
        <v>150</v>
      </c>
      <c r="D11" s="6">
        <v>300</v>
      </c>
      <c r="E11" s="6">
        <f>(Tableau2[[#This Row],[Magnification (K)]]*Tableau2[[#This Row],[L (nm)]])^2*10^(-6)</f>
        <v>2025</v>
      </c>
      <c r="F11" s="6">
        <v>5</v>
      </c>
      <c r="G11" s="17">
        <v>0.23447629730832772</v>
      </c>
      <c r="H11" s="6">
        <v>2.59</v>
      </c>
      <c r="I11" s="17">
        <v>0.60729361002856874</v>
      </c>
      <c r="K11" s="18"/>
    </row>
    <row r="12" spans="1:11" x14ac:dyDescent="0.2">
      <c r="A12" s="6">
        <v>1.3</v>
      </c>
      <c r="B12" s="6" t="s">
        <v>23</v>
      </c>
      <c r="C12" s="6">
        <v>100</v>
      </c>
      <c r="D12" s="6">
        <v>300</v>
      </c>
      <c r="E12" s="6">
        <f>(Tableau2[[#This Row],[Magnification (K)]]*Tableau2[[#This Row],[L (nm)]])^2*10^(-6)</f>
        <v>900</v>
      </c>
      <c r="F12" s="6">
        <v>5</v>
      </c>
      <c r="G12" s="17">
        <v>0.52757166894373742</v>
      </c>
      <c r="H12" s="6">
        <v>1.59</v>
      </c>
      <c r="I12" s="17">
        <v>0.8388389536205425</v>
      </c>
    </row>
    <row r="13" spans="1:11" x14ac:dyDescent="0.2">
      <c r="A13" s="6">
        <v>1.4</v>
      </c>
      <c r="B13" s="6" t="s">
        <v>22</v>
      </c>
      <c r="C13" s="6">
        <v>100</v>
      </c>
      <c r="D13" s="6">
        <v>250</v>
      </c>
      <c r="E13" s="6">
        <f>(Tableau2[[#This Row],[Magnification (K)]]*Tableau2[[#This Row],[L (nm)]])^2*10^(-6)</f>
        <v>625</v>
      </c>
      <c r="F13" s="6">
        <v>5</v>
      </c>
      <c r="G13" s="17">
        <v>0.75970320327898189</v>
      </c>
      <c r="H13" s="6">
        <v>1.42</v>
      </c>
      <c r="I13" s="17">
        <v>1.0787785486561543</v>
      </c>
    </row>
    <row r="14" spans="1:11" x14ac:dyDescent="0.2">
      <c r="A14" s="6">
        <v>1.5</v>
      </c>
      <c r="B14" s="6" t="s">
        <v>23</v>
      </c>
      <c r="C14" s="6">
        <v>100</v>
      </c>
      <c r="D14" s="6">
        <v>250</v>
      </c>
      <c r="E14" s="6">
        <f>(Tableau2[[#This Row],[Magnification (K)]]*Tableau2[[#This Row],[L (nm)]])^2*10^(-6)</f>
        <v>625</v>
      </c>
      <c r="F14" s="6">
        <v>5</v>
      </c>
      <c r="G14" s="17">
        <v>0.75970320327898189</v>
      </c>
      <c r="H14" s="6">
        <v>1.06</v>
      </c>
      <c r="I14" s="17">
        <v>0.80528539547572087</v>
      </c>
    </row>
    <row r="15" spans="1:11" x14ac:dyDescent="0.2">
      <c r="A15" s="6">
        <v>2.5</v>
      </c>
      <c r="B15" s="6" t="s">
        <v>23</v>
      </c>
      <c r="C15" s="6">
        <v>200</v>
      </c>
      <c r="D15" s="6">
        <v>125</v>
      </c>
      <c r="E15" s="6">
        <f>(Tableau2[[#This Row],[Magnification (K)]]*Tableau2[[#This Row],[L (nm)]])^2*10^(-6)</f>
        <v>625</v>
      </c>
      <c r="F15" s="6">
        <v>5</v>
      </c>
      <c r="G15" s="17">
        <v>0.75970320327898189</v>
      </c>
      <c r="H15" s="6">
        <v>1.74</v>
      </c>
      <c r="I15" s="17">
        <v>1.3218835737054284</v>
      </c>
    </row>
    <row r="16" spans="1:11" x14ac:dyDescent="0.2">
      <c r="A16" s="6" t="s">
        <v>50</v>
      </c>
      <c r="B16" s="6" t="s">
        <v>23</v>
      </c>
      <c r="C16" s="6">
        <v>200</v>
      </c>
      <c r="D16" s="6">
        <v>250</v>
      </c>
      <c r="E16" s="6">
        <f>(Tableau2[[#This Row],[Magnification (K)]]*Tableau2[[#This Row],[L (nm)]])^2*10^(-6)</f>
        <v>2500</v>
      </c>
      <c r="F16" s="6">
        <v>10</v>
      </c>
      <c r="G16" s="6">
        <v>0.19</v>
      </c>
      <c r="H16" s="6">
        <v>3.77</v>
      </c>
      <c r="I16" s="17">
        <f>Tableau2[[#This Row],[Closure speed (nm/scan)]]*Tableau2[[#This Row],[Scan speed (scan/s)]]</f>
        <v>0.71630000000000005</v>
      </c>
    </row>
    <row r="17" spans="1:9" x14ac:dyDescent="0.2">
      <c r="A17" s="6" t="s">
        <v>51</v>
      </c>
      <c r="B17" s="6" t="s">
        <v>23</v>
      </c>
      <c r="C17" s="6">
        <v>100</v>
      </c>
      <c r="D17" s="6">
        <v>250</v>
      </c>
      <c r="E17" s="6">
        <f>(Tableau2[[#This Row],[Magnification (K)]]*Tableau2[[#This Row],[L (nm)]])^2*10^(-6)</f>
        <v>625</v>
      </c>
      <c r="F17" s="6">
        <v>10</v>
      </c>
      <c r="G17" s="6">
        <v>0.72</v>
      </c>
      <c r="H17" s="6">
        <v>2.2799999999999998</v>
      </c>
      <c r="I17" s="17">
        <f>Tableau2[[#This Row],[Closure speed (nm/scan)]]*Tableau2[[#This Row],[Scan speed (scan/s)]]</f>
        <v>1.6415999999999997</v>
      </c>
    </row>
    <row r="18" spans="1:9" x14ac:dyDescent="0.2">
      <c r="E18" s="6">
        <f>(Tableau2[[#This Row],[Magnification (K)]]*Tableau2[[#This Row],[L (nm)]])^2*10^(-6)</f>
        <v>0</v>
      </c>
      <c r="I18" s="17"/>
    </row>
    <row r="19" spans="1:9" x14ac:dyDescent="0.2">
      <c r="E19" s="6">
        <f>(Tableau2[[#This Row],[Magnification (K)]]*Tableau2[[#This Row],[L (nm)]])^2*10^(-6)</f>
        <v>0</v>
      </c>
      <c r="I19" s="17"/>
    </row>
    <row r="20" spans="1:9" x14ac:dyDescent="0.2">
      <c r="E20" s="6">
        <f>(Tableau2[[#This Row],[Magnification (K)]]*Tableau2[[#This Row],[L (nm)]])^2*10^(-6)</f>
        <v>0</v>
      </c>
      <c r="I20" s="17"/>
    </row>
    <row r="21" spans="1:9" x14ac:dyDescent="0.2">
      <c r="E21" s="6">
        <f>(Tableau2[[#This Row],[Magnification (K)]]*Tableau2[[#This Row],[L (nm)]])^2*10^(-6)</f>
        <v>0</v>
      </c>
      <c r="I21" s="17"/>
    </row>
    <row r="63" spans="10:10" x14ac:dyDescent="0.2">
      <c r="J63" s="21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Feuil2</vt:lpstr>
      <vt:lpstr>Courbes</vt:lpstr>
      <vt:lpstr>Repeatability</vt:lpstr>
      <vt:lpstr>Calculs</vt:lpstr>
      <vt:lpstr>Feuil4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2016-08-01T01:06:39Z</dcterms:created>
  <dcterms:modified xsi:type="dcterms:W3CDTF">2016-08-07T12:50:25Z</dcterms:modified>
</cp:coreProperties>
</file>