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ubeusc-my.sharepoint.com/personal/anxo_losada_rai_usc_es/Documents/4ºAno/Projectos_Integrados_3/Documentos_Relacionados/"/>
    </mc:Choice>
  </mc:AlternateContent>
  <xr:revisionPtr revIDLastSave="2267" documentId="11_D5CEDCC997D9AECF0543A33C11DBBF0F5DB09D65" xr6:coauthVersionLast="47" xr6:coauthVersionMax="47" xr10:uidLastSave="{2603B7A0-2289-419D-8A72-F06E93E4A5B9}"/>
  <bookViews>
    <workbookView xWindow="0" yWindow="0" windowWidth="11520" windowHeight="12360" xr2:uid="{00000000-000D-0000-FFFF-FFFF00000000}"/>
  </bookViews>
  <sheets>
    <sheet name="Hoja1" sheetId="2" r:id="rId1"/>
    <sheet name="Sheet1" sheetId="1" state="hidden" r:id="rId2"/>
  </sheets>
  <definedNames>
    <definedName name="task_end" localSheetId="0">Hoja1!#REF!</definedName>
    <definedName name="task_start" localSheetId="0">Hoja1!$C1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3" i="2" l="1"/>
  <c r="M20" i="2"/>
  <c r="B67" i="2"/>
  <c r="C67" i="2" s="1"/>
  <c r="M30" i="2" l="1"/>
  <c r="M27" i="2"/>
  <c r="H8" i="2" l="1"/>
  <c r="E67" i="2"/>
  <c r="H76" i="2" l="1"/>
  <c r="H75" i="2"/>
  <c r="F63" i="2"/>
  <c r="F64" i="2"/>
  <c r="F66" i="2"/>
  <c r="F67" i="2"/>
  <c r="N6" i="2"/>
  <c r="N5" i="2"/>
  <c r="N4" i="2"/>
  <c r="M46" i="2"/>
  <c r="H58" i="2"/>
  <c r="H32" i="2" l="1"/>
  <c r="M42" i="2"/>
  <c r="C16" i="1"/>
  <c r="C18" i="1"/>
  <c r="C19" i="1"/>
  <c r="C17" i="1"/>
  <c r="B69" i="2"/>
  <c r="C69" i="2" s="1"/>
  <c r="G24" i="1"/>
  <c r="H70" i="2"/>
  <c r="H63" i="2"/>
  <c r="I63" i="2" s="1"/>
  <c r="H64" i="2"/>
  <c r="I64" i="2" s="1"/>
  <c r="H62" i="2"/>
  <c r="C4" i="2"/>
  <c r="H34" i="2"/>
  <c r="B5" i="2" l="1"/>
  <c r="C5" i="2"/>
  <c r="B70" i="2" l="1"/>
  <c r="B6" i="2"/>
  <c r="C70" i="2"/>
  <c r="D70" i="2" l="1"/>
  <c r="E70" i="2" s="1"/>
  <c r="B71" i="2"/>
  <c r="C6" i="2"/>
  <c r="I70" i="2" l="1"/>
  <c r="F70" i="2"/>
  <c r="B7" i="2"/>
  <c r="C7" i="2" l="1"/>
  <c r="B48" i="2" l="1"/>
  <c r="B46" i="2"/>
  <c r="B11" i="2"/>
  <c r="B10" i="2"/>
  <c r="B8" i="2"/>
  <c r="B3" i="2" s="1"/>
  <c r="B45" i="2"/>
  <c r="C11" i="2" l="1"/>
  <c r="C46" i="2"/>
  <c r="E46" i="2" s="1"/>
  <c r="C48" i="2"/>
  <c r="B50" i="2" s="1"/>
  <c r="C45" i="2"/>
  <c r="E45" i="2" s="1"/>
  <c r="B9" i="2"/>
  <c r="C10" i="2"/>
  <c r="B17" i="2"/>
  <c r="B16" i="2"/>
  <c r="C50" i="2"/>
  <c r="B52" i="2" s="1"/>
  <c r="C52" i="2" l="1"/>
  <c r="C16" i="2"/>
  <c r="E16" i="2"/>
  <c r="C17" i="2"/>
  <c r="E17" i="2"/>
  <c r="B25" i="2"/>
  <c r="B26" i="2"/>
  <c r="B20" i="2"/>
  <c r="B19" i="2"/>
  <c r="B18" i="2"/>
  <c r="B15" i="2"/>
  <c r="B13" i="2"/>
  <c r="B14" i="2"/>
  <c r="C9" i="2"/>
  <c r="B47" i="2"/>
  <c r="C18" i="2" l="1"/>
  <c r="E18" i="2"/>
  <c r="C26" i="2"/>
  <c r="B32" i="2" s="1"/>
  <c r="C15" i="2"/>
  <c r="E15" i="2" s="1"/>
  <c r="C19" i="2"/>
  <c r="B28" i="2" s="1"/>
  <c r="C20" i="2"/>
  <c r="B29" i="2" s="1"/>
  <c r="E20" i="2"/>
  <c r="C25" i="2"/>
  <c r="B31" i="2" s="1"/>
  <c r="C47" i="2"/>
  <c r="C14" i="2"/>
  <c r="E14" i="2" s="1"/>
  <c r="B44" i="2"/>
  <c r="B12" i="2"/>
  <c r="C13" i="2"/>
  <c r="E13" i="2" s="1"/>
  <c r="B24" i="2"/>
  <c r="B27" i="2"/>
  <c r="E19" i="2" l="1"/>
  <c r="C29" i="2"/>
  <c r="C27" i="2"/>
  <c r="C24" i="2"/>
  <c r="B23" i="2"/>
  <c r="C32" i="2"/>
  <c r="D32" i="2" s="1"/>
  <c r="C28" i="2"/>
  <c r="B34" i="2" s="1"/>
  <c r="C31" i="2"/>
  <c r="E31" i="2" s="1"/>
  <c r="B35" i="2"/>
  <c r="B22" i="2"/>
  <c r="C12" i="2"/>
  <c r="E12" i="2" s="1"/>
  <c r="B51" i="2"/>
  <c r="C44" i="2"/>
  <c r="C35" i="2" l="1"/>
  <c r="B37" i="2" s="1"/>
  <c r="C23" i="2"/>
  <c r="E32" i="2"/>
  <c r="C34" i="2"/>
  <c r="C37" i="2"/>
  <c r="B42" i="2" s="1"/>
  <c r="C51" i="2"/>
  <c r="E51" i="2" s="1"/>
  <c r="B21" i="2"/>
  <c r="C22" i="2"/>
  <c r="D34" i="2"/>
  <c r="E34" i="2" l="1"/>
  <c r="I32" i="2"/>
  <c r="F32" i="2"/>
  <c r="I34" i="2"/>
  <c r="F34" i="2"/>
  <c r="C21" i="2"/>
  <c r="B33" i="2"/>
  <c r="C42" i="2"/>
  <c r="B53" i="2" s="1"/>
  <c r="E42" i="2" l="1"/>
  <c r="C53" i="2"/>
  <c r="B30" i="2"/>
  <c r="C33" i="2"/>
  <c r="B40" i="2" l="1"/>
  <c r="C30" i="2"/>
  <c r="B41" i="2"/>
  <c r="B39" i="2"/>
  <c r="B38" i="2"/>
  <c r="C41" i="2" l="1"/>
  <c r="C39" i="2"/>
  <c r="E39" i="2" s="1"/>
  <c r="C40" i="2"/>
  <c r="C38" i="2"/>
  <c r="E38" i="2" s="1"/>
  <c r="C43" i="2" l="1"/>
  <c r="B36" i="2"/>
  <c r="B54" i="2" l="1"/>
  <c r="C36" i="2"/>
  <c r="B49" i="2" l="1"/>
  <c r="C54" i="2"/>
  <c r="B56" i="2" l="1"/>
  <c r="C49" i="2"/>
  <c r="C56" i="2" l="1"/>
  <c r="B57" i="2" l="1"/>
  <c r="C57" i="2" l="1"/>
  <c r="B58" i="2" s="1"/>
  <c r="C71" i="2"/>
  <c r="C58" i="2" l="1"/>
  <c r="D58" i="2" s="1"/>
  <c r="E58" i="2" s="1"/>
  <c r="B72" i="2"/>
  <c r="C72" i="2"/>
  <c r="B73" i="2" s="1"/>
  <c r="B59" i="2" l="1"/>
  <c r="I58" i="2"/>
  <c r="F58" i="2"/>
  <c r="C59" i="2"/>
  <c r="C73" i="2"/>
  <c r="B74" i="2" l="1"/>
  <c r="E73" i="2"/>
  <c r="B60" i="2"/>
  <c r="B68" i="2" l="1"/>
  <c r="C74" i="2"/>
  <c r="B76" i="2" s="1"/>
  <c r="C76" i="2" s="1"/>
  <c r="C60" i="2"/>
  <c r="B62" i="2" s="1"/>
  <c r="C62" i="2" s="1"/>
  <c r="B63" i="2" s="1"/>
  <c r="C63" i="2" s="1"/>
  <c r="B64" i="2" s="1"/>
  <c r="C64" i="2" s="1"/>
  <c r="B55" i="2"/>
  <c r="C68" i="2"/>
  <c r="B65" i="2" l="1"/>
  <c r="D64" i="2"/>
  <c r="E60" i="2"/>
  <c r="B75" i="2"/>
  <c r="C55" i="2"/>
  <c r="H13" i="2"/>
  <c r="D4" i="2"/>
  <c r="H5" i="2"/>
  <c r="H6" i="2"/>
  <c r="H7" i="2"/>
  <c r="H9" i="2"/>
  <c r="H10" i="2"/>
  <c r="H11" i="2"/>
  <c r="H12" i="2"/>
  <c r="H14" i="2"/>
  <c r="H19" i="2"/>
  <c r="H16" i="2"/>
  <c r="H17" i="2"/>
  <c r="H18" i="2"/>
  <c r="H15" i="2"/>
  <c r="H20" i="2"/>
  <c r="H21" i="2"/>
  <c r="H22" i="2"/>
  <c r="H23" i="2"/>
  <c r="H28" i="2"/>
  <c r="H25" i="2"/>
  <c r="H26" i="2"/>
  <c r="H27" i="2"/>
  <c r="H24" i="2"/>
  <c r="H29" i="2"/>
  <c r="H30" i="2"/>
  <c r="H31" i="2"/>
  <c r="H33" i="2"/>
  <c r="H35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4" i="2"/>
  <c r="H53" i="2"/>
  <c r="H55" i="2"/>
  <c r="H56" i="2"/>
  <c r="H57" i="2"/>
  <c r="H59" i="2"/>
  <c r="H60" i="2"/>
  <c r="H61" i="2"/>
  <c r="H65" i="2"/>
  <c r="H66" i="2"/>
  <c r="I66" i="2" s="1"/>
  <c r="H67" i="2"/>
  <c r="I67" i="2" s="1"/>
  <c r="H68" i="2"/>
  <c r="H69" i="2"/>
  <c r="H71" i="2"/>
  <c r="H72" i="2"/>
  <c r="H73" i="2"/>
  <c r="H74" i="2"/>
  <c r="H4" i="2"/>
  <c r="C29" i="1"/>
  <c r="D17" i="1"/>
  <c r="D18" i="1"/>
  <c r="D19" i="1"/>
  <c r="D16" i="1"/>
  <c r="E16" i="1" s="1"/>
  <c r="E4" i="2" l="1"/>
  <c r="F4" i="2" s="1"/>
  <c r="C65" i="2"/>
  <c r="E65" i="2"/>
  <c r="I65" i="2" s="1"/>
  <c r="C75" i="2"/>
  <c r="D75" i="2" s="1"/>
  <c r="C8" i="2"/>
  <c r="D76" i="2"/>
  <c r="E76" i="2" s="1"/>
  <c r="I4" i="2"/>
  <c r="B66" i="2" l="1"/>
  <c r="D66" i="2" s="1"/>
  <c r="D65" i="2"/>
  <c r="F65" i="2" s="1"/>
  <c r="E75" i="2"/>
  <c r="F75" i="2" s="1"/>
  <c r="F76" i="2"/>
  <c r="I75" i="2"/>
  <c r="D62" i="2"/>
  <c r="C61" i="2"/>
  <c r="C3" i="2"/>
  <c r="D5" i="2"/>
  <c r="E5" i="2" l="1"/>
  <c r="F5" i="2" s="1"/>
  <c r="D63" i="2"/>
  <c r="B61" i="2"/>
  <c r="I5" i="2"/>
  <c r="D6" i="2"/>
  <c r="E6" i="2" s="1"/>
  <c r="D61" i="2" l="1"/>
  <c r="E61" i="2" s="1"/>
  <c r="I6" i="2"/>
  <c r="F6" i="2"/>
  <c r="D7" i="2"/>
  <c r="D46" i="2"/>
  <c r="E7" i="2" l="1"/>
  <c r="F7" i="2" s="1"/>
  <c r="I46" i="2"/>
  <c r="F46" i="2"/>
  <c r="I7" i="2"/>
  <c r="I3" i="2" s="1"/>
  <c r="D11" i="2"/>
  <c r="E11" i="2" s="1"/>
  <c r="D45" i="2"/>
  <c r="D48" i="2"/>
  <c r="E48" i="2" s="1"/>
  <c r="I48" i="2" l="1"/>
  <c r="F48" i="2"/>
  <c r="F45" i="2"/>
  <c r="I45" i="2"/>
  <c r="I11" i="2"/>
  <c r="F11" i="2"/>
  <c r="D50" i="2"/>
  <c r="E50" i="2" s="1"/>
  <c r="D52" i="2"/>
  <c r="E52" i="2" s="1"/>
  <c r="D10" i="2"/>
  <c r="D9" i="2"/>
  <c r="D17" i="2"/>
  <c r="D16" i="2"/>
  <c r="E9" i="2" l="1"/>
  <c r="F9" i="2" s="1"/>
  <c r="E10" i="2"/>
  <c r="F10" i="2" s="1"/>
  <c r="I16" i="2"/>
  <c r="F16" i="2"/>
  <c r="I17" i="2"/>
  <c r="F17" i="2"/>
  <c r="I52" i="2"/>
  <c r="F52" i="2"/>
  <c r="I50" i="2"/>
  <c r="F50" i="2"/>
  <c r="I10" i="2"/>
  <c r="I9" i="2" s="1"/>
  <c r="M10" i="2"/>
  <c r="D27" i="2"/>
  <c r="E27" i="2" s="1"/>
  <c r="D18" i="2"/>
  <c r="D26" i="2"/>
  <c r="E26" i="2" s="1"/>
  <c r="D28" i="2"/>
  <c r="E28" i="2" s="1"/>
  <c r="D19" i="2"/>
  <c r="D24" i="2"/>
  <c r="E24" i="2" s="1"/>
  <c r="D15" i="2"/>
  <c r="D20" i="2"/>
  <c r="D23" i="2"/>
  <c r="E23" i="2" s="1"/>
  <c r="D14" i="2"/>
  <c r="D31" i="2"/>
  <c r="F31" i="2" s="1"/>
  <c r="D25" i="2"/>
  <c r="E25" i="2" s="1"/>
  <c r="D47" i="2"/>
  <c r="D51" i="2"/>
  <c r="D44" i="2"/>
  <c r="E44" i="2" l="1"/>
  <c r="F44" i="2" s="1"/>
  <c r="E47" i="2"/>
  <c r="F47" i="2" s="1"/>
  <c r="I19" i="2"/>
  <c r="F19" i="2"/>
  <c r="I28" i="2"/>
  <c r="F28" i="2"/>
  <c r="I26" i="2"/>
  <c r="F26" i="2"/>
  <c r="I18" i="2"/>
  <c r="F18" i="2"/>
  <c r="I27" i="2"/>
  <c r="F27" i="2"/>
  <c r="I51" i="2"/>
  <c r="F51" i="2"/>
  <c r="I25" i="2"/>
  <c r="F25" i="2"/>
  <c r="I14" i="2"/>
  <c r="F14" i="2"/>
  <c r="I23" i="2"/>
  <c r="F23" i="2"/>
  <c r="I20" i="2"/>
  <c r="F20" i="2"/>
  <c r="I15" i="2"/>
  <c r="F15" i="2"/>
  <c r="I24" i="2"/>
  <c r="F24" i="2"/>
  <c r="I47" i="2"/>
  <c r="E85" i="2"/>
  <c r="F85" i="2" s="1"/>
  <c r="I85" i="2" s="1"/>
  <c r="I31" i="2"/>
  <c r="D29" i="2"/>
  <c r="E29" i="2" s="1"/>
  <c r="D13" i="2"/>
  <c r="F13" i="2" s="1"/>
  <c r="D12" i="2"/>
  <c r="F12" i="2" s="1"/>
  <c r="I29" i="2" l="1"/>
  <c r="F29" i="2"/>
  <c r="M15" i="2"/>
  <c r="I44" i="2"/>
  <c r="I13" i="2"/>
  <c r="D35" i="2"/>
  <c r="E35" i="2" s="1"/>
  <c r="I35" i="2" l="1"/>
  <c r="F35" i="2"/>
  <c r="M11" i="2"/>
  <c r="I12" i="2"/>
  <c r="D37" i="2"/>
  <c r="E37" i="2" s="1"/>
  <c r="D22" i="2"/>
  <c r="D21" i="2"/>
  <c r="E21" i="2" l="1"/>
  <c r="F21" i="2" s="1"/>
  <c r="E22" i="2"/>
  <c r="F22" i="2" s="1"/>
  <c r="I37" i="2"/>
  <c r="F37" i="2"/>
  <c r="D53" i="2"/>
  <c r="E53" i="2" s="1"/>
  <c r="D39" i="2"/>
  <c r="D38" i="2"/>
  <c r="D42" i="2"/>
  <c r="I22" i="2" l="1"/>
  <c r="I42" i="2"/>
  <c r="F42" i="2"/>
  <c r="I38" i="2"/>
  <c r="F38" i="2"/>
  <c r="I39" i="2"/>
  <c r="F39" i="2"/>
  <c r="I53" i="2"/>
  <c r="F53" i="2"/>
  <c r="M12" i="2"/>
  <c r="I21" i="2"/>
  <c r="D33" i="2"/>
  <c r="D30" i="2"/>
  <c r="E30" i="2" l="1"/>
  <c r="F30" i="2" s="1"/>
  <c r="E33" i="2"/>
  <c r="F33" i="2" s="1"/>
  <c r="D40" i="2"/>
  <c r="E40" i="2" s="1"/>
  <c r="D41" i="2"/>
  <c r="E41" i="2" s="1"/>
  <c r="I33" i="2" l="1"/>
  <c r="I41" i="2"/>
  <c r="F41" i="2"/>
  <c r="I40" i="2"/>
  <c r="F40" i="2"/>
  <c r="M13" i="2"/>
  <c r="I30" i="2"/>
  <c r="D43" i="2"/>
  <c r="E43" i="2" l="1"/>
  <c r="F43" i="2" s="1"/>
  <c r="I43" i="2"/>
  <c r="M14" i="2" s="1"/>
  <c r="E83" i="2"/>
  <c r="F83" i="2" s="1"/>
  <c r="I83" i="2" s="1"/>
  <c r="D36" i="2"/>
  <c r="E36" i="2" l="1"/>
  <c r="F36" i="2" s="1"/>
  <c r="I36" i="2"/>
  <c r="D54" i="2"/>
  <c r="E54" i="2" l="1"/>
  <c r="F54" i="2" s="1"/>
  <c r="D49" i="2"/>
  <c r="I54" i="2" l="1"/>
  <c r="I49" i="2" s="1"/>
  <c r="E49" i="2"/>
  <c r="F49" i="2" s="1"/>
  <c r="M16" i="2"/>
  <c r="D56" i="2"/>
  <c r="E56" i="2" l="1"/>
  <c r="F56" i="2" s="1"/>
  <c r="I56" i="2" l="1"/>
  <c r="D57" i="2"/>
  <c r="E57" i="2" l="1"/>
  <c r="F57" i="2" s="1"/>
  <c r="I57" i="2" l="1"/>
  <c r="D59" i="2"/>
  <c r="E59" i="2" l="1"/>
  <c r="F59" i="2" s="1"/>
  <c r="I59" i="2" l="1"/>
  <c r="D60" i="2"/>
  <c r="F60" i="2" s="1"/>
  <c r="I60" i="2" l="1"/>
  <c r="I55" i="2" s="1"/>
  <c r="D55" i="2"/>
  <c r="E55" i="2" l="1"/>
  <c r="F55" i="2" s="1"/>
  <c r="M17" i="2"/>
  <c r="F62" i="2"/>
  <c r="I62" i="2" l="1"/>
  <c r="D67" i="2"/>
  <c r="M18" i="2" l="1"/>
  <c r="I61" i="2"/>
  <c r="F61" i="2"/>
  <c r="D69" i="2" l="1"/>
  <c r="E69" i="2" l="1"/>
  <c r="I69" i="2"/>
  <c r="F69" i="2" l="1"/>
  <c r="D71" i="2"/>
  <c r="E71" i="2" l="1"/>
  <c r="I71" i="2"/>
  <c r="F71" i="2" l="1"/>
  <c r="D72" i="2"/>
  <c r="E72" i="2" l="1"/>
  <c r="I72" i="2" s="1"/>
  <c r="E82" i="2" l="1"/>
  <c r="F82" i="2" s="1"/>
  <c r="I82" i="2" s="1"/>
  <c r="E78" i="2"/>
  <c r="F72" i="2"/>
  <c r="D73" i="2"/>
  <c r="F73" i="2" s="1"/>
  <c r="I73" i="2" l="1"/>
  <c r="M19" i="2" s="1"/>
  <c r="D74" i="2" l="1"/>
  <c r="F74" i="2" s="1"/>
  <c r="I74" i="2" l="1"/>
  <c r="I68" i="2" s="1"/>
  <c r="E84" i="2"/>
  <c r="F84" i="2" s="1"/>
  <c r="I84" i="2" s="1"/>
  <c r="D68" i="2"/>
  <c r="E68" i="2" l="1"/>
  <c r="F68" i="2" s="1"/>
  <c r="I87" i="2"/>
  <c r="D3" i="2"/>
  <c r="E3" i="2" s="1"/>
  <c r="F3" i="2" s="1"/>
  <c r="D8" i="2"/>
  <c r="E8" i="2" s="1"/>
  <c r="I8" i="2" l="1"/>
  <c r="I78" i="2" s="1"/>
  <c r="F8" i="2"/>
  <c r="B14" i="1" a="1"/>
  <c r="B14" i="1" s="1"/>
  <c r="M9" i="2" l="1"/>
  <c r="M21" i="2" s="1"/>
  <c r="M59" i="2" s="1"/>
  <c r="B13" i="1"/>
  <c r="C6" i="1" s="1"/>
  <c r="C5" i="1" l="1"/>
  <c r="C7" i="1"/>
  <c r="M48" i="2"/>
  <c r="M66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<sst xmlns="http://schemas.openxmlformats.org/spreadsheetml/2006/main" count="211" uniqueCount="164">
  <si>
    <t>TAREA</t>
  </si>
  <si>
    <t>INICIO</t>
  </si>
  <si>
    <t>FIN</t>
  </si>
  <si>
    <t>DÍAS AFECTADOS</t>
  </si>
  <si>
    <t>DÍAS REALES</t>
  </si>
  <si>
    <t>HORAS</t>
  </si>
  <si>
    <t>ID TRABAJADOR</t>
  </si>
  <si>
    <t>PRECIO / HORA</t>
  </si>
  <si>
    <t>€/ACTIVIDAD</t>
  </si>
  <si>
    <t/>
  </si>
  <si>
    <t>0=Nada
1=Administrativo
2=Técnico medio
3=Técnico superior
4=Programador</t>
  </si>
  <si>
    <t>FINANCIACIÓN</t>
  </si>
  <si>
    <t xml:space="preserve">Financiación </t>
  </si>
  <si>
    <t>Hito</t>
  </si>
  <si>
    <t>Porcentaje de Pago</t>
  </si>
  <si>
    <t>Monto (USD)</t>
  </si>
  <si>
    <t>Definición financiera</t>
  </si>
  <si>
    <t>Pago Inicial (Inicio del Desarrollo )</t>
  </si>
  <si>
    <t>Evaluación de financiamiento</t>
  </si>
  <si>
    <t>Validación del Diseño y Producción</t>
  </si>
  <si>
    <t>Planificación y presupuesto</t>
  </si>
  <si>
    <t>Entrega del Prototipo (Envío y Pruebas) y Pago Final (Aceptación del Producto)</t>
  </si>
  <si>
    <t>Negociación y acuerdos</t>
  </si>
  <si>
    <t>Seguimiento y control</t>
  </si>
  <si>
    <t>Actividades</t>
  </si>
  <si>
    <t>Costo (€)</t>
  </si>
  <si>
    <t>Investigación de hardware</t>
  </si>
  <si>
    <t>Financiación</t>
  </si>
  <si>
    <t>Investigación de materiales</t>
  </si>
  <si>
    <t>Investigación de sensores</t>
  </si>
  <si>
    <t>Compra hardware</t>
  </si>
  <si>
    <t>Recepción hardware</t>
  </si>
  <si>
    <t>Compra cables alimentación</t>
  </si>
  <si>
    <t>Realización de pruebas</t>
  </si>
  <si>
    <t>Compra cables comunicación</t>
  </si>
  <si>
    <t>Construcción del prototipo</t>
  </si>
  <si>
    <t>Compra LEDs</t>
  </si>
  <si>
    <t>Desarrollo del software</t>
  </si>
  <si>
    <t>Compra NIR</t>
  </si>
  <si>
    <t>Depuración de software y pruebas</t>
  </si>
  <si>
    <t>Compra conductivo</t>
  </si>
  <si>
    <t>Redacción de manuales</t>
  </si>
  <si>
    <t>Compra microcontrolador</t>
  </si>
  <si>
    <t>Patentación</t>
  </si>
  <si>
    <t>Compra tubería</t>
  </si>
  <si>
    <t>Homologación</t>
  </si>
  <si>
    <t>Compra placas acero inoxidable</t>
  </si>
  <si>
    <t>Transporte</t>
  </si>
  <si>
    <t>TOTAL PERSONAL HUMANO</t>
  </si>
  <si>
    <t>Empresa</t>
  </si>
  <si>
    <t>DHL</t>
  </si>
  <si>
    <t>Recepción cables alimentación</t>
  </si>
  <si>
    <t>Origen</t>
  </si>
  <si>
    <t>Socuellamos, Ciudad Real, España (CARRETERA BONILLO, KM 1, CP13630)</t>
  </si>
  <si>
    <t>Recepción cables comunicación</t>
  </si>
  <si>
    <t>Precios de los productos que se usarán</t>
  </si>
  <si>
    <t>Destino</t>
  </si>
  <si>
    <t>Antioquía, Medellín, Colombia (CALLE 74 64 A 51, CP050036)</t>
  </si>
  <si>
    <t>Recepción LEDs</t>
  </si>
  <si>
    <t>Sensor NIR</t>
  </si>
  <si>
    <t>Métricas paquete</t>
  </si>
  <si>
    <t>10kg 75cm x 35 cm x 35 cm</t>
  </si>
  <si>
    <t>Recepción NIR</t>
  </si>
  <si>
    <t xml:space="preserve">Sensor conductivo Endress+Hauser Condumax CLS21 </t>
  </si>
  <si>
    <t>PRECIO</t>
  </si>
  <si>
    <t>Recepción conductivo</t>
  </si>
  <si>
    <t>Raspberry Pi 4</t>
  </si>
  <si>
    <t>Recepción microcontrolador</t>
  </si>
  <si>
    <t>2 Conexion Clamp Completa (alacermas.com) entre disposito y tuberias leche ambos lados</t>
  </si>
  <si>
    <t>Recepción tubería</t>
  </si>
  <si>
    <t>Carcasa interna (acero inoxidable 304L) 25mm Diametro por 2mm de grosor 30cm</t>
  </si>
  <si>
    <t>Recepción placas acero inoxidable</t>
  </si>
  <si>
    <t>Carcasa externa (plastico ABS IP65) 70mmm diametro 40cm largo 2mm grosor</t>
  </si>
  <si>
    <t xml:space="preserve">2 juntas toricas carcasa externa a conducto leche </t>
  </si>
  <si>
    <t>Comprobación NIR</t>
  </si>
  <si>
    <t>Cable señal blindado 1m Protege las señales de interferencias</t>
  </si>
  <si>
    <t>Comprobación conductivo</t>
  </si>
  <si>
    <t>Cable alimentacion raspberry  1m 5V 3A</t>
  </si>
  <si>
    <t>Pruebas eléctricas</t>
  </si>
  <si>
    <t>Cable alimentacion sensores  1m 12V</t>
  </si>
  <si>
    <t>Pruebas tubería</t>
  </si>
  <si>
    <t xml:space="preserve">Conectores M8 sensores </t>
  </si>
  <si>
    <t>Pruebas acero inoxidable</t>
  </si>
  <si>
    <t xml:space="preserve">Conectores GPIO raspberry </t>
  </si>
  <si>
    <t>Adaptadores analógicos a digitales Convierte señales analógicas a digitales para Raspberry Pi</t>
  </si>
  <si>
    <t>Montaje de la caja (soldadura)</t>
  </si>
  <si>
    <t>Adaptadores RS485/I2C a GPIO Para comunicación con dispositivos</t>
  </si>
  <si>
    <t>Incorporación NIR</t>
  </si>
  <si>
    <t xml:space="preserve">Caja de conexiones </t>
  </si>
  <si>
    <t>Incorporación conductivo</t>
  </si>
  <si>
    <t xml:space="preserve">Tornilleria y fijaciones </t>
  </si>
  <si>
    <t>Incorporación microcontrolador</t>
  </si>
  <si>
    <t>Fuente de alimentación 110V a 12V DC</t>
  </si>
  <si>
    <t>Incorporación LEDs</t>
  </si>
  <si>
    <t>Fuente alimentacion 110V a 5V DC para raspberry pi 4</t>
  </si>
  <si>
    <t>Incorporación tuberías</t>
  </si>
  <si>
    <t>TOTAL DE PODUCTOS</t>
  </si>
  <si>
    <t>Cableado eléctrico</t>
  </si>
  <si>
    <t>Patente</t>
  </si>
  <si>
    <t>Obtención de la base de datos</t>
  </si>
  <si>
    <t>Elección del modelo predictivo</t>
  </si>
  <si>
    <t>PAGO DE TASAS EN PATENTES Y HOMOLOGACIÓN</t>
  </si>
  <si>
    <t>Train del modelo predictivo</t>
  </si>
  <si>
    <t>Desarrollo del código para el microcontrolador</t>
  </si>
  <si>
    <t>Reserva de contingencia (40%)</t>
  </si>
  <si>
    <t>Depuración de software</t>
  </si>
  <si>
    <t>Test del modelo predictivo</t>
  </si>
  <si>
    <t>Pruebas de código</t>
  </si>
  <si>
    <t>Pruebas de seguridad de la caja</t>
  </si>
  <si>
    <t>Pruebas del producto final</t>
  </si>
  <si>
    <t>Recopilación de información del producto</t>
  </si>
  <si>
    <t>Redacción del manual de instalación, uso y mantenimiento</t>
  </si>
  <si>
    <t>Redacción del manual de fabricación</t>
  </si>
  <si>
    <t>Revisión y corrección de datos</t>
  </si>
  <si>
    <t>TOTAL PROYECTO</t>
  </si>
  <si>
    <t>Diseño del formato del manual final</t>
  </si>
  <si>
    <t>Solicitud de patente de invención</t>
  </si>
  <si>
    <t>Revisión de notificaciones y correcciones</t>
  </si>
  <si>
    <t>Monitoreo y respuesta a oposiciones</t>
  </si>
  <si>
    <t>Solicitud examen de patentabilidad</t>
  </si>
  <si>
    <t>Seguimiento del examen</t>
  </si>
  <si>
    <t>PROYECTO + CONTINGENCIA</t>
  </si>
  <si>
    <t>Pago anualidad</t>
  </si>
  <si>
    <t>Revisión normativas</t>
  </si>
  <si>
    <t>Pruebas de seguridad</t>
  </si>
  <si>
    <t>Redacción del expediente técnico</t>
  </si>
  <si>
    <t>Declaración de conformidad</t>
  </si>
  <si>
    <t>Conseguir certificaciones específicas</t>
  </si>
  <si>
    <t>Aprobación de homologación</t>
  </si>
  <si>
    <t>Transporte del prototipo</t>
  </si>
  <si>
    <t>Horas contratadas</t>
  </si>
  <si>
    <t>TOTAL</t>
  </si>
  <si>
    <t>Días</t>
  </si>
  <si>
    <t>Horas</t>
  </si>
  <si>
    <t>€ / hora</t>
  </si>
  <si>
    <t>Total</t>
  </si>
  <si>
    <t>Administrativo</t>
  </si>
  <si>
    <t>Técnico medio</t>
  </si>
  <si>
    <t>Técnico superior</t>
  </si>
  <si>
    <t>Programador</t>
  </si>
  <si>
    <t>Monto (Eur)</t>
  </si>
  <si>
    <t>Pago Inicial (Inicio del Desarrollo)</t>
  </si>
  <si>
    <t>Costo projecto</t>
  </si>
  <si>
    <t xml:space="preserve">Reserva contingencia </t>
  </si>
  <si>
    <t>Recursos Humanos</t>
  </si>
  <si>
    <t>Precio (Eur/h)</t>
  </si>
  <si>
    <t>Suma recursos humanos</t>
  </si>
  <si>
    <t>Técnico medio (Soldador etc)</t>
  </si>
  <si>
    <t>Administrativo (Financiacion, homologación, patentación)</t>
  </si>
  <si>
    <t>65h pat/hom + 16h finan</t>
  </si>
  <si>
    <t>Técnico superior (Manual, Invetigación sensores etc)</t>
  </si>
  <si>
    <t>Costo manual de usuario</t>
  </si>
  <si>
    <t>Costo software</t>
  </si>
  <si>
    <t>Costo homologacion y patentacion</t>
  </si>
  <si>
    <t>Precio</t>
  </si>
  <si>
    <t>Precio (Eur)</t>
  </si>
  <si>
    <t xml:space="preserve"> Transporte</t>
  </si>
  <si>
    <t>Descripcion</t>
  </si>
  <si>
    <t xml:space="preserve">De Socuellamos Ciudad Real España	CARRETERA BONILLO, KM 1  CP13630  </t>
  </si>
  <si>
    <t>a Antioquía Medellín Colombia CALLE 74 64 A 51 CP050036</t>
  </si>
  <si>
    <t>Dimensiones</t>
  </si>
  <si>
    <t>Empresa DHL 10kg 75cm x 35 cm x 35 cm</t>
  </si>
  <si>
    <t xml:space="preserve"> DISPLAY TFT RGB 7''</t>
  </si>
  <si>
    <t>&lt;- 51,44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</si>
</sst>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#,##0\ &quot;€&quot;;[Red]\-#,##0\ &quot;€&quot;"/>
    <numFmt numFmtId="164" formatCode="#,##0\ &quot;€&quot;"/>
    <numFmt numFmtId="165" formatCode="d\-m\-yy;@"/>
    <numFmt numFmtId="166" formatCode="#,##0.00\ &quot;€&quot;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rgb="FF000000"/>
      <name val="Aptos"/>
      <family val="2"/>
    </font>
    <font>
      <sz val="11"/>
      <color rgb="FF000000"/>
      <name val="Calibri"/>
      <family val="2"/>
    </font>
    <font>
      <b/>
      <sz val="16"/>
      <color rgb="FF000000"/>
      <name val="Calibri"/>
      <family val="2"/>
      <scheme val="minor"/>
    </font>
    <font>
      <b/>
      <sz val="28"/>
      <color rgb="FF000000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 tint="0.34998626667073579"/>
        <bgColor theme="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1CB01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/>
      <right/>
      <top style="thin">
        <color theme="0" tint="-0.34998626667073579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1" fillId="0" borderId="6" applyFill="0">
      <alignment horizontal="center" vertical="center"/>
    </xf>
    <xf numFmtId="0" fontId="11" fillId="0" borderId="6" applyFill="0">
      <alignment horizontal="left" vertical="center" indent="2"/>
    </xf>
    <xf numFmtId="165" fontId="11" fillId="0" borderId="6" applyFill="0">
      <alignment horizontal="center" vertical="center"/>
    </xf>
  </cellStyleXfs>
  <cellXfs count="191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0" fillId="4" borderId="0" xfId="0" applyFill="1"/>
    <xf numFmtId="0" fontId="1" fillId="6" borderId="1" xfId="0" applyFont="1" applyFill="1" applyBorder="1" applyAlignment="1">
      <alignment horizontal="center" vertical="top"/>
    </xf>
    <xf numFmtId="0" fontId="2" fillId="2" borderId="0" xfId="0" applyFont="1" applyFill="1"/>
    <xf numFmtId="0" fontId="0" fillId="0" borderId="0" xfId="0" applyAlignment="1">
      <alignment wrapText="1"/>
    </xf>
    <xf numFmtId="0" fontId="0" fillId="0" borderId="2" xfId="0" applyBorder="1"/>
    <xf numFmtId="0" fontId="0" fillId="3" borderId="2" xfId="0" applyFill="1" applyBorder="1"/>
    <xf numFmtId="0" fontId="2" fillId="2" borderId="3" xfId="0" applyFont="1" applyFill="1" applyBorder="1" applyAlignment="1">
      <alignment horizontal="center" vertical="top"/>
    </xf>
    <xf numFmtId="0" fontId="1" fillId="5" borderId="3" xfId="0" applyFont="1" applyFill="1" applyBorder="1" applyAlignment="1">
      <alignment horizontal="center" vertical="top"/>
    </xf>
    <xf numFmtId="0" fontId="1" fillId="6" borderId="3" xfId="0" applyFont="1" applyFill="1" applyBorder="1" applyAlignment="1">
      <alignment horizontal="center" vertical="top"/>
    </xf>
    <xf numFmtId="0" fontId="3" fillId="7" borderId="2" xfId="0" applyFont="1" applyFill="1" applyBorder="1"/>
    <xf numFmtId="6" fontId="0" fillId="0" borderId="0" xfId="0" applyNumberFormat="1"/>
    <xf numFmtId="0" fontId="5" fillId="0" borderId="0" xfId="0" applyFont="1"/>
    <xf numFmtId="164" fontId="0" fillId="0" borderId="0" xfId="0" applyNumberFormat="1"/>
    <xf numFmtId="164" fontId="4" fillId="0" borderId="0" xfId="0" applyNumberFormat="1" applyFont="1"/>
    <xf numFmtId="164" fontId="5" fillId="0" borderId="0" xfId="0" applyNumberFormat="1" applyFont="1"/>
    <xf numFmtId="0" fontId="6" fillId="8" borderId="0" xfId="0" applyFont="1" applyFill="1"/>
    <xf numFmtId="0" fontId="0" fillId="0" borderId="5" xfId="0" applyBorder="1" applyAlignment="1">
      <alignment wrapText="1"/>
    </xf>
    <xf numFmtId="0" fontId="2" fillId="2" borderId="5" xfId="0" applyFont="1" applyFill="1" applyBorder="1" applyAlignment="1">
      <alignment horizontal="center" vertical="top"/>
    </xf>
    <xf numFmtId="0" fontId="0" fillId="0" borderId="5" xfId="0" applyBorder="1"/>
    <xf numFmtId="6" fontId="10" fillId="0" borderId="5" xfId="0" applyNumberFormat="1" applyFont="1" applyBorder="1"/>
    <xf numFmtId="0" fontId="0" fillId="11" borderId="0" xfId="0" applyFill="1" applyAlignment="1">
      <alignment wrapText="1"/>
    </xf>
    <xf numFmtId="165" fontId="1" fillId="14" borderId="1" xfId="0" applyNumberFormat="1" applyFont="1" applyFill="1" applyBorder="1" applyAlignment="1">
      <alignment horizontal="center" vertical="center"/>
    </xf>
    <xf numFmtId="165" fontId="12" fillId="14" borderId="1" xfId="0" applyNumberFormat="1" applyFont="1" applyFill="1" applyBorder="1" applyAlignment="1">
      <alignment horizontal="center" vertical="center"/>
    </xf>
    <xf numFmtId="165" fontId="0" fillId="12" borderId="1" xfId="3" applyFont="1" applyFill="1" applyBorder="1">
      <alignment horizontal="center" vertical="center"/>
    </xf>
    <xf numFmtId="165" fontId="1" fillId="15" borderId="1" xfId="0" applyNumberFormat="1" applyFont="1" applyFill="1" applyBorder="1" applyAlignment="1">
      <alignment horizontal="center" vertical="center"/>
    </xf>
    <xf numFmtId="165" fontId="12" fillId="15" borderId="1" xfId="0" applyNumberFormat="1" applyFont="1" applyFill="1" applyBorder="1" applyAlignment="1">
      <alignment horizontal="center" vertical="center"/>
    </xf>
    <xf numFmtId="165" fontId="0" fillId="16" borderId="1" xfId="3" applyFont="1" applyFill="1" applyBorder="1">
      <alignment horizontal="center" vertical="center"/>
    </xf>
    <xf numFmtId="165" fontId="1" fillId="17" borderId="1" xfId="0" applyNumberFormat="1" applyFont="1" applyFill="1" applyBorder="1" applyAlignment="1">
      <alignment horizontal="center" vertical="center"/>
    </xf>
    <xf numFmtId="165" fontId="12" fillId="17" borderId="1" xfId="0" applyNumberFormat="1" applyFont="1" applyFill="1" applyBorder="1" applyAlignment="1">
      <alignment horizontal="center" vertical="center"/>
    </xf>
    <xf numFmtId="165" fontId="11" fillId="13" borderId="1" xfId="3" applyFill="1" applyBorder="1">
      <alignment horizontal="center" vertical="center"/>
    </xf>
    <xf numFmtId="165" fontId="0" fillId="13" borderId="1" xfId="3" applyFont="1" applyFill="1" applyBorder="1">
      <alignment horizontal="center" vertical="center"/>
    </xf>
    <xf numFmtId="165" fontId="1" fillId="18" borderId="1" xfId="0" applyNumberFormat="1" applyFont="1" applyFill="1" applyBorder="1" applyAlignment="1">
      <alignment horizontal="center" vertical="center"/>
    </xf>
    <xf numFmtId="165" fontId="12" fillId="18" borderId="1" xfId="0" applyNumberFormat="1" applyFont="1" applyFill="1" applyBorder="1" applyAlignment="1">
      <alignment horizontal="center" vertical="center"/>
    </xf>
    <xf numFmtId="165" fontId="0" fillId="19" borderId="1" xfId="3" applyFont="1" applyFill="1" applyBorder="1">
      <alignment horizontal="center" vertical="center"/>
    </xf>
    <xf numFmtId="165" fontId="1" fillId="20" borderId="1" xfId="0" applyNumberFormat="1" applyFont="1" applyFill="1" applyBorder="1" applyAlignment="1">
      <alignment horizontal="center" vertical="center"/>
    </xf>
    <xf numFmtId="165" fontId="12" fillId="20" borderId="1" xfId="0" applyNumberFormat="1" applyFont="1" applyFill="1" applyBorder="1" applyAlignment="1">
      <alignment horizontal="center" vertical="center"/>
    </xf>
    <xf numFmtId="165" fontId="0" fillId="21" borderId="1" xfId="3" applyFont="1" applyFill="1" applyBorder="1">
      <alignment horizontal="center" vertical="center"/>
    </xf>
    <xf numFmtId="165" fontId="1" fillId="22" borderId="1" xfId="0" applyNumberFormat="1" applyFont="1" applyFill="1" applyBorder="1" applyAlignment="1">
      <alignment horizontal="center" vertical="center"/>
    </xf>
    <xf numFmtId="165" fontId="12" fillId="22" borderId="1" xfId="0" applyNumberFormat="1" applyFont="1" applyFill="1" applyBorder="1" applyAlignment="1">
      <alignment horizontal="center" vertical="center"/>
    </xf>
    <xf numFmtId="165" fontId="0" fillId="23" borderId="1" xfId="3" applyFont="1" applyFill="1" applyBorder="1">
      <alignment horizontal="center" vertical="center"/>
    </xf>
    <xf numFmtId="165" fontId="1" fillId="24" borderId="1" xfId="0" applyNumberFormat="1" applyFont="1" applyFill="1" applyBorder="1" applyAlignment="1">
      <alignment horizontal="center" vertical="center"/>
    </xf>
    <xf numFmtId="165" fontId="12" fillId="24" borderId="1" xfId="0" applyNumberFormat="1" applyFont="1" applyFill="1" applyBorder="1" applyAlignment="1">
      <alignment horizontal="center" vertical="center"/>
    </xf>
    <xf numFmtId="165" fontId="0" fillId="25" borderId="1" xfId="3" applyFont="1" applyFill="1" applyBorder="1">
      <alignment horizontal="center" vertical="center"/>
    </xf>
    <xf numFmtId="165" fontId="1" fillId="26" borderId="1" xfId="0" applyNumberFormat="1" applyFont="1" applyFill="1" applyBorder="1" applyAlignment="1">
      <alignment horizontal="center" vertical="center"/>
    </xf>
    <xf numFmtId="165" fontId="12" fillId="26" borderId="1" xfId="0" applyNumberFormat="1" applyFont="1" applyFill="1" applyBorder="1" applyAlignment="1">
      <alignment horizontal="center" vertical="center"/>
    </xf>
    <xf numFmtId="165" fontId="0" fillId="27" borderId="1" xfId="3" applyFont="1" applyFill="1" applyBorder="1">
      <alignment horizontal="center" vertical="center"/>
    </xf>
    <xf numFmtId="165" fontId="1" fillId="28" borderId="1" xfId="0" applyNumberFormat="1" applyFont="1" applyFill="1" applyBorder="1" applyAlignment="1">
      <alignment horizontal="center" vertical="center"/>
    </xf>
    <xf numFmtId="165" fontId="12" fillId="28" borderId="1" xfId="0" applyNumberFormat="1" applyFont="1" applyFill="1" applyBorder="1" applyAlignment="1">
      <alignment horizontal="center" vertical="center"/>
    </xf>
    <xf numFmtId="165" fontId="0" fillId="29" borderId="1" xfId="3" applyFont="1" applyFill="1" applyBorder="1">
      <alignment horizontal="center" vertical="center"/>
    </xf>
    <xf numFmtId="165" fontId="1" fillId="30" borderId="1" xfId="0" applyNumberFormat="1" applyFont="1" applyFill="1" applyBorder="1" applyAlignment="1">
      <alignment horizontal="center" vertical="center"/>
    </xf>
    <xf numFmtId="165" fontId="12" fillId="30" borderId="1" xfId="0" applyNumberFormat="1" applyFont="1" applyFill="1" applyBorder="1" applyAlignment="1">
      <alignment horizontal="center" vertical="center"/>
    </xf>
    <xf numFmtId="165" fontId="0" fillId="9" borderId="1" xfId="3" applyFont="1" applyFill="1" applyBorder="1">
      <alignment horizontal="center" vertical="center"/>
    </xf>
    <xf numFmtId="165" fontId="1" fillId="31" borderId="1" xfId="0" applyNumberFormat="1" applyFont="1" applyFill="1" applyBorder="1" applyAlignment="1">
      <alignment horizontal="center" vertical="center"/>
    </xf>
    <xf numFmtId="165" fontId="12" fillId="31" borderId="1" xfId="0" applyNumberFormat="1" applyFont="1" applyFill="1" applyBorder="1" applyAlignment="1">
      <alignment horizontal="center" vertical="center"/>
    </xf>
    <xf numFmtId="165" fontId="0" fillId="32" borderId="1" xfId="3" applyFont="1" applyFill="1" applyBorder="1">
      <alignment horizontal="center" vertical="center"/>
    </xf>
    <xf numFmtId="0" fontId="1" fillId="14" borderId="1" xfId="0" applyFont="1" applyFill="1" applyBorder="1" applyAlignment="1">
      <alignment horizontal="left" vertical="center" indent="1"/>
    </xf>
    <xf numFmtId="0" fontId="0" fillId="12" borderId="1" xfId="2" applyFont="1" applyFill="1" applyBorder="1">
      <alignment horizontal="left" vertical="center" indent="2"/>
    </xf>
    <xf numFmtId="0" fontId="1" fillId="15" borderId="1" xfId="0" applyFont="1" applyFill="1" applyBorder="1" applyAlignment="1">
      <alignment horizontal="left" vertical="center" indent="1"/>
    </xf>
    <xf numFmtId="0" fontId="0" fillId="16" borderId="1" xfId="2" applyFont="1" applyFill="1" applyBorder="1">
      <alignment horizontal="left" vertical="center" indent="2"/>
    </xf>
    <xf numFmtId="0" fontId="1" fillId="17" borderId="1" xfId="0" applyFont="1" applyFill="1" applyBorder="1" applyAlignment="1">
      <alignment horizontal="left" vertical="center" indent="1"/>
    </xf>
    <xf numFmtId="0" fontId="0" fillId="13" borderId="1" xfId="2" applyFont="1" applyFill="1" applyBorder="1">
      <alignment horizontal="left" vertical="center" indent="2"/>
    </xf>
    <xf numFmtId="0" fontId="1" fillId="18" borderId="1" xfId="0" applyFont="1" applyFill="1" applyBorder="1" applyAlignment="1">
      <alignment horizontal="left" vertical="center" indent="1"/>
    </xf>
    <xf numFmtId="0" fontId="0" fillId="19" borderId="1" xfId="2" applyFont="1" applyFill="1" applyBorder="1">
      <alignment horizontal="left" vertical="center" indent="2"/>
    </xf>
    <xf numFmtId="0" fontId="1" fillId="20" borderId="1" xfId="0" applyFont="1" applyFill="1" applyBorder="1" applyAlignment="1">
      <alignment horizontal="left" vertical="center" indent="1"/>
    </xf>
    <xf numFmtId="0" fontId="0" fillId="21" borderId="1" xfId="2" applyFont="1" applyFill="1" applyBorder="1">
      <alignment horizontal="left" vertical="center" indent="2"/>
    </xf>
    <xf numFmtId="0" fontId="1" fillId="22" borderId="1" xfId="0" applyFont="1" applyFill="1" applyBorder="1" applyAlignment="1">
      <alignment horizontal="left" vertical="center" indent="1"/>
    </xf>
    <xf numFmtId="0" fontId="0" fillId="23" borderId="1" xfId="2" applyFont="1" applyFill="1" applyBorder="1">
      <alignment horizontal="left" vertical="center" indent="2"/>
    </xf>
    <xf numFmtId="0" fontId="1" fillId="24" borderId="1" xfId="0" applyFont="1" applyFill="1" applyBorder="1" applyAlignment="1">
      <alignment horizontal="left" vertical="center" indent="1"/>
    </xf>
    <xf numFmtId="0" fontId="0" fillId="25" borderId="1" xfId="2" applyFont="1" applyFill="1" applyBorder="1">
      <alignment horizontal="left" vertical="center" indent="2"/>
    </xf>
    <xf numFmtId="0" fontId="1" fillId="26" borderId="1" xfId="0" applyFont="1" applyFill="1" applyBorder="1" applyAlignment="1">
      <alignment horizontal="left" vertical="center" indent="1"/>
    </xf>
    <xf numFmtId="0" fontId="0" fillId="27" borderId="1" xfId="2" applyFont="1" applyFill="1" applyBorder="1">
      <alignment horizontal="left" vertical="center" indent="2"/>
    </xf>
    <xf numFmtId="0" fontId="1" fillId="28" borderId="1" xfId="0" applyFont="1" applyFill="1" applyBorder="1" applyAlignment="1">
      <alignment horizontal="left" vertical="center" indent="1"/>
    </xf>
    <xf numFmtId="0" fontId="1" fillId="30" borderId="1" xfId="0" applyFont="1" applyFill="1" applyBorder="1" applyAlignment="1">
      <alignment horizontal="left" vertical="center" indent="1"/>
    </xf>
    <xf numFmtId="0" fontId="0" fillId="9" borderId="1" xfId="2" applyFont="1" applyFill="1" applyBorder="1">
      <alignment horizontal="left" vertical="center" indent="2"/>
    </xf>
    <xf numFmtId="0" fontId="1" fillId="31" borderId="1" xfId="0" applyFont="1" applyFill="1" applyBorder="1" applyAlignment="1">
      <alignment horizontal="left" vertical="center" indent="1"/>
    </xf>
    <xf numFmtId="0" fontId="0" fillId="32" borderId="1" xfId="2" applyFont="1" applyFill="1" applyBorder="1">
      <alignment horizontal="left" vertical="center" indent="2"/>
    </xf>
    <xf numFmtId="0" fontId="13" fillId="33" borderId="7" xfId="0" applyFont="1" applyFill="1" applyBorder="1" applyAlignment="1">
      <alignment horizontal="left" vertical="center" indent="1"/>
    </xf>
    <xf numFmtId="0" fontId="13" fillId="33" borderId="7" xfId="0" applyFont="1" applyFill="1" applyBorder="1" applyAlignment="1">
      <alignment horizontal="center" vertical="center" wrapText="1"/>
    </xf>
    <xf numFmtId="0" fontId="0" fillId="18" borderId="1" xfId="0" applyFill="1" applyBorder="1"/>
    <xf numFmtId="0" fontId="1" fillId="26" borderId="1" xfId="0" applyFont="1" applyFill="1" applyBorder="1"/>
    <xf numFmtId="0" fontId="1" fillId="13" borderId="1" xfId="0" applyFont="1" applyFill="1" applyBorder="1"/>
    <xf numFmtId="0" fontId="1" fillId="28" borderId="1" xfId="0" applyFont="1" applyFill="1" applyBorder="1"/>
    <xf numFmtId="0" fontId="13" fillId="33" borderId="0" xfId="0" applyFont="1" applyFill="1" applyAlignment="1">
      <alignment horizontal="center" vertical="center" wrapText="1"/>
    </xf>
    <xf numFmtId="0" fontId="2" fillId="28" borderId="1" xfId="0" applyFont="1" applyFill="1" applyBorder="1"/>
    <xf numFmtId="165" fontId="11" fillId="21" borderId="1" xfId="3" applyFill="1" applyBorder="1">
      <alignment horizontal="center" vertical="center"/>
    </xf>
    <xf numFmtId="165" fontId="11" fillId="12" borderId="1" xfId="3" applyFill="1" applyBorder="1">
      <alignment horizontal="center" vertical="center"/>
    </xf>
    <xf numFmtId="165" fontId="11" fillId="16" borderId="1" xfId="3" applyFill="1" applyBorder="1">
      <alignment horizontal="center" vertical="center"/>
    </xf>
    <xf numFmtId="165" fontId="11" fillId="19" borderId="1" xfId="3" applyFill="1" applyBorder="1">
      <alignment horizontal="center" vertical="center"/>
    </xf>
    <xf numFmtId="165" fontId="11" fillId="23" borderId="1" xfId="3" applyFill="1" applyBorder="1">
      <alignment horizontal="center" vertical="center"/>
    </xf>
    <xf numFmtId="165" fontId="11" fillId="25" borderId="1" xfId="3" applyFill="1" applyBorder="1">
      <alignment horizontal="center" vertical="center"/>
    </xf>
    <xf numFmtId="165" fontId="11" fillId="27" borderId="1" xfId="3" applyFill="1" applyBorder="1">
      <alignment horizontal="center" vertical="center"/>
    </xf>
    <xf numFmtId="165" fontId="11" fillId="29" borderId="1" xfId="3" applyFill="1" applyBorder="1">
      <alignment horizontal="center" vertical="center"/>
    </xf>
    <xf numFmtId="165" fontId="11" fillId="9" borderId="1" xfId="3" applyFill="1" applyBorder="1">
      <alignment horizontal="center" vertical="center"/>
    </xf>
    <xf numFmtId="165" fontId="11" fillId="32" borderId="1" xfId="3" applyFill="1" applyBorder="1">
      <alignment horizontal="center" vertical="center"/>
    </xf>
    <xf numFmtId="2" fontId="0" fillId="0" borderId="5" xfId="0" applyNumberFormat="1" applyBorder="1"/>
    <xf numFmtId="6" fontId="0" fillId="0" borderId="2" xfId="0" applyNumberFormat="1" applyBorder="1"/>
    <xf numFmtId="0" fontId="2" fillId="2" borderId="8" xfId="0" applyFont="1" applyFill="1" applyBorder="1" applyAlignment="1">
      <alignment horizontal="center" vertical="top"/>
    </xf>
    <xf numFmtId="0" fontId="1" fillId="6" borderId="9" xfId="0" applyFont="1" applyFill="1" applyBorder="1" applyAlignment="1">
      <alignment horizontal="center" vertical="top"/>
    </xf>
    <xf numFmtId="0" fontId="0" fillId="9" borderId="10" xfId="0" applyFill="1" applyBorder="1"/>
    <xf numFmtId="0" fontId="0" fillId="5" borderId="11" xfId="0" applyFill="1" applyBorder="1"/>
    <xf numFmtId="0" fontId="6" fillId="8" borderId="12" xfId="0" applyFont="1" applyFill="1" applyBorder="1"/>
    <xf numFmtId="0" fontId="0" fillId="3" borderId="13" xfId="0" applyFill="1" applyBorder="1" applyAlignment="1">
      <alignment horizontal="left"/>
    </xf>
    <xf numFmtId="0" fontId="0" fillId="0" borderId="14" xfId="0" applyBorder="1"/>
    <xf numFmtId="0" fontId="0" fillId="3" borderId="13" xfId="0" applyFill="1" applyBorder="1"/>
    <xf numFmtId="0" fontId="0" fillId="3" borderId="15" xfId="0" applyFill="1" applyBorder="1"/>
    <xf numFmtId="0" fontId="0" fillId="0" borderId="16" xfId="0" applyBorder="1"/>
    <xf numFmtId="0" fontId="0" fillId="0" borderId="17" xfId="0" applyBorder="1"/>
    <xf numFmtId="0" fontId="7" fillId="2" borderId="0" xfId="0" applyFont="1" applyFill="1" applyAlignment="1">
      <alignment wrapText="1"/>
    </xf>
    <xf numFmtId="6" fontId="8" fillId="0" borderId="0" xfId="0" applyNumberFormat="1" applyFont="1" applyAlignment="1">
      <alignment wrapText="1"/>
    </xf>
    <xf numFmtId="0" fontId="2" fillId="2" borderId="18" xfId="0" applyFont="1" applyFill="1" applyBorder="1"/>
    <xf numFmtId="0" fontId="0" fillId="8" borderId="19" xfId="0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2" fillId="0" borderId="24" xfId="0" applyFont="1" applyBorder="1"/>
    <xf numFmtId="0" fontId="0" fillId="0" borderId="25" xfId="0" applyBorder="1"/>
    <xf numFmtId="0" fontId="0" fillId="24" borderId="1" xfId="0" applyFill="1" applyBorder="1"/>
    <xf numFmtId="0" fontId="5" fillId="24" borderId="1" xfId="0" applyFont="1" applyFill="1" applyBorder="1"/>
    <xf numFmtId="0" fontId="2" fillId="34" borderId="1" xfId="0" applyFont="1" applyFill="1" applyBorder="1" applyAlignment="1">
      <alignment horizontal="center" vertical="top"/>
    </xf>
    <xf numFmtId="0" fontId="1" fillId="34" borderId="1" xfId="0" applyFont="1" applyFill="1" applyBorder="1" applyAlignment="1">
      <alignment horizontal="center" vertical="top"/>
    </xf>
    <xf numFmtId="0" fontId="0" fillId="34" borderId="1" xfId="0" applyFill="1" applyBorder="1"/>
    <xf numFmtId="0" fontId="1" fillId="16" borderId="1" xfId="0" applyFont="1" applyFill="1" applyBorder="1"/>
    <xf numFmtId="4" fontId="0" fillId="0" borderId="0" xfId="0" applyNumberFormat="1"/>
    <xf numFmtId="0" fontId="1" fillId="9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right" vertical="top"/>
    </xf>
    <xf numFmtId="166" fontId="0" fillId="34" borderId="1" xfId="0" applyNumberFormat="1" applyFill="1" applyBorder="1"/>
    <xf numFmtId="166" fontId="1" fillId="26" borderId="1" xfId="0" applyNumberFormat="1" applyFont="1" applyFill="1" applyBorder="1"/>
    <xf numFmtId="166" fontId="1" fillId="28" borderId="1" xfId="0" applyNumberFormat="1" applyFont="1" applyFill="1" applyBorder="1"/>
    <xf numFmtId="166" fontId="0" fillId="24" borderId="1" xfId="0" applyNumberFormat="1" applyFill="1" applyBorder="1"/>
    <xf numFmtId="166" fontId="4" fillId="24" borderId="1" xfId="0" applyNumberFormat="1" applyFont="1" applyFill="1" applyBorder="1"/>
    <xf numFmtId="166" fontId="5" fillId="24" borderId="1" xfId="0" applyNumberFormat="1" applyFont="1" applyFill="1" applyBorder="1"/>
    <xf numFmtId="166" fontId="1" fillId="16" borderId="1" xfId="0" applyNumberFormat="1" applyFont="1" applyFill="1" applyBorder="1"/>
    <xf numFmtId="0" fontId="11" fillId="29" borderId="1" xfId="2" applyFill="1" applyBorder="1">
      <alignment horizontal="left" vertical="center" indent="2"/>
    </xf>
    <xf numFmtId="0" fontId="0" fillId="14" borderId="4" xfId="0" applyFill="1" applyBorder="1" applyAlignment="1">
      <alignment horizontal="left" vertical="center" indent="1"/>
    </xf>
    <xf numFmtId="166" fontId="0" fillId="14" borderId="1" xfId="0" applyNumberFormat="1" applyFill="1" applyBorder="1"/>
    <xf numFmtId="0" fontId="0" fillId="15" borderId="4" xfId="0" applyFill="1" applyBorder="1" applyAlignment="1">
      <alignment horizontal="left" vertical="center" indent="1"/>
    </xf>
    <xf numFmtId="166" fontId="0" fillId="15" borderId="1" xfId="0" applyNumberFormat="1" applyFill="1" applyBorder="1"/>
    <xf numFmtId="0" fontId="0" fillId="17" borderId="4" xfId="0" applyFill="1" applyBorder="1" applyAlignment="1">
      <alignment horizontal="left" vertical="center" indent="1"/>
    </xf>
    <xf numFmtId="166" fontId="0" fillId="17" borderId="1" xfId="0" applyNumberFormat="1" applyFill="1" applyBorder="1"/>
    <xf numFmtId="0" fontId="0" fillId="18" borderId="4" xfId="0" applyFill="1" applyBorder="1" applyAlignment="1">
      <alignment horizontal="left" vertical="center" indent="1"/>
    </xf>
    <xf numFmtId="0" fontId="0" fillId="20" borderId="4" xfId="0" applyFill="1" applyBorder="1" applyAlignment="1">
      <alignment horizontal="left" vertical="center" indent="1"/>
    </xf>
    <xf numFmtId="166" fontId="0" fillId="20" borderId="1" xfId="0" applyNumberFormat="1" applyFill="1" applyBorder="1"/>
    <xf numFmtId="0" fontId="0" fillId="30" borderId="4" xfId="0" applyFill="1" applyBorder="1" applyAlignment="1">
      <alignment horizontal="left" vertical="center" indent="1"/>
    </xf>
    <xf numFmtId="166" fontId="0" fillId="30" borderId="1" xfId="0" applyNumberFormat="1" applyFill="1" applyBorder="1"/>
    <xf numFmtId="0" fontId="0" fillId="24" borderId="4" xfId="0" applyFill="1" applyBorder="1" applyAlignment="1">
      <alignment horizontal="left" vertical="center" indent="1"/>
    </xf>
    <xf numFmtId="0" fontId="0" fillId="26" borderId="4" xfId="0" applyFill="1" applyBorder="1" applyAlignment="1">
      <alignment horizontal="left" vertical="center" indent="1"/>
    </xf>
    <xf numFmtId="166" fontId="0" fillId="26" borderId="1" xfId="0" applyNumberFormat="1" applyFill="1" applyBorder="1"/>
    <xf numFmtId="0" fontId="0" fillId="28" borderId="1" xfId="0" applyFill="1" applyBorder="1" applyAlignment="1">
      <alignment horizontal="left" vertical="center" indent="1"/>
    </xf>
    <xf numFmtId="166" fontId="0" fillId="28" borderId="1" xfId="0" applyNumberFormat="1" applyFill="1" applyBorder="1"/>
    <xf numFmtId="0" fontId="0" fillId="22" borderId="4" xfId="0" applyFill="1" applyBorder="1" applyAlignment="1">
      <alignment horizontal="left" vertical="center" indent="1"/>
    </xf>
    <xf numFmtId="166" fontId="0" fillId="22" borderId="1" xfId="0" applyNumberFormat="1" applyFill="1" applyBorder="1"/>
    <xf numFmtId="0" fontId="0" fillId="31" borderId="1" xfId="0" applyFill="1" applyBorder="1" applyAlignment="1">
      <alignment horizontal="left" vertical="center" indent="1"/>
    </xf>
    <xf numFmtId="166" fontId="0" fillId="31" borderId="1" xfId="0" applyNumberFormat="1" applyFill="1" applyBorder="1"/>
    <xf numFmtId="0" fontId="0" fillId="16" borderId="1" xfId="0" applyFill="1" applyBorder="1"/>
    <xf numFmtId="0" fontId="1" fillId="35" borderId="1" xfId="0" applyFont="1" applyFill="1" applyBorder="1"/>
    <xf numFmtId="166" fontId="1" fillId="35" borderId="1" xfId="0" applyNumberFormat="1" applyFont="1" applyFill="1" applyBorder="1"/>
    <xf numFmtId="0" fontId="1" fillId="18" borderId="1" xfId="0" applyFont="1" applyFill="1" applyBorder="1"/>
    <xf numFmtId="166" fontId="1" fillId="18" borderId="1" xfId="0" applyNumberFormat="1" applyFont="1" applyFill="1" applyBorder="1"/>
    <xf numFmtId="166" fontId="0" fillId="18" borderId="1" xfId="0" applyNumberFormat="1" applyFill="1" applyBorder="1"/>
    <xf numFmtId="0" fontId="1" fillId="0" borderId="0" xfId="0" applyFont="1" applyAlignment="1">
      <alignment wrapText="1"/>
    </xf>
    <xf numFmtId="0" fontId="1" fillId="36" borderId="1" xfId="0" applyFont="1" applyFill="1" applyBorder="1" applyAlignment="1">
      <alignment horizontal="left" vertical="center" indent="1"/>
    </xf>
    <xf numFmtId="165" fontId="1" fillId="36" borderId="1" xfId="0" applyNumberFormat="1" applyFont="1" applyFill="1" applyBorder="1" applyAlignment="1">
      <alignment horizontal="center" vertical="center"/>
    </xf>
    <xf numFmtId="0" fontId="0" fillId="10" borderId="1" xfId="2" applyFont="1" applyFill="1" applyBorder="1">
      <alignment horizontal="left" vertical="center" indent="2"/>
    </xf>
    <xf numFmtId="165" fontId="11" fillId="10" borderId="1" xfId="3" applyFill="1" applyBorder="1">
      <alignment horizontal="center" vertical="center"/>
    </xf>
    <xf numFmtId="165" fontId="0" fillId="10" borderId="1" xfId="3" applyFont="1" applyFill="1" applyBorder="1">
      <alignment horizontal="center" vertical="center"/>
    </xf>
    <xf numFmtId="0" fontId="1" fillId="0" borderId="0" xfId="0" applyFont="1"/>
    <xf numFmtId="0" fontId="1" fillId="28" borderId="3" xfId="0" applyFont="1" applyFill="1" applyBorder="1"/>
    <xf numFmtId="0" fontId="1" fillId="0" borderId="1" xfId="0" applyFont="1" applyBorder="1"/>
    <xf numFmtId="166" fontId="0" fillId="36" borderId="1" xfId="0" applyNumberFormat="1" applyFill="1" applyBorder="1"/>
    <xf numFmtId="0" fontId="0" fillId="10" borderId="1" xfId="0" applyFill="1" applyBorder="1"/>
    <xf numFmtId="0" fontId="0" fillId="10" borderId="3" xfId="0" applyFill="1" applyBorder="1" applyAlignment="1">
      <alignment vertical="center" wrapText="1"/>
    </xf>
    <xf numFmtId="0" fontId="0" fillId="10" borderId="3" xfId="0" applyFill="1" applyBorder="1" applyAlignment="1">
      <alignment vertical="center"/>
    </xf>
    <xf numFmtId="0" fontId="1" fillId="10" borderId="1" xfId="0" applyFont="1" applyFill="1" applyBorder="1"/>
    <xf numFmtId="166" fontId="1" fillId="10" borderId="1" xfId="0" applyNumberFormat="1" applyFont="1" applyFill="1" applyBorder="1" applyAlignment="1">
      <alignment horizontal="center"/>
    </xf>
    <xf numFmtId="166" fontId="0" fillId="0" borderId="0" xfId="0" applyNumberFormat="1"/>
    <xf numFmtId="166" fontId="0" fillId="16" borderId="1" xfId="0" applyNumberFormat="1" applyFill="1" applyBorder="1"/>
    <xf numFmtId="0" fontId="14" fillId="28" borderId="3" xfId="0" applyFont="1" applyFill="1" applyBorder="1" applyAlignment="1">
      <alignment horizontal="center" vertical="center"/>
    </xf>
    <xf numFmtId="0" fontId="14" fillId="28" borderId="27" xfId="0" applyFont="1" applyFill="1" applyBorder="1" applyAlignment="1">
      <alignment horizontal="center" vertical="center"/>
    </xf>
    <xf numFmtId="0" fontId="14" fillId="28" borderId="28" xfId="0" applyFont="1" applyFill="1" applyBorder="1" applyAlignment="1">
      <alignment horizontal="center" vertical="center"/>
    </xf>
    <xf numFmtId="166" fontId="15" fillId="28" borderId="3" xfId="0" applyNumberFormat="1" applyFont="1" applyFill="1" applyBorder="1" applyAlignment="1">
      <alignment horizontal="center" vertical="center"/>
    </xf>
    <xf numFmtId="166" fontId="15" fillId="28" borderId="27" xfId="0" applyNumberFormat="1" applyFont="1" applyFill="1" applyBorder="1" applyAlignment="1">
      <alignment horizontal="center" vertical="center"/>
    </xf>
    <xf numFmtId="166" fontId="15" fillId="28" borderId="28" xfId="0" applyNumberFormat="1" applyFont="1" applyFill="1" applyBorder="1" applyAlignment="1">
      <alignment horizontal="center" vertical="center"/>
    </xf>
    <xf numFmtId="0" fontId="1" fillId="36" borderId="4" xfId="0" applyFont="1" applyFill="1" applyBorder="1" applyAlignment="1">
      <alignment horizontal="center" vertical="center"/>
    </xf>
    <xf numFmtId="0" fontId="1" fillId="36" borderId="26" xfId="0" applyFont="1" applyFill="1" applyBorder="1" applyAlignment="1">
      <alignment horizontal="center" vertical="center"/>
    </xf>
    <xf numFmtId="0" fontId="9" fillId="34" borderId="4" xfId="0" applyFont="1" applyFill="1" applyBorder="1" applyAlignment="1">
      <alignment horizontal="center" wrapText="1"/>
    </xf>
    <xf numFmtId="0" fontId="9" fillId="34" borderId="29" xfId="0" applyFont="1" applyFill="1" applyBorder="1" applyAlignment="1">
      <alignment horizontal="center" wrapText="1"/>
    </xf>
    <xf numFmtId="0" fontId="9" fillId="34" borderId="26" xfId="0" applyFont="1" applyFill="1" applyBorder="1" applyAlignment="1">
      <alignment horizontal="center" wrapText="1"/>
    </xf>
    <xf numFmtId="0" fontId="9" fillId="10" borderId="0" xfId="0" applyFont="1" applyFill="1" applyAlignment="1">
      <alignment horizontal="center" wrapText="1"/>
    </xf>
  </cellXfs>
  <cellStyles count="4">
    <cellStyle name="Fecha" xfId="3" xr:uid="{970A36F0-37C2-4C39-BB41-962C8305DCCC}"/>
    <cellStyle name="Nombre" xfId="1" xr:uid="{250D61E7-1AC4-480B-A6BC-4AA011C1868C}"/>
    <cellStyle name="Normal" xfId="0" builtinId="0"/>
    <cellStyle name="Tarea" xfId="2" xr:uid="{65137526-C548-419D-B181-5CF7B9B6DC9C}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8</v>
    <v>1</v>
  </rv>
  <rv s="1">
    <v>0</v>
    <v>8</v>
    <v>4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propagated" t="b"/>
  </s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D89E5-A8CC-424C-8F70-611D113EEF60}">
  <dimension ref="A1:Q87"/>
  <sheetViews>
    <sheetView tabSelected="1" topLeftCell="A23" zoomScale="70" zoomScaleNormal="70" workbookViewId="0">
      <selection activeCell="B43" sqref="B43"/>
    </sheetView>
  </sheetViews>
  <sheetFormatPr baseColWidth="10" defaultColWidth="11.44140625" defaultRowHeight="14.4" x14ac:dyDescent="0.3"/>
  <cols>
    <col min="1" max="1" width="55.6640625" bestFit="1" customWidth="1"/>
    <col min="2" max="2" width="11.88671875" bestFit="1" customWidth="1"/>
    <col min="3" max="3" width="11.44140625" customWidth="1"/>
    <col min="4" max="4" width="22.88671875" bestFit="1" customWidth="1"/>
    <col min="5" max="6" width="11.44140625" customWidth="1"/>
    <col min="7" max="7" width="18.33203125" bestFit="1" customWidth="1"/>
    <col min="8" max="8" width="18.33203125" customWidth="1"/>
    <col min="9" max="9" width="13.5546875" bestFit="1" customWidth="1"/>
    <col min="10" max="10" width="11.88671875" bestFit="1" customWidth="1"/>
    <col min="12" max="12" width="90.88671875" bestFit="1" customWidth="1"/>
    <col min="13" max="13" width="24.44140625" bestFit="1" customWidth="1"/>
    <col min="14" max="14" width="14.5546875" bestFit="1" customWidth="1"/>
    <col min="15" max="15" width="8.88671875" customWidth="1"/>
    <col min="16" max="16" width="16.33203125" bestFit="1" customWidth="1"/>
    <col min="17" max="17" width="65.6640625" bestFit="1" customWidth="1"/>
  </cols>
  <sheetData>
    <row r="1" spans="1:17" ht="21" customHeight="1" x14ac:dyDescent="0.3">
      <c r="A1" s="78" t="s">
        <v>0</v>
      </c>
      <c r="B1" s="79" t="s">
        <v>1</v>
      </c>
      <c r="C1" s="79" t="s">
        <v>2</v>
      </c>
      <c r="D1" s="79" t="s">
        <v>3</v>
      </c>
      <c r="E1" s="79" t="s">
        <v>4</v>
      </c>
      <c r="F1" s="79" t="s">
        <v>5</v>
      </c>
      <c r="G1" s="79" t="s">
        <v>6</v>
      </c>
      <c r="H1" s="84" t="s">
        <v>7</v>
      </c>
      <c r="I1" s="84" t="s">
        <v>8</v>
      </c>
    </row>
    <row r="2" spans="1:17" ht="81" customHeight="1" x14ac:dyDescent="0.5">
      <c r="D2" t="s">
        <v>9</v>
      </c>
      <c r="G2" s="162" t="s">
        <v>10</v>
      </c>
      <c r="L2" s="187" t="s">
        <v>11</v>
      </c>
      <c r="M2" s="188"/>
      <c r="N2" s="189"/>
    </row>
    <row r="3" spans="1:17" x14ac:dyDescent="0.3">
      <c r="A3" s="57" t="s">
        <v>12</v>
      </c>
      <c r="B3" s="23">
        <f>MIN(B4:B8)</f>
        <v>45693</v>
      </c>
      <c r="C3" s="24">
        <f>MAX(C4:C8)</f>
        <v>46386</v>
      </c>
      <c r="D3" s="159">
        <f>C3-B3</f>
        <v>693</v>
      </c>
      <c r="E3" s="159">
        <f>IF(B3-C3=0,0.5,D3)</f>
        <v>693</v>
      </c>
      <c r="F3" s="159">
        <f>E3*24</f>
        <v>16632</v>
      </c>
      <c r="G3" s="159">
        <v>0</v>
      </c>
      <c r="H3" s="159">
        <v>0</v>
      </c>
      <c r="I3" s="160">
        <f>SUM(I4:I7)</f>
        <v>7015.68</v>
      </c>
      <c r="L3" s="121" t="s">
        <v>13</v>
      </c>
      <c r="M3" s="122" t="s">
        <v>14</v>
      </c>
      <c r="N3" s="122" t="s">
        <v>15</v>
      </c>
    </row>
    <row r="4" spans="1:17" x14ac:dyDescent="0.3">
      <c r="A4" s="58" t="s">
        <v>16</v>
      </c>
      <c r="B4" s="87">
        <v>45693</v>
      </c>
      <c r="C4" s="25">
        <f>B4+8</f>
        <v>45701</v>
      </c>
      <c r="D4" s="80">
        <f>C4-B4</f>
        <v>8</v>
      </c>
      <c r="E4" s="80">
        <f t="shared" ref="E4:E67" si="0">IF(B4-C4=0,0.5,D4)</f>
        <v>8</v>
      </c>
      <c r="F4" s="80">
        <f t="shared" ref="F4:F67" si="1">E4*24</f>
        <v>192</v>
      </c>
      <c r="G4" s="80">
        <v>1</v>
      </c>
      <c r="H4" s="80">
        <f>IF(G4=1,24.36,IF(G4=2,29.02,IF(G4=3,45.82,IF(G4=4,33.93,0))))</f>
        <v>24.36</v>
      </c>
      <c r="I4" s="161">
        <f>H4*8*E4</f>
        <v>1559.04</v>
      </c>
      <c r="L4" s="123" t="s">
        <v>17</v>
      </c>
      <c r="M4" s="123">
        <v>25</v>
      </c>
      <c r="N4" s="128">
        <f>((M4/100)*M73)</f>
        <v>10000</v>
      </c>
    </row>
    <row r="5" spans="1:17" x14ac:dyDescent="0.3">
      <c r="A5" s="58" t="s">
        <v>18</v>
      </c>
      <c r="B5" s="87">
        <f>C4+1</f>
        <v>45702</v>
      </c>
      <c r="C5" s="25">
        <f>B5+10</f>
        <v>45712</v>
      </c>
      <c r="D5" s="80">
        <f t="shared" ref="D5:D71" si="2">C5-B5</f>
        <v>10</v>
      </c>
      <c r="E5" s="80">
        <f t="shared" si="0"/>
        <v>10</v>
      </c>
      <c r="F5" s="80">
        <f t="shared" si="1"/>
        <v>240</v>
      </c>
      <c r="G5" s="80">
        <v>1</v>
      </c>
      <c r="H5" s="80">
        <f t="shared" ref="H5:H71" si="3">IF(G5=1,24.36,IF(G5=2,29.02,IF(G5=3,45.82,IF(G5=4,33.93,0))))</f>
        <v>24.36</v>
      </c>
      <c r="I5" s="161">
        <f t="shared" ref="I5:I71" si="4">H5*8*E5</f>
        <v>1948.8</v>
      </c>
      <c r="L5" s="123" t="s">
        <v>19</v>
      </c>
      <c r="M5" s="123">
        <v>25</v>
      </c>
      <c r="N5" s="128">
        <f>((M5/100)*M73)</f>
        <v>10000</v>
      </c>
      <c r="Q5" s="12"/>
    </row>
    <row r="6" spans="1:17" x14ac:dyDescent="0.3">
      <c r="A6" s="58" t="s">
        <v>20</v>
      </c>
      <c r="B6" s="87">
        <f>C5+1</f>
        <v>45713</v>
      </c>
      <c r="C6" s="25">
        <f>B6+9</f>
        <v>45722</v>
      </c>
      <c r="D6" s="80">
        <f t="shared" si="2"/>
        <v>9</v>
      </c>
      <c r="E6" s="80">
        <f t="shared" si="0"/>
        <v>9</v>
      </c>
      <c r="F6" s="80">
        <f t="shared" si="1"/>
        <v>216</v>
      </c>
      <c r="G6" s="80">
        <v>1</v>
      </c>
      <c r="H6" s="80">
        <f t="shared" si="3"/>
        <v>24.36</v>
      </c>
      <c r="I6" s="161">
        <f t="shared" si="4"/>
        <v>1753.92</v>
      </c>
      <c r="L6" s="123" t="s">
        <v>21</v>
      </c>
      <c r="M6" s="123">
        <v>50</v>
      </c>
      <c r="N6" s="128">
        <f>((M6/100)*M73)</f>
        <v>20000</v>
      </c>
    </row>
    <row r="7" spans="1:17" x14ac:dyDescent="0.3">
      <c r="A7" s="58" t="s">
        <v>22</v>
      </c>
      <c r="B7" s="87">
        <f>C6+1</f>
        <v>45723</v>
      </c>
      <c r="C7" s="25">
        <f>B7+9</f>
        <v>45732</v>
      </c>
      <c r="D7" s="80">
        <f t="shared" si="2"/>
        <v>9</v>
      </c>
      <c r="E7" s="80">
        <f t="shared" si="0"/>
        <v>9</v>
      </c>
      <c r="F7" s="80">
        <f t="shared" si="1"/>
        <v>216</v>
      </c>
      <c r="G7" s="80">
        <v>1</v>
      </c>
      <c r="H7" s="80">
        <f t="shared" si="3"/>
        <v>24.36</v>
      </c>
      <c r="I7" s="161">
        <f t="shared" si="4"/>
        <v>1753.92</v>
      </c>
    </row>
    <row r="8" spans="1:17" x14ac:dyDescent="0.3">
      <c r="A8" s="58" t="s">
        <v>23</v>
      </c>
      <c r="B8" s="87">
        <f>C7+1</f>
        <v>45733</v>
      </c>
      <c r="C8" s="25">
        <f>MAX(C10:C11,C13:C20,C22:C29,C31:C35,C37:C43,C45:C48,C50:C54,C56:C60,C62:C66,C69:C74,C76)</f>
        <v>46386</v>
      </c>
      <c r="D8" s="80">
        <f t="shared" si="2"/>
        <v>653</v>
      </c>
      <c r="E8" s="159">
        <f t="shared" si="0"/>
        <v>653</v>
      </c>
      <c r="F8" s="80">
        <f t="shared" si="1"/>
        <v>15672</v>
      </c>
      <c r="G8" s="80">
        <v>0</v>
      </c>
      <c r="H8" s="80">
        <f t="shared" si="3"/>
        <v>0</v>
      </c>
      <c r="I8" s="161">
        <f t="shared" si="4"/>
        <v>0</v>
      </c>
      <c r="L8" s="82" t="s">
        <v>24</v>
      </c>
      <c r="M8" s="81" t="s">
        <v>25</v>
      </c>
    </row>
    <row r="9" spans="1:17" x14ac:dyDescent="0.3">
      <c r="A9" s="59" t="s">
        <v>26</v>
      </c>
      <c r="B9" s="26">
        <f>MIN(B10:B11)</f>
        <v>45733</v>
      </c>
      <c r="C9" s="27">
        <f>MAX(C10:C11)</f>
        <v>45737</v>
      </c>
      <c r="D9" s="159">
        <f t="shared" si="2"/>
        <v>4</v>
      </c>
      <c r="E9" s="80">
        <f t="shared" si="0"/>
        <v>4</v>
      </c>
      <c r="F9" s="159">
        <f t="shared" si="1"/>
        <v>96</v>
      </c>
      <c r="G9" s="159"/>
      <c r="H9" s="159">
        <f t="shared" si="3"/>
        <v>0</v>
      </c>
      <c r="I9" s="160">
        <f>SUM(I10:I11)</f>
        <v>2932.48</v>
      </c>
      <c r="L9" s="136" t="s">
        <v>27</v>
      </c>
      <c r="M9" s="137">
        <f>SUM(I4:I8)</f>
        <v>7015.68</v>
      </c>
    </row>
    <row r="10" spans="1:17" x14ac:dyDescent="0.3">
      <c r="A10" s="60" t="s">
        <v>28</v>
      </c>
      <c r="B10" s="88">
        <f>C7+1</f>
        <v>45733</v>
      </c>
      <c r="C10" s="28">
        <f>B10+4</f>
        <v>45737</v>
      </c>
      <c r="D10" s="80">
        <f t="shared" si="2"/>
        <v>4</v>
      </c>
      <c r="E10" s="80">
        <f t="shared" si="0"/>
        <v>4</v>
      </c>
      <c r="F10" s="80">
        <f t="shared" si="1"/>
        <v>96</v>
      </c>
      <c r="G10" s="80">
        <v>3</v>
      </c>
      <c r="H10" s="80">
        <f t="shared" si="3"/>
        <v>45.82</v>
      </c>
      <c r="I10" s="161">
        <f>H10*8*E10</f>
        <v>1466.24</v>
      </c>
      <c r="L10" s="138" t="s">
        <v>26</v>
      </c>
      <c r="M10" s="139">
        <f>SUM(I10:I11)</f>
        <v>2932.48</v>
      </c>
    </row>
    <row r="11" spans="1:17" x14ac:dyDescent="0.3">
      <c r="A11" s="60" t="s">
        <v>29</v>
      </c>
      <c r="B11" s="88">
        <f>C7+1</f>
        <v>45733</v>
      </c>
      <c r="C11" s="28">
        <f>B11+4</f>
        <v>45737</v>
      </c>
      <c r="D11" s="80">
        <f t="shared" si="2"/>
        <v>4</v>
      </c>
      <c r="E11" s="80">
        <f t="shared" si="0"/>
        <v>4</v>
      </c>
      <c r="F11" s="80">
        <f t="shared" si="1"/>
        <v>96</v>
      </c>
      <c r="G11" s="80">
        <v>3</v>
      </c>
      <c r="H11" s="80">
        <f t="shared" si="3"/>
        <v>45.82</v>
      </c>
      <c r="I11" s="161">
        <f t="shared" si="4"/>
        <v>1466.24</v>
      </c>
      <c r="L11" s="140" t="s">
        <v>30</v>
      </c>
      <c r="M11" s="141">
        <f>SUM(I13:I20)</f>
        <v>97.44</v>
      </c>
      <c r="N11" s="177"/>
    </row>
    <row r="12" spans="1:17" x14ac:dyDescent="0.3">
      <c r="A12" s="61" t="s">
        <v>30</v>
      </c>
      <c r="B12" s="29">
        <f>MIN(B13:B20)</f>
        <v>45738</v>
      </c>
      <c r="C12" s="30">
        <f>MAX(C13:C20)</f>
        <v>45738</v>
      </c>
      <c r="D12" s="159">
        <f t="shared" si="2"/>
        <v>0</v>
      </c>
      <c r="E12" s="159">
        <f>IF(B12-C12=0,0.5,D12)/8</f>
        <v>6.25E-2</v>
      </c>
      <c r="F12" s="159">
        <f t="shared" si="1"/>
        <v>1.5</v>
      </c>
      <c r="G12" s="159">
        <v>0</v>
      </c>
      <c r="H12" s="159">
        <f t="shared" si="3"/>
        <v>0</v>
      </c>
      <c r="I12" s="160">
        <f>SUM(I13:I20)</f>
        <v>97.44</v>
      </c>
      <c r="L12" s="142" t="s">
        <v>31</v>
      </c>
      <c r="M12" s="128">
        <f>SUM(I22:I29)</f>
        <v>0</v>
      </c>
    </row>
    <row r="13" spans="1:17" x14ac:dyDescent="0.3">
      <c r="A13" s="62" t="s">
        <v>32</v>
      </c>
      <c r="B13" s="31">
        <f>C10+1</f>
        <v>45738</v>
      </c>
      <c r="C13" s="32">
        <f t="shared" ref="C13:C20" si="5">B13</f>
        <v>45738</v>
      </c>
      <c r="D13" s="80">
        <f t="shared" si="2"/>
        <v>0</v>
      </c>
      <c r="E13" s="80">
        <f t="shared" ref="E13:E20" si="6">IF(B13-C13=0,0.5,D13)/8</f>
        <v>6.25E-2</v>
      </c>
      <c r="F13" s="80">
        <f t="shared" si="1"/>
        <v>1.5</v>
      </c>
      <c r="G13" s="80">
        <v>1</v>
      </c>
      <c r="H13" s="80">
        <f>IF(G13=1,24.36,IF(G13=2,29.02,IF(G13=3,45.82,IF(G13=4,33.93,0))))</f>
        <v>24.36</v>
      </c>
      <c r="I13" s="161">
        <f>H13*8*E13</f>
        <v>12.18</v>
      </c>
      <c r="L13" s="143" t="s">
        <v>33</v>
      </c>
      <c r="M13" s="144">
        <f>SUM(I31:I35)</f>
        <v>928.64</v>
      </c>
      <c r="N13" s="12"/>
    </row>
    <row r="14" spans="1:17" x14ac:dyDescent="0.3">
      <c r="A14" s="62" t="s">
        <v>34</v>
      </c>
      <c r="B14" s="31">
        <f>C10+1</f>
        <v>45738</v>
      </c>
      <c r="C14" s="32">
        <f t="shared" si="5"/>
        <v>45738</v>
      </c>
      <c r="D14" s="80">
        <f t="shared" si="2"/>
        <v>0</v>
      </c>
      <c r="E14" s="80">
        <f t="shared" si="6"/>
        <v>6.25E-2</v>
      </c>
      <c r="F14" s="80">
        <f t="shared" si="1"/>
        <v>1.5</v>
      </c>
      <c r="G14" s="80">
        <v>1</v>
      </c>
      <c r="H14" s="80">
        <f t="shared" si="3"/>
        <v>24.36</v>
      </c>
      <c r="I14" s="161">
        <f t="shared" ref="I14:I20" si="7">H14*8*E14</f>
        <v>12.18</v>
      </c>
      <c r="L14" s="152" t="s">
        <v>35</v>
      </c>
      <c r="M14" s="153">
        <f>SUM(I37:I43)</f>
        <v>1741.1999999999998</v>
      </c>
      <c r="N14" s="177"/>
      <c r="O14" s="177"/>
    </row>
    <row r="15" spans="1:17" x14ac:dyDescent="0.3">
      <c r="A15" s="62" t="s">
        <v>36</v>
      </c>
      <c r="B15" s="31">
        <f>C10+1</f>
        <v>45738</v>
      </c>
      <c r="C15" s="32">
        <f>B15</f>
        <v>45738</v>
      </c>
      <c r="D15" s="80">
        <f>C15-B15</f>
        <v>0</v>
      </c>
      <c r="E15" s="80">
        <f t="shared" si="6"/>
        <v>6.25E-2</v>
      </c>
      <c r="F15" s="80">
        <f t="shared" si="1"/>
        <v>1.5</v>
      </c>
      <c r="G15" s="80">
        <v>1</v>
      </c>
      <c r="H15" s="80">
        <f>IF(G15=1,24.36,IF(G15=2,29.02,IF(G15=3,45.82,IF(G15=4,33.93,0))))</f>
        <v>24.36</v>
      </c>
      <c r="I15" s="161">
        <f t="shared" si="7"/>
        <v>12.18</v>
      </c>
      <c r="L15" s="147" t="s">
        <v>37</v>
      </c>
      <c r="M15" s="131">
        <f>SUM(I45:I48)</f>
        <v>814.31999999999994</v>
      </c>
    </row>
    <row r="16" spans="1:17" x14ac:dyDescent="0.3">
      <c r="A16" s="62" t="s">
        <v>38</v>
      </c>
      <c r="B16" s="31">
        <f>C11+1</f>
        <v>45738</v>
      </c>
      <c r="C16" s="32">
        <f t="shared" si="5"/>
        <v>45738</v>
      </c>
      <c r="D16" s="80">
        <f t="shared" si="2"/>
        <v>0</v>
      </c>
      <c r="E16" s="80">
        <f t="shared" si="6"/>
        <v>6.25E-2</v>
      </c>
      <c r="F16" s="80">
        <f t="shared" si="1"/>
        <v>1.5</v>
      </c>
      <c r="G16" s="80">
        <v>1</v>
      </c>
      <c r="H16" s="80">
        <f t="shared" si="3"/>
        <v>24.36</v>
      </c>
      <c r="I16" s="161">
        <f t="shared" si="7"/>
        <v>12.18</v>
      </c>
      <c r="L16" s="148" t="s">
        <v>39</v>
      </c>
      <c r="M16" s="149">
        <f>SUM(I50:I54)</f>
        <v>1778.2799999999997</v>
      </c>
    </row>
    <row r="17" spans="1:17" x14ac:dyDescent="0.3">
      <c r="A17" s="62" t="s">
        <v>40</v>
      </c>
      <c r="B17" s="31">
        <f>C11+1</f>
        <v>45738</v>
      </c>
      <c r="C17" s="32">
        <f t="shared" si="5"/>
        <v>45738</v>
      </c>
      <c r="D17" s="80">
        <f t="shared" si="2"/>
        <v>0</v>
      </c>
      <c r="E17" s="80">
        <f t="shared" si="6"/>
        <v>6.25E-2</v>
      </c>
      <c r="F17" s="80">
        <f t="shared" si="1"/>
        <v>1.5</v>
      </c>
      <c r="G17" s="80">
        <v>1</v>
      </c>
      <c r="H17" s="80">
        <f t="shared" si="3"/>
        <v>24.36</v>
      </c>
      <c r="I17" s="161">
        <f t="shared" si="7"/>
        <v>12.18</v>
      </c>
      <c r="L17" s="150" t="s">
        <v>41</v>
      </c>
      <c r="M17" s="151">
        <f>SUM(I56:I60)</f>
        <v>2382.6400000000003</v>
      </c>
    </row>
    <row r="18" spans="1:17" ht="15" customHeight="1" x14ac:dyDescent="0.3">
      <c r="A18" s="62" t="s">
        <v>42</v>
      </c>
      <c r="B18" s="31">
        <f>C10+1</f>
        <v>45738</v>
      </c>
      <c r="C18" s="32">
        <f t="shared" si="5"/>
        <v>45738</v>
      </c>
      <c r="D18" s="80">
        <f t="shared" si="2"/>
        <v>0</v>
      </c>
      <c r="E18" s="80">
        <f t="shared" si="6"/>
        <v>6.25E-2</v>
      </c>
      <c r="F18" s="80">
        <f t="shared" si="1"/>
        <v>1.5</v>
      </c>
      <c r="G18" s="80">
        <v>1</v>
      </c>
      <c r="H18" s="80">
        <f t="shared" si="3"/>
        <v>24.36</v>
      </c>
      <c r="I18" s="161">
        <f t="shared" si="7"/>
        <v>12.18</v>
      </c>
      <c r="L18" s="145" t="s">
        <v>43</v>
      </c>
      <c r="M18" s="146">
        <f>SUM(I62:I67)</f>
        <v>779.52</v>
      </c>
      <c r="N18" s="177"/>
    </row>
    <row r="19" spans="1:17" ht="15" customHeight="1" x14ac:dyDescent="0.3">
      <c r="A19" s="62" t="s">
        <v>44</v>
      </c>
      <c r="B19" s="31">
        <f>C10+1</f>
        <v>45738</v>
      </c>
      <c r="C19" s="32">
        <f>B19</f>
        <v>45738</v>
      </c>
      <c r="D19" s="80">
        <f>C19-B19</f>
        <v>0</v>
      </c>
      <c r="E19" s="80">
        <f t="shared" si="6"/>
        <v>6.25E-2</v>
      </c>
      <c r="F19" s="80">
        <f t="shared" si="1"/>
        <v>1.5</v>
      </c>
      <c r="G19" s="80">
        <v>1</v>
      </c>
      <c r="H19" s="80">
        <f>IF(G19=1,24.36,IF(G19=2,29.02,IF(G19=3,45.82,IF(G19=4,33.93,0))))</f>
        <v>24.36</v>
      </c>
      <c r="I19" s="161">
        <f t="shared" si="7"/>
        <v>12.18</v>
      </c>
      <c r="L19" s="154" t="s">
        <v>45</v>
      </c>
      <c r="M19" s="155">
        <f>SUM(I69:I73)</f>
        <v>2881.44</v>
      </c>
      <c r="N19" s="177"/>
    </row>
    <row r="20" spans="1:17" ht="15" customHeight="1" x14ac:dyDescent="0.3">
      <c r="A20" s="62" t="s">
        <v>46</v>
      </c>
      <c r="B20" s="31">
        <f>C10+1</f>
        <v>45738</v>
      </c>
      <c r="C20" s="32">
        <f t="shared" si="5"/>
        <v>45738</v>
      </c>
      <c r="D20" s="80">
        <f t="shared" si="2"/>
        <v>0</v>
      </c>
      <c r="E20" s="80">
        <f t="shared" si="6"/>
        <v>6.25E-2</v>
      </c>
      <c r="F20" s="80">
        <f t="shared" si="1"/>
        <v>1.5</v>
      </c>
      <c r="G20" s="80">
        <v>1</v>
      </c>
      <c r="H20" s="80">
        <f t="shared" si="3"/>
        <v>24.36</v>
      </c>
      <c r="I20" s="161">
        <f t="shared" si="7"/>
        <v>12.18</v>
      </c>
      <c r="L20" s="163" t="s">
        <v>47</v>
      </c>
      <c r="M20" s="171">
        <f>I76</f>
        <v>301.33</v>
      </c>
      <c r="P20" s="185" t="s">
        <v>47</v>
      </c>
      <c r="Q20" s="186"/>
    </row>
    <row r="21" spans="1:17" ht="15" customHeight="1" x14ac:dyDescent="0.3">
      <c r="A21" s="63" t="s">
        <v>31</v>
      </c>
      <c r="B21" s="33">
        <f>MIN(B22:B29)</f>
        <v>45739</v>
      </c>
      <c r="C21" s="34">
        <f>MAX(C22:C29)</f>
        <v>45748</v>
      </c>
      <c r="D21" s="159">
        <f t="shared" si="2"/>
        <v>9</v>
      </c>
      <c r="E21" s="159">
        <f t="shared" si="0"/>
        <v>9</v>
      </c>
      <c r="F21" s="159">
        <f t="shared" si="1"/>
        <v>216</v>
      </c>
      <c r="G21" s="159">
        <v>0</v>
      </c>
      <c r="H21" s="159">
        <f t="shared" si="3"/>
        <v>0</v>
      </c>
      <c r="I21" s="160">
        <f>SUM(I22:I29)</f>
        <v>0</v>
      </c>
      <c r="L21" s="81" t="s">
        <v>48</v>
      </c>
      <c r="M21" s="129">
        <f>SUM(M9:M19)</f>
        <v>21351.639999999996</v>
      </c>
      <c r="P21" s="175" t="s">
        <v>49</v>
      </c>
      <c r="Q21" s="173" t="s">
        <v>50</v>
      </c>
    </row>
    <row r="22" spans="1:17" x14ac:dyDescent="0.3">
      <c r="A22" s="64" t="s">
        <v>51</v>
      </c>
      <c r="B22" s="89">
        <f t="shared" ref="B22:B29" si="8">C13+1</f>
        <v>45739</v>
      </c>
      <c r="C22" s="35">
        <f>B22+9</f>
        <v>45748</v>
      </c>
      <c r="D22" s="80">
        <f t="shared" si="2"/>
        <v>9</v>
      </c>
      <c r="E22" s="80">
        <f t="shared" si="0"/>
        <v>9</v>
      </c>
      <c r="F22" s="80">
        <f t="shared" si="1"/>
        <v>216</v>
      </c>
      <c r="G22" s="80">
        <v>0</v>
      </c>
      <c r="H22" s="80">
        <f t="shared" si="3"/>
        <v>0</v>
      </c>
      <c r="I22" s="161">
        <f t="shared" si="4"/>
        <v>0</v>
      </c>
      <c r="N22" s="177"/>
      <c r="P22" s="175" t="s">
        <v>52</v>
      </c>
      <c r="Q22" s="174" t="s">
        <v>53</v>
      </c>
    </row>
    <row r="23" spans="1:17" x14ac:dyDescent="0.3">
      <c r="A23" s="64" t="s">
        <v>54</v>
      </c>
      <c r="B23" s="89">
        <f t="shared" si="8"/>
        <v>45739</v>
      </c>
      <c r="C23" s="35">
        <f>B23+4</f>
        <v>45743</v>
      </c>
      <c r="D23" s="80">
        <f t="shared" si="2"/>
        <v>4</v>
      </c>
      <c r="E23" s="80">
        <f t="shared" si="0"/>
        <v>4</v>
      </c>
      <c r="F23" s="80">
        <f t="shared" si="1"/>
        <v>96</v>
      </c>
      <c r="G23" s="80">
        <v>0</v>
      </c>
      <c r="H23" s="80">
        <f t="shared" si="3"/>
        <v>0</v>
      </c>
      <c r="I23" s="161">
        <f t="shared" si="4"/>
        <v>0</v>
      </c>
      <c r="L23" s="126" t="s">
        <v>55</v>
      </c>
      <c r="M23" s="127" t="s">
        <v>25</v>
      </c>
      <c r="P23" s="175" t="s">
        <v>56</v>
      </c>
      <c r="Q23" s="172" t="s">
        <v>57</v>
      </c>
    </row>
    <row r="24" spans="1:17" x14ac:dyDescent="0.3">
      <c r="A24" s="64" t="s">
        <v>58</v>
      </c>
      <c r="B24" s="89">
        <f t="shared" si="8"/>
        <v>45739</v>
      </c>
      <c r="C24" s="35">
        <f>B24+4</f>
        <v>45743</v>
      </c>
      <c r="D24" s="80">
        <f>C24-B24</f>
        <v>4</v>
      </c>
      <c r="E24" s="80">
        <f t="shared" si="0"/>
        <v>4</v>
      </c>
      <c r="F24" s="80">
        <f t="shared" si="1"/>
        <v>96</v>
      </c>
      <c r="G24" s="80">
        <v>0</v>
      </c>
      <c r="H24" s="80">
        <f>IF(G24=1,24.36,IF(G24=2,29.02,IF(G24=3,45.82,IF(G24=4,33.93,0))))</f>
        <v>0</v>
      </c>
      <c r="I24" s="161">
        <f>H24*8*E24</f>
        <v>0</v>
      </c>
      <c r="L24" s="119" t="s">
        <v>59</v>
      </c>
      <c r="M24" s="131">
        <v>338</v>
      </c>
      <c r="P24" s="175" t="s">
        <v>60</v>
      </c>
      <c r="Q24" s="172" t="s">
        <v>61</v>
      </c>
    </row>
    <row r="25" spans="1:17" ht="15" customHeight="1" x14ac:dyDescent="0.3">
      <c r="A25" s="64" t="s">
        <v>62</v>
      </c>
      <c r="B25" s="89">
        <f t="shared" si="8"/>
        <v>45739</v>
      </c>
      <c r="C25" s="35">
        <f>B25+2</f>
        <v>45741</v>
      </c>
      <c r="D25" s="80">
        <f t="shared" si="2"/>
        <v>2</v>
      </c>
      <c r="E25" s="80">
        <f t="shared" si="0"/>
        <v>2</v>
      </c>
      <c r="F25" s="80">
        <f t="shared" si="1"/>
        <v>48</v>
      </c>
      <c r="G25" s="80">
        <v>0</v>
      </c>
      <c r="H25" s="80">
        <f t="shared" si="3"/>
        <v>0</v>
      </c>
      <c r="I25" s="161">
        <f t="shared" si="4"/>
        <v>0</v>
      </c>
      <c r="L25" s="119" t="s">
        <v>63</v>
      </c>
      <c r="M25" s="132">
        <v>1340</v>
      </c>
      <c r="P25" s="175" t="s">
        <v>64</v>
      </c>
      <c r="Q25" s="176">
        <v>301.33</v>
      </c>
    </row>
    <row r="26" spans="1:17" ht="15" customHeight="1" x14ac:dyDescent="0.3">
      <c r="A26" s="64" t="s">
        <v>65</v>
      </c>
      <c r="B26" s="89">
        <f t="shared" si="8"/>
        <v>45739</v>
      </c>
      <c r="C26" s="35">
        <f>B26+5</f>
        <v>45744</v>
      </c>
      <c r="D26" s="80">
        <f t="shared" si="2"/>
        <v>5</v>
      </c>
      <c r="E26" s="80">
        <f t="shared" si="0"/>
        <v>5</v>
      </c>
      <c r="F26" s="80">
        <f t="shared" si="1"/>
        <v>120</v>
      </c>
      <c r="G26" s="80">
        <v>0</v>
      </c>
      <c r="H26" s="80">
        <f t="shared" si="3"/>
        <v>0</v>
      </c>
      <c r="I26" s="161">
        <f t="shared" si="4"/>
        <v>0</v>
      </c>
      <c r="L26" s="120" t="s">
        <v>66</v>
      </c>
      <c r="M26" s="133">
        <v>71.03</v>
      </c>
    </row>
    <row r="27" spans="1:17" ht="15" customHeight="1" x14ac:dyDescent="0.3">
      <c r="A27" s="64" t="s">
        <v>67</v>
      </c>
      <c r="B27" s="89">
        <f t="shared" si="8"/>
        <v>45739</v>
      </c>
      <c r="C27" s="35">
        <f>B27+5</f>
        <v>45744</v>
      </c>
      <c r="D27" s="80">
        <f t="shared" si="2"/>
        <v>5</v>
      </c>
      <c r="E27" s="80">
        <f t="shared" si="0"/>
        <v>5</v>
      </c>
      <c r="F27" s="80">
        <f t="shared" si="1"/>
        <v>120</v>
      </c>
      <c r="G27" s="80">
        <v>0</v>
      </c>
      <c r="H27" s="80">
        <f t="shared" si="3"/>
        <v>0</v>
      </c>
      <c r="I27" s="161">
        <f t="shared" si="4"/>
        <v>0</v>
      </c>
      <c r="L27" s="119" t="s">
        <v>68</v>
      </c>
      <c r="M27" s="131">
        <f>16.4*2</f>
        <v>32.799999999999997</v>
      </c>
    </row>
    <row r="28" spans="1:17" ht="15" customHeight="1" x14ac:dyDescent="0.3">
      <c r="A28" s="64" t="s">
        <v>69</v>
      </c>
      <c r="B28" s="89">
        <f t="shared" si="8"/>
        <v>45739</v>
      </c>
      <c r="C28" s="35">
        <f>B28+9</f>
        <v>45748</v>
      </c>
      <c r="D28" s="80">
        <f>C28-B28</f>
        <v>9</v>
      </c>
      <c r="E28" s="80">
        <f t="shared" si="0"/>
        <v>9</v>
      </c>
      <c r="F28" s="80">
        <f t="shared" si="1"/>
        <v>216</v>
      </c>
      <c r="G28" s="80">
        <v>0</v>
      </c>
      <c r="H28" s="80">
        <f>IF(G28=1,24.36,IF(G28=2,29.02,IF(G28=3,45.82,IF(G28=4,33.93,0))))</f>
        <v>0</v>
      </c>
      <c r="I28" s="161">
        <f>H28*8*E28</f>
        <v>0</v>
      </c>
      <c r="L28" s="119" t="s">
        <v>70</v>
      </c>
      <c r="M28" s="131">
        <v>47</v>
      </c>
    </row>
    <row r="29" spans="1:17" x14ac:dyDescent="0.3">
      <c r="A29" s="64" t="s">
        <v>71</v>
      </c>
      <c r="B29" s="89">
        <f t="shared" si="8"/>
        <v>45739</v>
      </c>
      <c r="C29" s="35">
        <f>B29+8</f>
        <v>45747</v>
      </c>
      <c r="D29" s="80">
        <f t="shared" si="2"/>
        <v>8</v>
      </c>
      <c r="E29" s="80">
        <f t="shared" si="0"/>
        <v>8</v>
      </c>
      <c r="F29" s="80">
        <f t="shared" si="1"/>
        <v>192</v>
      </c>
      <c r="G29" s="80">
        <v>0</v>
      </c>
      <c r="H29" s="80">
        <f t="shared" si="3"/>
        <v>0</v>
      </c>
      <c r="I29" s="161">
        <f t="shared" si="4"/>
        <v>0</v>
      </c>
      <c r="L29" s="119" t="s">
        <v>72</v>
      </c>
      <c r="M29" s="131">
        <v>38</v>
      </c>
    </row>
    <row r="30" spans="1:17" x14ac:dyDescent="0.3">
      <c r="A30" s="65" t="s">
        <v>33</v>
      </c>
      <c r="B30" s="36">
        <f>MIN(B31:B35)</f>
        <v>45741</v>
      </c>
      <c r="C30" s="37">
        <f>MAX(C31:C35)</f>
        <v>45749</v>
      </c>
      <c r="D30" s="159">
        <f t="shared" si="2"/>
        <v>8</v>
      </c>
      <c r="E30" s="159">
        <f t="shared" si="0"/>
        <v>8</v>
      </c>
      <c r="F30" s="159">
        <f t="shared" si="1"/>
        <v>192</v>
      </c>
      <c r="G30" s="159">
        <v>0</v>
      </c>
      <c r="H30" s="159">
        <f t="shared" si="3"/>
        <v>0</v>
      </c>
      <c r="I30" s="160">
        <f>SUM(I31:I35)</f>
        <v>928.64</v>
      </c>
      <c r="L30" s="119" t="s">
        <v>73</v>
      </c>
      <c r="M30" s="131">
        <f>3.7*2</f>
        <v>7.4</v>
      </c>
    </row>
    <row r="31" spans="1:17" x14ac:dyDescent="0.3">
      <c r="A31" s="66" t="s">
        <v>74</v>
      </c>
      <c r="B31" s="86">
        <f>C25</f>
        <v>45741</v>
      </c>
      <c r="C31" s="38">
        <f>B31</f>
        <v>45741</v>
      </c>
      <c r="D31" s="80">
        <f t="shared" si="2"/>
        <v>0</v>
      </c>
      <c r="E31" s="80">
        <f t="shared" si="0"/>
        <v>0.5</v>
      </c>
      <c r="F31" s="80">
        <f t="shared" si="1"/>
        <v>12</v>
      </c>
      <c r="G31" s="80">
        <v>2</v>
      </c>
      <c r="H31" s="80">
        <f t="shared" si="3"/>
        <v>29.02</v>
      </c>
      <c r="I31" s="161">
        <f t="shared" si="4"/>
        <v>116.08</v>
      </c>
      <c r="L31" s="119" t="s">
        <v>75</v>
      </c>
      <c r="M31" s="131">
        <v>3.1</v>
      </c>
    </row>
    <row r="32" spans="1:17" x14ac:dyDescent="0.3">
      <c r="A32" s="66" t="s">
        <v>76</v>
      </c>
      <c r="B32" s="86">
        <f>C26</f>
        <v>45744</v>
      </c>
      <c r="C32" s="38">
        <f>B32</f>
        <v>45744</v>
      </c>
      <c r="D32" s="80">
        <f t="shared" si="2"/>
        <v>0</v>
      </c>
      <c r="E32" s="80">
        <f t="shared" si="0"/>
        <v>0.5</v>
      </c>
      <c r="F32" s="80">
        <f t="shared" si="1"/>
        <v>12</v>
      </c>
      <c r="G32" s="80">
        <v>2</v>
      </c>
      <c r="H32" s="80">
        <f t="shared" si="3"/>
        <v>29.02</v>
      </c>
      <c r="I32" s="161">
        <f t="shared" si="4"/>
        <v>116.08</v>
      </c>
      <c r="L32" s="119" t="s">
        <v>77</v>
      </c>
      <c r="M32" s="131">
        <v>5.2</v>
      </c>
      <c r="Q32" s="125"/>
    </row>
    <row r="33" spans="1:16" x14ac:dyDescent="0.3">
      <c r="A33" s="66" t="s">
        <v>78</v>
      </c>
      <c r="B33" s="86">
        <f>MAX(C24,C27,C23,C22)</f>
        <v>45748</v>
      </c>
      <c r="C33" s="38">
        <f>B33+1</f>
        <v>45749</v>
      </c>
      <c r="D33" s="80">
        <f t="shared" si="2"/>
        <v>1</v>
      </c>
      <c r="E33" s="80">
        <f t="shared" si="0"/>
        <v>1</v>
      </c>
      <c r="F33" s="80">
        <f t="shared" si="1"/>
        <v>24</v>
      </c>
      <c r="G33" s="80">
        <v>2</v>
      </c>
      <c r="H33" s="80">
        <f t="shared" si="3"/>
        <v>29.02</v>
      </c>
      <c r="I33" s="161">
        <f t="shared" si="4"/>
        <v>232.16</v>
      </c>
      <c r="L33" s="119" t="s">
        <v>79</v>
      </c>
      <c r="M33" s="131">
        <v>3</v>
      </c>
    </row>
    <row r="34" spans="1:16" x14ac:dyDescent="0.3">
      <c r="A34" s="66" t="s">
        <v>80</v>
      </c>
      <c r="B34" s="86">
        <f>C28</f>
        <v>45748</v>
      </c>
      <c r="C34" s="38">
        <f>B34+1</f>
        <v>45749</v>
      </c>
      <c r="D34" s="80">
        <f t="shared" ref="D34" si="9">C34-B34</f>
        <v>1</v>
      </c>
      <c r="E34" s="80">
        <f t="shared" si="0"/>
        <v>1</v>
      </c>
      <c r="F34" s="80">
        <f t="shared" si="1"/>
        <v>24</v>
      </c>
      <c r="G34" s="80">
        <v>2</v>
      </c>
      <c r="H34" s="80">
        <f t="shared" ref="H34" si="10">IF(G34=1,24.36,IF(G34=2,29.02,IF(G34=3,45.82,IF(G34=4,33.93,0))))</f>
        <v>29.02</v>
      </c>
      <c r="I34" s="161">
        <f t="shared" ref="I34" si="11">H34*8*E34</f>
        <v>232.16</v>
      </c>
      <c r="L34" s="119" t="s">
        <v>81</v>
      </c>
      <c r="M34" s="131">
        <v>2.5</v>
      </c>
    </row>
    <row r="35" spans="1:16" x14ac:dyDescent="0.3">
      <c r="A35" s="66" t="s">
        <v>82</v>
      </c>
      <c r="B35" s="86">
        <f>C29</f>
        <v>45747</v>
      </c>
      <c r="C35" s="38">
        <f>B35+1</f>
        <v>45748</v>
      </c>
      <c r="D35" s="80">
        <f t="shared" si="2"/>
        <v>1</v>
      </c>
      <c r="E35" s="80">
        <f t="shared" si="0"/>
        <v>1</v>
      </c>
      <c r="F35" s="80">
        <f t="shared" si="1"/>
        <v>24</v>
      </c>
      <c r="G35" s="80">
        <v>2</v>
      </c>
      <c r="H35" s="80">
        <f t="shared" si="3"/>
        <v>29.02</v>
      </c>
      <c r="I35" s="161">
        <f t="shared" si="4"/>
        <v>232.16</v>
      </c>
      <c r="L35" s="119" t="s">
        <v>83</v>
      </c>
      <c r="M35" s="131">
        <v>10</v>
      </c>
    </row>
    <row r="36" spans="1:16" x14ac:dyDescent="0.3">
      <c r="A36" s="67" t="s">
        <v>35</v>
      </c>
      <c r="B36" s="39">
        <f>MIN(B37:B43)</f>
        <v>45749</v>
      </c>
      <c r="C36" s="40">
        <f>MAX(C37:C43)</f>
        <v>45759</v>
      </c>
      <c r="D36" s="159">
        <f t="shared" si="2"/>
        <v>10</v>
      </c>
      <c r="E36" s="159">
        <f t="shared" si="0"/>
        <v>10</v>
      </c>
      <c r="F36" s="159">
        <f t="shared" si="1"/>
        <v>240</v>
      </c>
      <c r="G36" s="159">
        <v>0</v>
      </c>
      <c r="H36" s="159">
        <v>0</v>
      </c>
      <c r="I36" s="160">
        <f>SUM(I37:I43)</f>
        <v>1741.1999999999998</v>
      </c>
      <c r="L36" s="119" t="s">
        <v>84</v>
      </c>
      <c r="M36" s="131">
        <v>17</v>
      </c>
      <c r="P36" s="125"/>
    </row>
    <row r="37" spans="1:16" x14ac:dyDescent="0.3">
      <c r="A37" s="68" t="s">
        <v>85</v>
      </c>
      <c r="B37" s="90">
        <f>C35+1</f>
        <v>45749</v>
      </c>
      <c r="C37" s="41">
        <f>B37+2</f>
        <v>45751</v>
      </c>
      <c r="D37" s="80">
        <f t="shared" si="2"/>
        <v>2</v>
      </c>
      <c r="E37" s="80">
        <f t="shared" si="0"/>
        <v>2</v>
      </c>
      <c r="F37" s="80">
        <f t="shared" si="1"/>
        <v>48</v>
      </c>
      <c r="G37" s="80">
        <v>2</v>
      </c>
      <c r="H37" s="80">
        <f t="shared" si="3"/>
        <v>29.02</v>
      </c>
      <c r="I37" s="161">
        <f t="shared" si="4"/>
        <v>464.32</v>
      </c>
      <c r="L37" s="119" t="s">
        <v>86</v>
      </c>
      <c r="M37" s="131">
        <v>12</v>
      </c>
    </row>
    <row r="38" spans="1:16" x14ac:dyDescent="0.3">
      <c r="A38" s="68" t="s">
        <v>87</v>
      </c>
      <c r="B38" s="90">
        <f>MAX(C53,C31)+1</f>
        <v>45755</v>
      </c>
      <c r="C38" s="41">
        <f>B38</f>
        <v>45755</v>
      </c>
      <c r="D38" s="80">
        <f t="shared" si="2"/>
        <v>0</v>
      </c>
      <c r="E38" s="80">
        <f t="shared" si="0"/>
        <v>0.5</v>
      </c>
      <c r="F38" s="80">
        <f t="shared" si="1"/>
        <v>12</v>
      </c>
      <c r="G38" s="80">
        <v>2</v>
      </c>
      <c r="H38" s="80">
        <f t="shared" si="3"/>
        <v>29.02</v>
      </c>
      <c r="I38" s="161">
        <f t="shared" si="4"/>
        <v>116.08</v>
      </c>
      <c r="L38" s="119" t="s">
        <v>88</v>
      </c>
      <c r="M38" s="131">
        <v>6</v>
      </c>
    </row>
    <row r="39" spans="1:16" x14ac:dyDescent="0.3">
      <c r="A39" s="68" t="s">
        <v>89</v>
      </c>
      <c r="B39" s="90">
        <f>MAX(C53,C32)+1</f>
        <v>45755</v>
      </c>
      <c r="C39" s="41">
        <f>B39</f>
        <v>45755</v>
      </c>
      <c r="D39" s="80">
        <f t="shared" si="2"/>
        <v>0</v>
      </c>
      <c r="E39" s="80">
        <f t="shared" si="0"/>
        <v>0.5</v>
      </c>
      <c r="F39" s="80">
        <f t="shared" si="1"/>
        <v>12</v>
      </c>
      <c r="G39" s="80">
        <v>2</v>
      </c>
      <c r="H39" s="80">
        <f t="shared" si="3"/>
        <v>29.02</v>
      </c>
      <c r="I39" s="161">
        <f t="shared" si="4"/>
        <v>116.08</v>
      </c>
      <c r="L39" s="119" t="s">
        <v>90</v>
      </c>
      <c r="M39" s="131">
        <v>10</v>
      </c>
    </row>
    <row r="40" spans="1:16" x14ac:dyDescent="0.3">
      <c r="A40" s="68" t="s">
        <v>91</v>
      </c>
      <c r="B40" s="90">
        <f>MAX(C33,C53,C51,C52)+1</f>
        <v>45755</v>
      </c>
      <c r="C40" s="41">
        <f>B40+1</f>
        <v>45756</v>
      </c>
      <c r="D40" s="80">
        <f t="shared" si="2"/>
        <v>1</v>
      </c>
      <c r="E40" s="80">
        <f t="shared" si="0"/>
        <v>1</v>
      </c>
      <c r="F40" s="80">
        <f t="shared" si="1"/>
        <v>24</v>
      </c>
      <c r="G40" s="80">
        <v>2</v>
      </c>
      <c r="H40" s="80">
        <f t="shared" si="3"/>
        <v>29.02</v>
      </c>
      <c r="I40" s="161">
        <f t="shared" si="4"/>
        <v>232.16</v>
      </c>
      <c r="L40" s="119" t="s">
        <v>92</v>
      </c>
      <c r="M40" s="131">
        <v>20</v>
      </c>
    </row>
    <row r="41" spans="1:16" x14ac:dyDescent="0.3">
      <c r="A41" s="68" t="s">
        <v>93</v>
      </c>
      <c r="B41" s="90">
        <f>MAX(C53,C33)</f>
        <v>45754</v>
      </c>
      <c r="C41" s="41">
        <f>B41+1</f>
        <v>45755</v>
      </c>
      <c r="D41" s="80">
        <f t="shared" si="2"/>
        <v>1</v>
      </c>
      <c r="E41" s="80">
        <f t="shared" si="0"/>
        <v>1</v>
      </c>
      <c r="F41" s="80">
        <f t="shared" si="1"/>
        <v>24</v>
      </c>
      <c r="G41" s="80">
        <v>2</v>
      </c>
      <c r="H41" s="80">
        <f t="shared" si="3"/>
        <v>29.02</v>
      </c>
      <c r="I41" s="161">
        <f t="shared" si="4"/>
        <v>232.16</v>
      </c>
      <c r="L41" s="119" t="s">
        <v>94</v>
      </c>
      <c r="M41" s="131">
        <v>17</v>
      </c>
    </row>
    <row r="42" spans="1:16" x14ac:dyDescent="0.3">
      <c r="A42" s="68" t="s">
        <v>95</v>
      </c>
      <c r="B42" s="90">
        <f>MAX(C34,C37)+1</f>
        <v>45752</v>
      </c>
      <c r="C42" s="41">
        <f>B42</f>
        <v>45752</v>
      </c>
      <c r="D42" s="80">
        <f t="shared" si="2"/>
        <v>0</v>
      </c>
      <c r="E42" s="80">
        <f t="shared" si="0"/>
        <v>0.5</v>
      </c>
      <c r="F42" s="80">
        <f t="shared" si="1"/>
        <v>12</v>
      </c>
      <c r="G42" s="80">
        <v>2</v>
      </c>
      <c r="H42" s="80">
        <f t="shared" si="3"/>
        <v>29.02</v>
      </c>
      <c r="I42" s="161">
        <f t="shared" si="4"/>
        <v>116.08</v>
      </c>
      <c r="L42" s="83" t="s">
        <v>96</v>
      </c>
      <c r="M42" s="130">
        <f>SUM(M24:M41)</f>
        <v>1980.03</v>
      </c>
    </row>
    <row r="43" spans="1:16" x14ac:dyDescent="0.3">
      <c r="A43" s="68" t="s">
        <v>97</v>
      </c>
      <c r="B43" s="90">
        <f>MAX(C39,C38,C40,C41)+1</f>
        <v>45757</v>
      </c>
      <c r="C43" s="41">
        <f>B43+2</f>
        <v>45759</v>
      </c>
      <c r="D43" s="80">
        <f t="shared" si="2"/>
        <v>2</v>
      </c>
      <c r="E43" s="80">
        <f t="shared" si="0"/>
        <v>2</v>
      </c>
      <c r="F43" s="80">
        <f t="shared" si="1"/>
        <v>48</v>
      </c>
      <c r="G43" s="80">
        <v>2</v>
      </c>
      <c r="H43" s="80">
        <f t="shared" si="3"/>
        <v>29.02</v>
      </c>
      <c r="I43" s="161">
        <f t="shared" si="4"/>
        <v>464.32</v>
      </c>
    </row>
    <row r="44" spans="1:16" x14ac:dyDescent="0.3">
      <c r="A44" s="69" t="s">
        <v>37</v>
      </c>
      <c r="B44" s="42">
        <f>MIN(B45:B48)</f>
        <v>45733</v>
      </c>
      <c r="C44" s="43">
        <f>MAX(C45:C48)</f>
        <v>45735</v>
      </c>
      <c r="D44" s="159">
        <f t="shared" si="2"/>
        <v>2</v>
      </c>
      <c r="E44" s="159">
        <f t="shared" si="0"/>
        <v>2</v>
      </c>
      <c r="F44" s="159">
        <f t="shared" si="1"/>
        <v>48</v>
      </c>
      <c r="G44" s="159">
        <v>0</v>
      </c>
      <c r="H44" s="159">
        <f t="shared" si="3"/>
        <v>0</v>
      </c>
      <c r="I44" s="160">
        <f>SUM(I45:I48)</f>
        <v>814.31999999999994</v>
      </c>
      <c r="L44" s="156" t="s">
        <v>98</v>
      </c>
      <c r="M44" s="178">
        <v>565.71</v>
      </c>
    </row>
    <row r="45" spans="1:16" x14ac:dyDescent="0.3">
      <c r="A45" s="70" t="s">
        <v>99</v>
      </c>
      <c r="B45" s="91">
        <f>C7+1</f>
        <v>45733</v>
      </c>
      <c r="C45" s="44">
        <f>B45</f>
        <v>45733</v>
      </c>
      <c r="D45" s="80">
        <f t="shared" si="2"/>
        <v>0</v>
      </c>
      <c r="E45" s="80">
        <f t="shared" si="0"/>
        <v>0.5</v>
      </c>
      <c r="F45" s="80">
        <f t="shared" si="1"/>
        <v>12</v>
      </c>
      <c r="G45" s="80">
        <v>4</v>
      </c>
      <c r="H45" s="80">
        <f t="shared" si="3"/>
        <v>33.93</v>
      </c>
      <c r="I45" s="161">
        <f>E45*H45*8</f>
        <v>135.72</v>
      </c>
      <c r="L45" s="156" t="s">
        <v>45</v>
      </c>
      <c r="M45" s="178">
        <v>206.6</v>
      </c>
    </row>
    <row r="46" spans="1:16" x14ac:dyDescent="0.3">
      <c r="A46" s="70" t="s">
        <v>100</v>
      </c>
      <c r="B46" s="91">
        <f>C7+1</f>
        <v>45733</v>
      </c>
      <c r="C46" s="44">
        <f>B46</f>
        <v>45733</v>
      </c>
      <c r="D46" s="80">
        <f t="shared" si="2"/>
        <v>0</v>
      </c>
      <c r="E46" s="80">
        <f t="shared" si="0"/>
        <v>0.5</v>
      </c>
      <c r="F46" s="80">
        <f t="shared" si="1"/>
        <v>12</v>
      </c>
      <c r="G46" s="80">
        <v>4</v>
      </c>
      <c r="H46" s="80">
        <f t="shared" si="3"/>
        <v>33.93</v>
      </c>
      <c r="I46" s="161">
        <f t="shared" si="4"/>
        <v>135.72</v>
      </c>
      <c r="L46" s="124" t="s">
        <v>101</v>
      </c>
      <c r="M46" s="134">
        <f>M44+M45</f>
        <v>772.31000000000006</v>
      </c>
    </row>
    <row r="47" spans="1:16" x14ac:dyDescent="0.3">
      <c r="A47" s="70" t="s">
        <v>102</v>
      </c>
      <c r="B47" s="91">
        <f>MAX(C45:C46)+1</f>
        <v>45734</v>
      </c>
      <c r="C47" s="44">
        <f>B47+1</f>
        <v>45735</v>
      </c>
      <c r="D47" s="80">
        <f t="shared" si="2"/>
        <v>1</v>
      </c>
      <c r="E47" s="80">
        <f t="shared" si="0"/>
        <v>1</v>
      </c>
      <c r="F47" s="80">
        <f t="shared" si="1"/>
        <v>24</v>
      </c>
      <c r="G47" s="80">
        <v>4</v>
      </c>
      <c r="H47" s="80">
        <f t="shared" si="3"/>
        <v>33.93</v>
      </c>
      <c r="I47" s="161">
        <f t="shared" si="4"/>
        <v>271.44</v>
      </c>
    </row>
    <row r="48" spans="1:16" x14ac:dyDescent="0.3">
      <c r="A48" s="70" t="s">
        <v>103</v>
      </c>
      <c r="B48" s="44">
        <f>C7+1</f>
        <v>45733</v>
      </c>
      <c r="C48" s="44">
        <f>B48+1</f>
        <v>45734</v>
      </c>
      <c r="D48" s="80">
        <f t="shared" si="2"/>
        <v>1</v>
      </c>
      <c r="E48" s="80">
        <f t="shared" si="0"/>
        <v>1</v>
      </c>
      <c r="F48" s="80">
        <f t="shared" si="1"/>
        <v>24</v>
      </c>
      <c r="G48" s="80">
        <v>4</v>
      </c>
      <c r="H48" s="80">
        <f t="shared" si="3"/>
        <v>33.93</v>
      </c>
      <c r="I48" s="161">
        <f t="shared" si="4"/>
        <v>271.44</v>
      </c>
      <c r="L48" s="157" t="s">
        <v>104</v>
      </c>
      <c r="M48" s="158">
        <f>40/100*M59</f>
        <v>9762.1239999999998</v>
      </c>
    </row>
    <row r="49" spans="1:13" x14ac:dyDescent="0.3">
      <c r="A49" s="71" t="s">
        <v>39</v>
      </c>
      <c r="B49" s="45">
        <f>MIN(B50:B54)</f>
        <v>45734</v>
      </c>
      <c r="C49" s="46">
        <f>MAX(C50:C54)</f>
        <v>45760</v>
      </c>
      <c r="D49" s="159">
        <f t="shared" si="2"/>
        <v>26</v>
      </c>
      <c r="E49" s="159">
        <f t="shared" si="0"/>
        <v>26</v>
      </c>
      <c r="F49" s="159">
        <f t="shared" si="1"/>
        <v>624</v>
      </c>
      <c r="G49" s="159">
        <v>0</v>
      </c>
      <c r="H49" s="159">
        <f t="shared" si="3"/>
        <v>0</v>
      </c>
      <c r="I49" s="160">
        <f>SUM(I50:I54)</f>
        <v>1778.2799999999997</v>
      </c>
    </row>
    <row r="50" spans="1:13" x14ac:dyDescent="0.3">
      <c r="A50" s="72" t="s">
        <v>105</v>
      </c>
      <c r="B50" s="92">
        <f>C48</f>
        <v>45734</v>
      </c>
      <c r="C50" s="47">
        <f>B50+1</f>
        <v>45735</v>
      </c>
      <c r="D50" s="80">
        <f t="shared" si="2"/>
        <v>1</v>
      </c>
      <c r="E50" s="80">
        <f t="shared" si="0"/>
        <v>1</v>
      </c>
      <c r="F50" s="80">
        <f t="shared" si="1"/>
        <v>24</v>
      </c>
      <c r="G50" s="80">
        <v>4</v>
      </c>
      <c r="H50" s="80">
        <f t="shared" si="3"/>
        <v>33.93</v>
      </c>
      <c r="I50" s="161">
        <f>E50*8*H50</f>
        <v>271.44</v>
      </c>
    </row>
    <row r="51" spans="1:13" x14ac:dyDescent="0.3">
      <c r="A51" s="72" t="s">
        <v>106</v>
      </c>
      <c r="B51" s="92">
        <f>C47</f>
        <v>45735</v>
      </c>
      <c r="C51" s="47">
        <f>B51</f>
        <v>45735</v>
      </c>
      <c r="D51" s="80">
        <f t="shared" si="2"/>
        <v>0</v>
      </c>
      <c r="E51" s="80">
        <f t="shared" si="0"/>
        <v>0.5</v>
      </c>
      <c r="F51" s="80">
        <f t="shared" si="1"/>
        <v>12</v>
      </c>
      <c r="G51" s="80">
        <v>4</v>
      </c>
      <c r="H51" s="80">
        <f t="shared" si="3"/>
        <v>33.93</v>
      </c>
      <c r="I51" s="161">
        <f t="shared" si="4"/>
        <v>135.72</v>
      </c>
    </row>
    <row r="52" spans="1:13" ht="14.4" customHeight="1" x14ac:dyDescent="0.3">
      <c r="A52" s="72" t="s">
        <v>107</v>
      </c>
      <c r="B52" s="92">
        <f>C50+1</f>
        <v>45736</v>
      </c>
      <c r="C52" s="47">
        <f>B52+1</f>
        <v>45737</v>
      </c>
      <c r="D52" s="80">
        <f t="shared" si="2"/>
        <v>1</v>
      </c>
      <c r="E52" s="80">
        <f t="shared" si="0"/>
        <v>1</v>
      </c>
      <c r="F52" s="80">
        <f t="shared" si="1"/>
        <v>24</v>
      </c>
      <c r="G52" s="80">
        <v>4</v>
      </c>
      <c r="H52" s="80">
        <f t="shared" si="3"/>
        <v>33.93</v>
      </c>
      <c r="I52" s="161">
        <f t="shared" si="4"/>
        <v>271.44</v>
      </c>
    </row>
    <row r="53" spans="1:13" x14ac:dyDescent="0.3">
      <c r="A53" s="72" t="s">
        <v>108</v>
      </c>
      <c r="B53" s="92">
        <f>C42</f>
        <v>45752</v>
      </c>
      <c r="C53" s="47">
        <f>B53+2</f>
        <v>45754</v>
      </c>
      <c r="D53" s="80">
        <f>C53-B53</f>
        <v>2</v>
      </c>
      <c r="E53" s="80">
        <f t="shared" si="0"/>
        <v>2</v>
      </c>
      <c r="F53" s="80">
        <f t="shared" si="1"/>
        <v>48</v>
      </c>
      <c r="G53" s="80">
        <v>3</v>
      </c>
      <c r="H53" s="80">
        <f>IF(G53=1,24.36,IF(G53=2,29.02,IF(G53=3,45.82,IF(G53=4,33.93,0))))</f>
        <v>45.82</v>
      </c>
      <c r="I53" s="161">
        <f>H53*8*E53</f>
        <v>733.12</v>
      </c>
    </row>
    <row r="54" spans="1:13" x14ac:dyDescent="0.3">
      <c r="A54" s="72" t="s">
        <v>109</v>
      </c>
      <c r="B54" s="92">
        <f>C43</f>
        <v>45759</v>
      </c>
      <c r="C54" s="47">
        <f>B54+1</f>
        <v>45760</v>
      </c>
      <c r="D54" s="80">
        <f t="shared" si="2"/>
        <v>1</v>
      </c>
      <c r="E54" s="80">
        <f t="shared" si="0"/>
        <v>1</v>
      </c>
      <c r="F54" s="80">
        <f t="shared" si="1"/>
        <v>24</v>
      </c>
      <c r="G54" s="80">
        <v>3</v>
      </c>
      <c r="H54" s="80">
        <f t="shared" si="3"/>
        <v>45.82</v>
      </c>
      <c r="I54" s="161">
        <f t="shared" si="4"/>
        <v>366.56</v>
      </c>
    </row>
    <row r="55" spans="1:13" x14ac:dyDescent="0.3">
      <c r="A55" s="73" t="s">
        <v>41</v>
      </c>
      <c r="B55" s="48">
        <f>MIN(B56:B60)</f>
        <v>45761</v>
      </c>
      <c r="C55" s="49">
        <f>MAX(C56:C60)</f>
        <v>45770</v>
      </c>
      <c r="D55" s="159">
        <f t="shared" si="2"/>
        <v>9</v>
      </c>
      <c r="E55" s="159">
        <f t="shared" si="0"/>
        <v>9</v>
      </c>
      <c r="F55" s="159">
        <f t="shared" si="1"/>
        <v>216</v>
      </c>
      <c r="G55" s="159">
        <v>0</v>
      </c>
      <c r="H55" s="159">
        <f t="shared" si="3"/>
        <v>0</v>
      </c>
      <c r="I55" s="160">
        <f>SUM(I56:I60)</f>
        <v>2382.6400000000003</v>
      </c>
    </row>
    <row r="56" spans="1:13" x14ac:dyDescent="0.3">
      <c r="A56" s="135" t="s">
        <v>110</v>
      </c>
      <c r="B56" s="93">
        <f>C54+1</f>
        <v>45761</v>
      </c>
      <c r="C56" s="50">
        <f>B56+1</f>
        <v>45762</v>
      </c>
      <c r="D56" s="80">
        <f t="shared" si="2"/>
        <v>1</v>
      </c>
      <c r="E56" s="80">
        <f t="shared" si="0"/>
        <v>1</v>
      </c>
      <c r="F56" s="80">
        <f t="shared" si="1"/>
        <v>24</v>
      </c>
      <c r="G56" s="80">
        <v>3</v>
      </c>
      <c r="H56" s="80">
        <f t="shared" si="3"/>
        <v>45.82</v>
      </c>
      <c r="I56" s="161">
        <f t="shared" si="4"/>
        <v>366.56</v>
      </c>
    </row>
    <row r="57" spans="1:13" x14ac:dyDescent="0.3">
      <c r="A57" s="135" t="s">
        <v>111</v>
      </c>
      <c r="B57" s="93">
        <f>C56+1</f>
        <v>45763</v>
      </c>
      <c r="C57" s="50">
        <f>B57+2</f>
        <v>45765</v>
      </c>
      <c r="D57" s="80">
        <f t="shared" si="2"/>
        <v>2</v>
      </c>
      <c r="E57" s="80">
        <f t="shared" si="0"/>
        <v>2</v>
      </c>
      <c r="F57" s="80">
        <f t="shared" si="1"/>
        <v>48</v>
      </c>
      <c r="G57" s="80">
        <v>3</v>
      </c>
      <c r="H57" s="80">
        <f t="shared" si="3"/>
        <v>45.82</v>
      </c>
      <c r="I57" s="161">
        <f t="shared" si="4"/>
        <v>733.12</v>
      </c>
    </row>
    <row r="58" spans="1:13" ht="14.4" customHeight="1" x14ac:dyDescent="0.3">
      <c r="A58" s="135" t="s">
        <v>112</v>
      </c>
      <c r="B58" s="93">
        <f>C57+1</f>
        <v>45766</v>
      </c>
      <c r="C58" s="50">
        <f>B58+2</f>
        <v>45768</v>
      </c>
      <c r="D58" s="80">
        <f t="shared" ref="D58" si="12">C58-B58</f>
        <v>2</v>
      </c>
      <c r="E58" s="80">
        <f t="shared" si="0"/>
        <v>2</v>
      </c>
      <c r="F58" s="80">
        <f t="shared" si="1"/>
        <v>48</v>
      </c>
      <c r="G58" s="80">
        <v>3</v>
      </c>
      <c r="H58" s="80">
        <f t="shared" ref="H58" si="13">IF(G58=1,24.36,IF(G58=2,29.02,IF(G58=3,45.82,IF(G58=4,33.93,0))))</f>
        <v>45.82</v>
      </c>
      <c r="I58" s="161">
        <f t="shared" ref="I58" si="14">H58*8*E58</f>
        <v>733.12</v>
      </c>
    </row>
    <row r="59" spans="1:13" ht="14.4" customHeight="1" x14ac:dyDescent="0.3">
      <c r="A59" s="135" t="s">
        <v>113</v>
      </c>
      <c r="B59" s="93">
        <f>C58+1</f>
        <v>45769</v>
      </c>
      <c r="C59" s="50">
        <f>B59+1</f>
        <v>45770</v>
      </c>
      <c r="D59" s="80">
        <f t="shared" si="2"/>
        <v>1</v>
      </c>
      <c r="E59" s="80">
        <f t="shared" si="0"/>
        <v>1</v>
      </c>
      <c r="F59" s="80">
        <f t="shared" si="1"/>
        <v>24</v>
      </c>
      <c r="G59" s="80">
        <v>3</v>
      </c>
      <c r="H59" s="80">
        <f t="shared" si="3"/>
        <v>45.82</v>
      </c>
      <c r="I59" s="161">
        <f t="shared" si="4"/>
        <v>366.56</v>
      </c>
      <c r="L59" s="179" t="s">
        <v>114</v>
      </c>
      <c r="M59" s="182">
        <f>SUM(M46,Q25,M42,M21)</f>
        <v>24405.309999999998</v>
      </c>
    </row>
    <row r="60" spans="1:13" ht="14.4" customHeight="1" x14ac:dyDescent="0.3">
      <c r="A60" s="135" t="s">
        <v>115</v>
      </c>
      <c r="B60" s="93">
        <f>C59</f>
        <v>45770</v>
      </c>
      <c r="C60" s="50">
        <f>B60</f>
        <v>45770</v>
      </c>
      <c r="D60" s="80">
        <f t="shared" si="2"/>
        <v>0</v>
      </c>
      <c r="E60" s="80">
        <f t="shared" si="0"/>
        <v>0.5</v>
      </c>
      <c r="F60" s="80">
        <f t="shared" si="1"/>
        <v>12</v>
      </c>
      <c r="G60" s="80">
        <v>3</v>
      </c>
      <c r="H60" s="80">
        <f t="shared" si="3"/>
        <v>45.82</v>
      </c>
      <c r="I60" s="161">
        <f t="shared" si="4"/>
        <v>183.28</v>
      </c>
      <c r="L60" s="180"/>
      <c r="M60" s="183"/>
    </row>
    <row r="61" spans="1:13" ht="14.4" customHeight="1" x14ac:dyDescent="0.3">
      <c r="A61" s="74" t="s">
        <v>98</v>
      </c>
      <c r="B61" s="51">
        <f>MIN(B62:B67)</f>
        <v>45770</v>
      </c>
      <c r="C61" s="52">
        <f>MAX(C62:C67)</f>
        <v>46308</v>
      </c>
      <c r="D61" s="159">
        <f t="shared" ref="D61:D66" si="15">C61-B61</f>
        <v>538</v>
      </c>
      <c r="E61" s="159">
        <f t="shared" si="0"/>
        <v>538</v>
      </c>
      <c r="F61" s="159">
        <f t="shared" si="1"/>
        <v>12912</v>
      </c>
      <c r="G61" s="159">
        <v>0</v>
      </c>
      <c r="H61" s="159">
        <f t="shared" si="3"/>
        <v>0</v>
      </c>
      <c r="I61" s="160">
        <f>SUM(I62:I67)</f>
        <v>779.52</v>
      </c>
      <c r="L61" s="180"/>
      <c r="M61" s="183"/>
    </row>
    <row r="62" spans="1:13" ht="14.4" customHeight="1" x14ac:dyDescent="0.3">
      <c r="A62" s="75" t="s">
        <v>116</v>
      </c>
      <c r="B62" s="94">
        <f>C60</f>
        <v>45770</v>
      </c>
      <c r="C62" s="53">
        <f>B62+1</f>
        <v>45771</v>
      </c>
      <c r="D62" s="80">
        <f t="shared" si="15"/>
        <v>1</v>
      </c>
      <c r="E62" s="80">
        <v>1</v>
      </c>
      <c r="F62" s="80">
        <f t="shared" si="1"/>
        <v>24</v>
      </c>
      <c r="G62" s="80">
        <v>1</v>
      </c>
      <c r="H62" s="80">
        <f>IF(G62=1,24.36,IF(G62=2,29.02,IF(G62=3,45.82,IF(G62=4,33.93,0))))</f>
        <v>24.36</v>
      </c>
      <c r="I62" s="161">
        <f t="shared" ref="I62:I67" si="16">H62*8*E62</f>
        <v>194.88</v>
      </c>
      <c r="L62" s="181"/>
      <c r="M62" s="184"/>
    </row>
    <row r="63" spans="1:13" x14ac:dyDescent="0.3">
      <c r="A63" s="75" t="s">
        <v>117</v>
      </c>
      <c r="B63" s="94">
        <f>C62</f>
        <v>45771</v>
      </c>
      <c r="C63" s="53">
        <f>B63+30</f>
        <v>45801</v>
      </c>
      <c r="D63" s="80">
        <f t="shared" si="15"/>
        <v>30</v>
      </c>
      <c r="E63" s="80">
        <v>0.5</v>
      </c>
      <c r="F63" s="80">
        <f t="shared" si="1"/>
        <v>12</v>
      </c>
      <c r="G63" s="80">
        <v>1</v>
      </c>
      <c r="H63" s="80">
        <f>IF(G62=1,24.36,IF(G62=2,29.02,IF(G62=3,45.82,IF(G62=4,33.93,0))))</f>
        <v>24.36</v>
      </c>
      <c r="I63" s="161">
        <f t="shared" si="16"/>
        <v>97.44</v>
      </c>
    </row>
    <row r="64" spans="1:13" x14ac:dyDescent="0.3">
      <c r="A64" s="75" t="s">
        <v>118</v>
      </c>
      <c r="B64" s="94">
        <f>C63</f>
        <v>45801</v>
      </c>
      <c r="C64" s="53">
        <f>B64+30</f>
        <v>45831</v>
      </c>
      <c r="D64" s="80">
        <f t="shared" si="15"/>
        <v>30</v>
      </c>
      <c r="E64" s="80">
        <v>1</v>
      </c>
      <c r="F64" s="80">
        <f t="shared" si="1"/>
        <v>24</v>
      </c>
      <c r="G64" s="80">
        <v>1</v>
      </c>
      <c r="H64" s="80">
        <f>IF(G62=1,24.36,IF(G62=2,29.02,IF(G62=3,45.82,IF(G62=4,33.93,0))))</f>
        <v>24.36</v>
      </c>
      <c r="I64" s="161">
        <f t="shared" si="16"/>
        <v>194.88</v>
      </c>
    </row>
    <row r="65" spans="1:13" ht="14.4" customHeight="1" x14ac:dyDescent="0.3">
      <c r="A65" s="75" t="s">
        <v>119</v>
      </c>
      <c r="B65" s="94">
        <f>C64</f>
        <v>45831</v>
      </c>
      <c r="C65" s="53">
        <f>B65</f>
        <v>45831</v>
      </c>
      <c r="D65" s="80">
        <f>C65-B65</f>
        <v>0</v>
      </c>
      <c r="E65" s="80">
        <f t="shared" si="0"/>
        <v>0.5</v>
      </c>
      <c r="F65" s="80">
        <f t="shared" si="1"/>
        <v>12</v>
      </c>
      <c r="G65" s="80">
        <v>1</v>
      </c>
      <c r="H65" s="80">
        <f t="shared" si="3"/>
        <v>24.36</v>
      </c>
      <c r="I65" s="161">
        <f t="shared" si="16"/>
        <v>97.44</v>
      </c>
    </row>
    <row r="66" spans="1:13" ht="14.4" customHeight="1" x14ac:dyDescent="0.3">
      <c r="A66" s="75" t="s">
        <v>120</v>
      </c>
      <c r="B66" s="94">
        <f>C65+1</f>
        <v>45832</v>
      </c>
      <c r="C66" s="53">
        <v>46307</v>
      </c>
      <c r="D66" s="80">
        <f t="shared" si="15"/>
        <v>475</v>
      </c>
      <c r="E66" s="80">
        <v>0.5</v>
      </c>
      <c r="F66" s="80">
        <f t="shared" si="1"/>
        <v>12</v>
      </c>
      <c r="G66" s="80">
        <v>1</v>
      </c>
      <c r="H66" s="80">
        <f t="shared" si="3"/>
        <v>24.36</v>
      </c>
      <c r="I66" s="161">
        <f t="shared" si="16"/>
        <v>97.44</v>
      </c>
      <c r="L66" s="179" t="s">
        <v>121</v>
      </c>
      <c r="M66" s="182">
        <f>M59+M48</f>
        <v>34167.433999999994</v>
      </c>
    </row>
    <row r="67" spans="1:13" ht="14.4" customHeight="1" x14ac:dyDescent="0.3">
      <c r="A67" s="75" t="s">
        <v>122</v>
      </c>
      <c r="B67" s="94">
        <f>C66+1</f>
        <v>46308</v>
      </c>
      <c r="C67" s="53">
        <f>B67</f>
        <v>46308</v>
      </c>
      <c r="D67" s="80">
        <f t="shared" si="2"/>
        <v>0</v>
      </c>
      <c r="E67" s="80">
        <f t="shared" si="0"/>
        <v>0.5</v>
      </c>
      <c r="F67" s="80">
        <f t="shared" si="1"/>
        <v>12</v>
      </c>
      <c r="G67" s="80">
        <v>1</v>
      </c>
      <c r="H67" s="80">
        <f t="shared" si="3"/>
        <v>24.36</v>
      </c>
      <c r="I67" s="161">
        <f t="shared" si="16"/>
        <v>97.44</v>
      </c>
      <c r="L67" s="180"/>
      <c r="M67" s="183"/>
    </row>
    <row r="68" spans="1:13" ht="14.4" customHeight="1" x14ac:dyDescent="0.3">
      <c r="A68" s="76" t="s">
        <v>45</v>
      </c>
      <c r="B68" s="54">
        <f>MIN(B69:B74)</f>
        <v>46308</v>
      </c>
      <c r="C68" s="55">
        <f>MAX(C69:C74)</f>
        <v>46382</v>
      </c>
      <c r="D68" s="159">
        <f t="shared" si="2"/>
        <v>74</v>
      </c>
      <c r="E68" s="159">
        <f t="shared" ref="E68:E76" si="17">IF(B68-C68=0,0.5,D68)</f>
        <v>74</v>
      </c>
      <c r="F68" s="159">
        <f t="shared" ref="F68:F74" si="18">E68*24</f>
        <v>1776</v>
      </c>
      <c r="G68" s="159">
        <v>0</v>
      </c>
      <c r="H68" s="159">
        <f t="shared" si="3"/>
        <v>0</v>
      </c>
      <c r="I68" s="160">
        <f>SUM(I69:I74)</f>
        <v>2881.44</v>
      </c>
      <c r="L68" s="180"/>
      <c r="M68" s="183"/>
    </row>
    <row r="69" spans="1:13" ht="14.4" customHeight="1" x14ac:dyDescent="0.3">
      <c r="A69" s="77" t="s">
        <v>123</v>
      </c>
      <c r="B69" s="95">
        <f>C66+1</f>
        <v>46308</v>
      </c>
      <c r="C69" s="56">
        <f>B69+2</f>
        <v>46310</v>
      </c>
      <c r="D69" s="80">
        <f t="shared" si="2"/>
        <v>2</v>
      </c>
      <c r="E69" s="80">
        <f t="shared" si="17"/>
        <v>2</v>
      </c>
      <c r="F69" s="80">
        <f t="shared" si="18"/>
        <v>48</v>
      </c>
      <c r="G69" s="80">
        <v>1</v>
      </c>
      <c r="H69" s="80">
        <f t="shared" si="3"/>
        <v>24.36</v>
      </c>
      <c r="I69" s="161">
        <f t="shared" si="4"/>
        <v>389.76</v>
      </c>
      <c r="L69" s="181"/>
      <c r="M69" s="184"/>
    </row>
    <row r="70" spans="1:13" x14ac:dyDescent="0.3">
      <c r="A70" s="77" t="s">
        <v>124</v>
      </c>
      <c r="B70" s="95">
        <f>C69+1</f>
        <v>46311</v>
      </c>
      <c r="C70" s="56">
        <f>B70+3</f>
        <v>46314</v>
      </c>
      <c r="D70" s="80">
        <f t="shared" si="2"/>
        <v>3</v>
      </c>
      <c r="E70" s="80">
        <f t="shared" si="17"/>
        <v>3</v>
      </c>
      <c r="F70" s="80">
        <f t="shared" si="18"/>
        <v>72</v>
      </c>
      <c r="G70" s="80">
        <v>3</v>
      </c>
      <c r="H70" s="80">
        <f t="shared" si="3"/>
        <v>45.82</v>
      </c>
      <c r="I70" s="161">
        <f>H70*8*E70</f>
        <v>1099.68</v>
      </c>
      <c r="M70" s="125"/>
    </row>
    <row r="71" spans="1:13" x14ac:dyDescent="0.3">
      <c r="A71" s="77" t="s">
        <v>125</v>
      </c>
      <c r="B71" s="95">
        <f>C70+1</f>
        <v>46315</v>
      </c>
      <c r="C71" s="56">
        <f>B71+3</f>
        <v>46318</v>
      </c>
      <c r="D71" s="80">
        <f t="shared" si="2"/>
        <v>3</v>
      </c>
      <c r="E71" s="80">
        <f t="shared" si="17"/>
        <v>3</v>
      </c>
      <c r="F71" s="80">
        <f t="shared" si="18"/>
        <v>72</v>
      </c>
      <c r="G71" s="80">
        <v>3</v>
      </c>
      <c r="H71" s="80">
        <f t="shared" si="3"/>
        <v>45.82</v>
      </c>
      <c r="I71" s="161">
        <f t="shared" si="4"/>
        <v>1099.68</v>
      </c>
    </row>
    <row r="72" spans="1:13" ht="14.4" customHeight="1" x14ac:dyDescent="0.3">
      <c r="A72" s="77" t="s">
        <v>126</v>
      </c>
      <c r="B72" s="95">
        <f>C71+1</f>
        <v>46319</v>
      </c>
      <c r="C72" s="56">
        <f>B72+1</f>
        <v>46320</v>
      </c>
      <c r="D72" s="80">
        <f>C72-B72</f>
        <v>1</v>
      </c>
      <c r="E72" s="80">
        <f t="shared" si="17"/>
        <v>1</v>
      </c>
      <c r="F72" s="80">
        <f t="shared" si="18"/>
        <v>24</v>
      </c>
      <c r="G72" s="80">
        <v>1</v>
      </c>
      <c r="H72" s="80">
        <f>IF(G72=1,24.36,IF(G72=2,29.02,IF(G72=3,45.82,IF(G72=4,33.93,0))))</f>
        <v>24.36</v>
      </c>
      <c r="I72" s="161">
        <f>H72*8*E72</f>
        <v>194.88</v>
      </c>
    </row>
    <row r="73" spans="1:13" ht="14.4" customHeight="1" x14ac:dyDescent="0.3">
      <c r="A73" s="77" t="s">
        <v>127</v>
      </c>
      <c r="B73" s="95">
        <f t="shared" ref="B73" si="19">C72+1</f>
        <v>46321</v>
      </c>
      <c r="C73" s="56">
        <f>B73</f>
        <v>46321</v>
      </c>
      <c r="D73" s="80">
        <f t="shared" ref="D73:D75" si="20">C73-B73</f>
        <v>0</v>
      </c>
      <c r="E73" s="80">
        <f t="shared" si="17"/>
        <v>0.5</v>
      </c>
      <c r="F73" s="80">
        <f t="shared" si="18"/>
        <v>12</v>
      </c>
      <c r="G73" s="80">
        <v>1</v>
      </c>
      <c r="H73" s="80">
        <f t="shared" ref="H73:H76" si="21">IF(G73=1,24.36,IF(G73=2,29.02,IF(G73=3,45.82,IF(G73=4,33.93,0))))</f>
        <v>24.36</v>
      </c>
      <c r="I73" s="161">
        <f>H73*8*E73</f>
        <v>97.44</v>
      </c>
      <c r="L73" s="179" t="s">
        <v>11</v>
      </c>
      <c r="M73" s="182">
        <v>40000</v>
      </c>
    </row>
    <row r="74" spans="1:13" ht="14.4" customHeight="1" x14ac:dyDescent="0.3">
      <c r="A74" s="77" t="s">
        <v>128</v>
      </c>
      <c r="B74" s="95">
        <f>C73+1</f>
        <v>46322</v>
      </c>
      <c r="C74" s="56">
        <f>B74+60</f>
        <v>46382</v>
      </c>
      <c r="D74" s="80">
        <f t="shared" si="20"/>
        <v>60</v>
      </c>
      <c r="E74" s="80">
        <v>0</v>
      </c>
      <c r="F74" s="80">
        <f t="shared" si="18"/>
        <v>0</v>
      </c>
      <c r="G74" s="80">
        <v>0</v>
      </c>
      <c r="H74" s="80">
        <f t="shared" si="21"/>
        <v>0</v>
      </c>
      <c r="I74" s="161">
        <f t="shared" ref="I74" si="22">H74*8*E74</f>
        <v>0</v>
      </c>
      <c r="L74" s="180"/>
      <c r="M74" s="183"/>
    </row>
    <row r="75" spans="1:13" ht="14.4" customHeight="1" x14ac:dyDescent="0.3">
      <c r="A75" s="163" t="s">
        <v>47</v>
      </c>
      <c r="B75" s="164">
        <f>MIN(B76)</f>
        <v>46383</v>
      </c>
      <c r="C75" s="164">
        <f>MAX(C76)</f>
        <v>46386</v>
      </c>
      <c r="D75" s="159">
        <f t="shared" si="20"/>
        <v>3</v>
      </c>
      <c r="E75" s="159">
        <f t="shared" si="17"/>
        <v>3</v>
      </c>
      <c r="F75" s="159">
        <f t="shared" ref="F75:F76" si="23">E75*24</f>
        <v>72</v>
      </c>
      <c r="G75" s="159">
        <v>0</v>
      </c>
      <c r="H75" s="159">
        <f t="shared" si="21"/>
        <v>0</v>
      </c>
      <c r="I75" s="160">
        <f>SUM(I76)</f>
        <v>301.33</v>
      </c>
      <c r="L75" s="180"/>
      <c r="M75" s="183"/>
    </row>
    <row r="76" spans="1:13" ht="14.4" customHeight="1" x14ac:dyDescent="0.3">
      <c r="A76" s="165" t="s">
        <v>129</v>
      </c>
      <c r="B76" s="166">
        <f>C74+1</f>
        <v>46383</v>
      </c>
      <c r="C76" s="167">
        <f>B76+3</f>
        <v>46386</v>
      </c>
      <c r="D76" s="80">
        <f>C76-B76</f>
        <v>3</v>
      </c>
      <c r="E76" s="80">
        <f t="shared" si="17"/>
        <v>3</v>
      </c>
      <c r="F76" s="80">
        <f t="shared" si="23"/>
        <v>72</v>
      </c>
      <c r="G76" s="80">
        <v>0</v>
      </c>
      <c r="H76" s="80">
        <f t="shared" si="21"/>
        <v>0</v>
      </c>
      <c r="I76" s="161">
        <v>301.33</v>
      </c>
      <c r="L76" s="181"/>
      <c r="M76" s="184"/>
    </row>
    <row r="78" spans="1:13" x14ac:dyDescent="0.3">
      <c r="D78" s="83" t="s">
        <v>130</v>
      </c>
      <c r="E78" s="169">
        <f>SUM(E4:E7,E10:E11,E13:E20,E31:E35,E37:E43,E45:E48,E50:E54,E56:E60,E62:E67,E69:E73)</f>
        <v>84.5</v>
      </c>
      <c r="H78" s="83" t="s">
        <v>131</v>
      </c>
      <c r="I78" s="130">
        <f>SUM(I76,I69:I74,I62:I67,I56:I60,I50:I54,I45:I48,I37:I43,I31:I35,I22:I29,I13:I20,I10:I11,I4:I8)</f>
        <v>21652.97</v>
      </c>
    </row>
    <row r="81" spans="4:9" x14ac:dyDescent="0.3">
      <c r="D81" s="168"/>
      <c r="E81" s="170" t="s">
        <v>132</v>
      </c>
      <c r="F81" s="170" t="s">
        <v>133</v>
      </c>
      <c r="G81" s="170" t="s">
        <v>134</v>
      </c>
      <c r="H81" s="168"/>
      <c r="I81" s="170" t="s">
        <v>135</v>
      </c>
    </row>
    <row r="82" spans="4:9" x14ac:dyDescent="0.3">
      <c r="D82" s="83" t="s">
        <v>136</v>
      </c>
      <c r="E82" s="83">
        <f>SUMIFS(E4:E76,G4:G76,"=1")</f>
        <v>44</v>
      </c>
      <c r="F82" s="83">
        <f>E82*8</f>
        <v>352</v>
      </c>
      <c r="G82" s="85">
        <v>24.36</v>
      </c>
      <c r="H82" s="83"/>
      <c r="I82" s="130">
        <f>F82*G82</f>
        <v>8574.7199999999993</v>
      </c>
    </row>
    <row r="83" spans="4:9" x14ac:dyDescent="0.3">
      <c r="D83" s="83" t="s">
        <v>137</v>
      </c>
      <c r="E83" s="83">
        <f>SUMIFS(E4:E74,G4:G74,"=2")</f>
        <v>11.5</v>
      </c>
      <c r="F83" s="83">
        <f t="shared" ref="F83:F85" si="24">E83*8</f>
        <v>92</v>
      </c>
      <c r="G83" s="85">
        <v>29.02</v>
      </c>
      <c r="H83" s="83"/>
      <c r="I83" s="130">
        <f t="shared" ref="I83:I85" si="25">F83*G83</f>
        <v>2669.84</v>
      </c>
    </row>
    <row r="84" spans="4:9" x14ac:dyDescent="0.3">
      <c r="D84" s="83" t="s">
        <v>138</v>
      </c>
      <c r="E84" s="83">
        <f>SUMIFS(E4:E74,G4:G74,"=3")</f>
        <v>23.5</v>
      </c>
      <c r="F84" s="83">
        <f t="shared" si="24"/>
        <v>188</v>
      </c>
      <c r="G84" s="85">
        <v>45.82</v>
      </c>
      <c r="H84" s="83"/>
      <c r="I84" s="130">
        <f t="shared" si="25"/>
        <v>8614.16</v>
      </c>
    </row>
    <row r="85" spans="4:9" x14ac:dyDescent="0.3">
      <c r="D85" s="83" t="s">
        <v>139</v>
      </c>
      <c r="E85" s="83">
        <f>SUMIFS(E4:E74,G4:G74,"=4")</f>
        <v>5.5</v>
      </c>
      <c r="F85" s="83">
        <f t="shared" si="24"/>
        <v>44</v>
      </c>
      <c r="G85" s="85">
        <v>33.93</v>
      </c>
      <c r="H85" s="83"/>
      <c r="I85" s="130">
        <f t="shared" si="25"/>
        <v>1492.92</v>
      </c>
    </row>
    <row r="87" spans="4:9" x14ac:dyDescent="0.3">
      <c r="H87" s="83" t="s">
        <v>131</v>
      </c>
      <c r="I87" s="130">
        <f>SUM(I82:I85)</f>
        <v>21351.64</v>
      </c>
    </row>
  </sheetData>
  <mergeCells count="8">
    <mergeCell ref="L73:L76"/>
    <mergeCell ref="M66:M69"/>
    <mergeCell ref="M73:M76"/>
    <mergeCell ref="P20:Q20"/>
    <mergeCell ref="L2:N2"/>
    <mergeCell ref="L59:L62"/>
    <mergeCell ref="M59:M62"/>
    <mergeCell ref="L66:L6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7"/>
  <sheetViews>
    <sheetView topLeftCell="A26" zoomScale="70" zoomScaleNormal="70" workbookViewId="0">
      <selection activeCell="B33" sqref="B33"/>
    </sheetView>
  </sheetViews>
  <sheetFormatPr baseColWidth="10" defaultColWidth="9.109375" defaultRowHeight="14.4" x14ac:dyDescent="0.3"/>
  <cols>
    <col min="1" max="1" width="91.44140625" bestFit="1" customWidth="1"/>
    <col min="2" max="2" width="64.33203125" bestFit="1" customWidth="1"/>
    <col min="3" max="3" width="27.109375" bestFit="1" customWidth="1"/>
    <col min="4" max="4" width="10" bestFit="1" customWidth="1"/>
    <col min="5" max="5" width="41.6640625" bestFit="1" customWidth="1"/>
    <col min="6" max="6" width="65.6640625" customWidth="1"/>
    <col min="7" max="7" width="23.88671875" bestFit="1" customWidth="1"/>
    <col min="10" max="10" width="33.109375" bestFit="1" customWidth="1"/>
  </cols>
  <sheetData>
    <row r="2" spans="1:5" ht="25.8" x14ac:dyDescent="0.5">
      <c r="A2" s="190" t="s">
        <v>11</v>
      </c>
      <c r="B2" s="190"/>
      <c r="C2" s="190"/>
    </row>
    <row r="3" spans="1:5" x14ac:dyDescent="0.3">
      <c r="A3" s="8" t="s">
        <v>13</v>
      </c>
      <c r="B3" s="9" t="s">
        <v>14</v>
      </c>
      <c r="C3" s="10" t="s">
        <v>140</v>
      </c>
    </row>
    <row r="4" spans="1:5" x14ac:dyDescent="0.3">
      <c r="A4" s="11"/>
      <c r="B4" s="11"/>
      <c r="C4" s="11"/>
    </row>
    <row r="5" spans="1:5" x14ac:dyDescent="0.3">
      <c r="A5" s="7" t="s">
        <v>141</v>
      </c>
      <c r="B5" s="6">
        <v>25</v>
      </c>
      <c r="C5" s="97" t="e" vm="1">
        <f ca="1">((B5/100)*B13)</f>
        <v>#VALUE!</v>
      </c>
    </row>
    <row r="6" spans="1:5" x14ac:dyDescent="0.3">
      <c r="A6" s="7" t="s">
        <v>19</v>
      </c>
      <c r="B6" s="6">
        <v>25</v>
      </c>
      <c r="C6" s="6" t="e" vm="1">
        <f ca="1">((B6/100)*B13)</f>
        <v>#VALUE!</v>
      </c>
    </row>
    <row r="7" spans="1:5" x14ac:dyDescent="0.3">
      <c r="A7" s="7" t="s">
        <v>21</v>
      </c>
      <c r="B7" s="6">
        <v>50</v>
      </c>
      <c r="C7" s="6" t="e" vm="1">
        <f ca="1">((B7/100)*B13)</f>
        <v>#VALUE!</v>
      </c>
    </row>
    <row r="13" spans="1:5" ht="46.5" customHeight="1" x14ac:dyDescent="0.85">
      <c r="A13" s="109" t="s">
        <v>142</v>
      </c>
      <c r="B13" s="110" t="e" vm="1">
        <f ca="1">SUM(E16,C29,E24,B14,F29)</f>
        <v>#VALUE!</v>
      </c>
      <c r="C13" s="5"/>
      <c r="D13" s="5"/>
      <c r="E13" s="5"/>
    </row>
    <row r="14" spans="1:5" ht="15" thickBot="1" x14ac:dyDescent="0.35">
      <c r="A14" s="22" t="s">
        <v>143</v>
      </c>
      <c r="B14" s="5" t="e" cm="1" vm="2">
        <f t="array" aca="1" ref="B14" ca="1">Hoja1!I4:I8</f>
        <v>#VALUE!</v>
      </c>
      <c r="C14" s="5"/>
      <c r="D14" s="5"/>
      <c r="E14" s="5"/>
    </row>
    <row r="15" spans="1:5" ht="21" x14ac:dyDescent="0.4">
      <c r="A15" s="98" t="s">
        <v>144</v>
      </c>
      <c r="B15" s="99" t="s">
        <v>145</v>
      </c>
      <c r="C15" s="100" t="s">
        <v>130</v>
      </c>
      <c r="D15" s="101" t="s">
        <v>135</v>
      </c>
      <c r="E15" s="102" t="s">
        <v>146</v>
      </c>
    </row>
    <row r="16" spans="1:5" x14ac:dyDescent="0.3">
      <c r="A16" s="103" t="s">
        <v>139</v>
      </c>
      <c r="B16">
        <v>33.93</v>
      </c>
      <c r="C16">
        <f>5.5*8</f>
        <v>44</v>
      </c>
      <c r="D16">
        <f>PRODUCT(B16,C16)</f>
        <v>1492.92</v>
      </c>
      <c r="E16" s="104">
        <f>SUM(D16,D17,D18,D19)</f>
        <v>20618.52</v>
      </c>
    </row>
    <row r="17" spans="1:7" x14ac:dyDescent="0.3">
      <c r="A17" s="105" t="s">
        <v>147</v>
      </c>
      <c r="B17">
        <v>29.02</v>
      </c>
      <c r="C17">
        <f>11.5*8</f>
        <v>92</v>
      </c>
      <c r="D17">
        <f t="shared" ref="D17:D19" si="0">PRODUCT(B17,C17)</f>
        <v>2669.84</v>
      </c>
      <c r="E17" s="104"/>
    </row>
    <row r="18" spans="1:7" x14ac:dyDescent="0.3">
      <c r="A18" s="105" t="s">
        <v>148</v>
      </c>
      <c r="B18">
        <v>24.36</v>
      </c>
      <c r="C18">
        <f>44*8</f>
        <v>352</v>
      </c>
      <c r="D18">
        <f t="shared" si="0"/>
        <v>8574.7199999999993</v>
      </c>
      <c r="E18" s="104"/>
      <c r="G18" t="s">
        <v>149</v>
      </c>
    </row>
    <row r="19" spans="1:7" ht="15" thickBot="1" x14ac:dyDescent="0.35">
      <c r="A19" s="106" t="s">
        <v>150</v>
      </c>
      <c r="B19" s="107">
        <v>45.82</v>
      </c>
      <c r="C19" s="107">
        <f>21.5*8</f>
        <v>172</v>
      </c>
      <c r="D19" s="107">
        <f t="shared" si="0"/>
        <v>7881.04</v>
      </c>
      <c r="E19" s="108"/>
    </row>
    <row r="23" spans="1:7" ht="21" x14ac:dyDescent="0.4">
      <c r="A23" s="1" t="s">
        <v>151</v>
      </c>
      <c r="C23" s="19" t="s">
        <v>152</v>
      </c>
      <c r="E23" s="19" t="s">
        <v>153</v>
      </c>
      <c r="G23" s="17" t="s">
        <v>135</v>
      </c>
    </row>
    <row r="24" spans="1:7" x14ac:dyDescent="0.3">
      <c r="A24" s="18">
        <v>1649.52</v>
      </c>
      <c r="C24" s="20"/>
      <c r="E24" s="96">
        <v>772.6</v>
      </c>
      <c r="G24" s="96">
        <f>SUM(A24,C24,E24)</f>
        <v>2422.12</v>
      </c>
    </row>
    <row r="27" spans="1:7" ht="15" thickBot="1" x14ac:dyDescent="0.35"/>
    <row r="28" spans="1:7" ht="21" x14ac:dyDescent="0.4">
      <c r="A28" s="4" t="s">
        <v>154</v>
      </c>
      <c r="B28" s="3" t="s">
        <v>155</v>
      </c>
      <c r="C28" s="17" t="s">
        <v>135</v>
      </c>
      <c r="E28" s="111" t="s">
        <v>156</v>
      </c>
      <c r="F28" s="112" t="s">
        <v>157</v>
      </c>
    </row>
    <row r="29" spans="1:7" ht="18" x14ac:dyDescent="0.35">
      <c r="A29" t="s">
        <v>59</v>
      </c>
      <c r="B29" s="14">
        <v>338</v>
      </c>
      <c r="C29" s="21">
        <f>SUM(B29:B52)</f>
        <v>1980.03</v>
      </c>
      <c r="E29" s="113" t="s">
        <v>154</v>
      </c>
      <c r="F29" s="117">
        <v>301.33</v>
      </c>
    </row>
    <row r="30" spans="1:7" x14ac:dyDescent="0.3">
      <c r="A30" t="s">
        <v>63</v>
      </c>
      <c r="B30" s="15">
        <v>1340</v>
      </c>
      <c r="C30" s="2"/>
      <c r="E30" s="116" t="s">
        <v>52</v>
      </c>
      <c r="F30" s="20" t="s">
        <v>158</v>
      </c>
    </row>
    <row r="31" spans="1:7" x14ac:dyDescent="0.3">
      <c r="A31" s="13" t="s">
        <v>66</v>
      </c>
      <c r="B31" s="16">
        <v>71.03</v>
      </c>
      <c r="E31" s="113" t="s">
        <v>56</v>
      </c>
      <c r="F31" s="118" t="s">
        <v>159</v>
      </c>
    </row>
    <row r="32" spans="1:7" ht="15" thickBot="1" x14ac:dyDescent="0.35">
      <c r="A32" t="s">
        <v>68</v>
      </c>
      <c r="B32" s="14">
        <v>32.799999999999997</v>
      </c>
      <c r="E32" s="114" t="s">
        <v>160</v>
      </c>
      <c r="F32" s="115" t="s">
        <v>161</v>
      </c>
    </row>
    <row r="33" spans="1:3" x14ac:dyDescent="0.3">
      <c r="A33" s="5" t="s">
        <v>162</v>
      </c>
      <c r="B33">
        <v>0</v>
      </c>
      <c r="C33" t="s">
        <v>163</v>
      </c>
    </row>
    <row r="34" spans="1:3" x14ac:dyDescent="0.3">
      <c r="A34" t="s">
        <v>70</v>
      </c>
      <c r="B34">
        <v>47</v>
      </c>
    </row>
    <row r="35" spans="1:3" x14ac:dyDescent="0.3">
      <c r="A35" t="s">
        <v>72</v>
      </c>
      <c r="B35">
        <v>38</v>
      </c>
    </row>
    <row r="36" spans="1:3" x14ac:dyDescent="0.3">
      <c r="A36" t="s">
        <v>73</v>
      </c>
      <c r="B36">
        <v>7.4</v>
      </c>
    </row>
    <row r="37" spans="1:3" x14ac:dyDescent="0.3">
      <c r="A37" t="s">
        <v>75</v>
      </c>
      <c r="B37">
        <v>3.1</v>
      </c>
    </row>
    <row r="38" spans="1:3" x14ac:dyDescent="0.3">
      <c r="A38" t="s">
        <v>77</v>
      </c>
      <c r="B38">
        <v>5.2</v>
      </c>
    </row>
    <row r="39" spans="1:3" x14ac:dyDescent="0.3">
      <c r="A39" t="s">
        <v>79</v>
      </c>
      <c r="B39">
        <v>3</v>
      </c>
    </row>
    <row r="40" spans="1:3" x14ac:dyDescent="0.3">
      <c r="A40" t="s">
        <v>81</v>
      </c>
      <c r="B40">
        <v>2.5</v>
      </c>
    </row>
    <row r="41" spans="1:3" x14ac:dyDescent="0.3">
      <c r="A41" t="s">
        <v>83</v>
      </c>
      <c r="B41" s="12">
        <v>10</v>
      </c>
    </row>
    <row r="42" spans="1:3" x14ac:dyDescent="0.3">
      <c r="A42" t="s">
        <v>84</v>
      </c>
      <c r="B42">
        <v>17</v>
      </c>
    </row>
    <row r="43" spans="1:3" x14ac:dyDescent="0.3">
      <c r="A43" t="s">
        <v>86</v>
      </c>
      <c r="B43">
        <v>12</v>
      </c>
    </row>
    <row r="44" spans="1:3" x14ac:dyDescent="0.3">
      <c r="A44" t="s">
        <v>88</v>
      </c>
      <c r="B44">
        <v>6</v>
      </c>
    </row>
    <row r="45" spans="1:3" x14ac:dyDescent="0.3">
      <c r="A45" t="s">
        <v>90</v>
      </c>
      <c r="B45">
        <v>10</v>
      </c>
    </row>
    <row r="46" spans="1:3" x14ac:dyDescent="0.3">
      <c r="A46" t="s">
        <v>92</v>
      </c>
      <c r="B46">
        <v>20</v>
      </c>
    </row>
    <row r="47" spans="1:3" x14ac:dyDescent="0.3">
      <c r="A47" t="s">
        <v>94</v>
      </c>
      <c r="B47">
        <v>17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Sheet1</vt:lpstr>
      <vt:lpstr>Hoja1!task_start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Losada Álvarez Adrián</cp:lastModifiedBy>
  <cp:revision/>
  <dcterms:created xsi:type="dcterms:W3CDTF">2025-02-07T10:33:09Z</dcterms:created>
  <dcterms:modified xsi:type="dcterms:W3CDTF">2025-03-04T17:02:24Z</dcterms:modified>
  <cp:category/>
  <cp:contentStatus/>
</cp:coreProperties>
</file>