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dson\Desktop\"/>
    </mc:Choice>
  </mc:AlternateContent>
  <xr:revisionPtr revIDLastSave="0" documentId="13_ncr:1_{519F17E1-E287-424A-9A28-1AA8A10EC91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5" i="1" l="1"/>
  <c r="K6" i="1"/>
  <c r="K23" i="1"/>
  <c r="K22" i="1"/>
  <c r="D26" i="1"/>
  <c r="D33" i="1" s="1"/>
  <c r="F26" i="1"/>
  <c r="F22" i="1"/>
  <c r="K89" i="1"/>
  <c r="K91" i="1" s="1"/>
  <c r="M91" i="1" s="1"/>
  <c r="K96" i="1"/>
  <c r="L94" i="1"/>
  <c r="L97" i="1" s="1"/>
  <c r="L91" i="1"/>
  <c r="K90" i="1"/>
  <c r="K45" i="1"/>
  <c r="L27" i="1"/>
  <c r="L74" i="1"/>
  <c r="K74" i="1"/>
  <c r="K73" i="1"/>
  <c r="K72" i="1"/>
  <c r="F91" i="1"/>
  <c r="F92" i="1"/>
  <c r="F93" i="1"/>
  <c r="F94" i="1"/>
  <c r="F95" i="1"/>
  <c r="F96" i="1"/>
  <c r="F97" i="1"/>
  <c r="F98" i="1"/>
  <c r="F99" i="1"/>
  <c r="F90" i="1"/>
  <c r="F74" i="1"/>
  <c r="F75" i="1"/>
  <c r="F76" i="1"/>
  <c r="F77" i="1"/>
  <c r="K79" i="1" s="1"/>
  <c r="K80" i="1" s="1"/>
  <c r="M80" i="1" s="1"/>
  <c r="F78" i="1"/>
  <c r="F79" i="1"/>
  <c r="F80" i="1"/>
  <c r="F81" i="1"/>
  <c r="F82" i="1"/>
  <c r="F73" i="1"/>
  <c r="F56" i="1"/>
  <c r="F57" i="1"/>
  <c r="F58" i="1"/>
  <c r="F59" i="1"/>
  <c r="F60" i="1"/>
  <c r="F61" i="1"/>
  <c r="F62" i="1"/>
  <c r="F63" i="1"/>
  <c r="F64" i="1"/>
  <c r="F55" i="1"/>
  <c r="K61" i="1"/>
  <c r="L80" i="1"/>
  <c r="L77" i="1"/>
  <c r="K55" i="1"/>
  <c r="K54" i="1"/>
  <c r="E5" i="1"/>
  <c r="E6" i="1"/>
  <c r="E7" i="1"/>
  <c r="E8" i="1"/>
  <c r="E9" i="1"/>
  <c r="E10" i="1"/>
  <c r="E11" i="1"/>
  <c r="E12" i="1"/>
  <c r="E13" i="1"/>
  <c r="E14" i="1"/>
  <c r="E15" i="1"/>
  <c r="E16" i="1"/>
  <c r="K97" i="1" l="1"/>
  <c r="M97" i="1" s="1"/>
  <c r="M74" i="1"/>
  <c r="E56" i="1" l="1"/>
  <c r="E57" i="1"/>
  <c r="E58" i="1"/>
  <c r="E59" i="1"/>
  <c r="E60" i="1"/>
  <c r="E61" i="1"/>
  <c r="E62" i="1"/>
  <c r="E63" i="1"/>
  <c r="E64" i="1"/>
  <c r="E55" i="1"/>
  <c r="E54" i="1"/>
  <c r="K5" i="1"/>
  <c r="H5" i="1"/>
  <c r="G5" i="1"/>
  <c r="L7" i="1"/>
  <c r="K56" i="1"/>
  <c r="K62" i="1"/>
  <c r="L59" i="1"/>
  <c r="L62" i="1" s="1"/>
  <c r="L56" i="1"/>
  <c r="H38" i="1"/>
  <c r="H22" i="1"/>
  <c r="E49" i="1"/>
  <c r="K38" i="1"/>
  <c r="K39" i="1"/>
  <c r="F40" i="1"/>
  <c r="F41" i="1"/>
  <c r="F42" i="1"/>
  <c r="F43" i="1"/>
  <c r="F44" i="1"/>
  <c r="F45" i="1"/>
  <c r="F46" i="1"/>
  <c r="F47" i="1"/>
  <c r="F48" i="1"/>
  <c r="F39" i="1"/>
  <c r="E40" i="1"/>
  <c r="E41" i="1"/>
  <c r="E42" i="1"/>
  <c r="E43" i="1"/>
  <c r="E44" i="1"/>
  <c r="E45" i="1"/>
  <c r="E46" i="1"/>
  <c r="E47" i="1"/>
  <c r="E48" i="1"/>
  <c r="E39" i="1"/>
  <c r="E24" i="1"/>
  <c r="E38" i="1"/>
  <c r="L43" i="1"/>
  <c r="L46" i="1" s="1"/>
  <c r="L40" i="1"/>
  <c r="L24" i="1"/>
  <c r="K24" i="1"/>
  <c r="M24" i="1" s="1"/>
  <c r="C32" i="1"/>
  <c r="D16" i="1"/>
  <c r="E26" i="1"/>
  <c r="D7" i="1"/>
  <c r="K29" i="1"/>
  <c r="F32" i="1"/>
  <c r="F24" i="1"/>
  <c r="F25" i="1"/>
  <c r="F27" i="1"/>
  <c r="F28" i="1"/>
  <c r="F29" i="1"/>
  <c r="F30" i="1"/>
  <c r="F31" i="1"/>
  <c r="F23" i="1"/>
  <c r="K12" i="1"/>
  <c r="L30" i="1"/>
  <c r="D23" i="1"/>
  <c r="H74" i="1"/>
  <c r="D82" i="1"/>
  <c r="F11" i="1"/>
  <c r="L13" i="1"/>
  <c r="F6" i="1"/>
  <c r="D6" i="1"/>
  <c r="G22" i="1"/>
  <c r="E25" i="1"/>
  <c r="E27" i="1"/>
  <c r="E28" i="1"/>
  <c r="E29" i="1"/>
  <c r="E30" i="1"/>
  <c r="E31" i="1"/>
  <c r="E32" i="1"/>
  <c r="E22" i="1"/>
  <c r="C15" i="1"/>
  <c r="K7" i="1" l="1"/>
  <c r="M7" i="1" s="1"/>
  <c r="M56" i="1"/>
  <c r="M62" i="1"/>
  <c r="K40" i="1"/>
  <c r="M40" i="1" s="1"/>
  <c r="K46" i="1"/>
  <c r="M46" i="1" s="1"/>
  <c r="K30" i="1"/>
  <c r="M30" i="1" s="1"/>
  <c r="E23" i="1"/>
  <c r="C16" i="1"/>
  <c r="D15" i="1" l="1"/>
  <c r="D32" i="1"/>
  <c r="F72" i="1"/>
  <c r="C64" i="1"/>
  <c r="D64" i="1" s="1"/>
  <c r="C99" i="1"/>
  <c r="D99" i="1" s="1"/>
  <c r="C48" i="1"/>
  <c r="D48" i="1" s="1"/>
  <c r="C82" i="1"/>
  <c r="F8" i="1"/>
  <c r="F9" i="1"/>
  <c r="F10" i="1"/>
  <c r="F12" i="1"/>
  <c r="F13" i="1"/>
  <c r="F14" i="1"/>
  <c r="F7" i="1"/>
  <c r="D5" i="1"/>
  <c r="F5" i="1" s="1"/>
  <c r="L10" i="1" l="1"/>
  <c r="F15" i="1"/>
  <c r="F38" i="1"/>
  <c r="F54" i="1"/>
  <c r="D57" i="1"/>
  <c r="D54" i="1"/>
  <c r="F89" i="1"/>
  <c r="D89" i="1"/>
  <c r="D43" i="1"/>
  <c r="D39" i="1"/>
  <c r="D38" i="1"/>
  <c r="D72" i="1"/>
  <c r="D22" i="1"/>
  <c r="D13" i="1"/>
  <c r="D8" i="1"/>
  <c r="D75" i="1"/>
  <c r="K13" i="1" l="1"/>
  <c r="M13" i="1" s="1"/>
  <c r="F16" i="1"/>
  <c r="D63" i="1"/>
  <c r="D62" i="1"/>
  <c r="D61" i="1"/>
  <c r="D60" i="1"/>
  <c r="D59" i="1"/>
  <c r="D58" i="1"/>
  <c r="D56" i="1"/>
  <c r="D55" i="1"/>
  <c r="G54" i="1"/>
  <c r="D98" i="1"/>
  <c r="D97" i="1"/>
  <c r="D96" i="1"/>
  <c r="D95" i="1"/>
  <c r="D94" i="1"/>
  <c r="D93" i="1"/>
  <c r="D92" i="1"/>
  <c r="D91" i="1"/>
  <c r="D90" i="1"/>
  <c r="G89" i="1"/>
  <c r="D47" i="1"/>
  <c r="D46" i="1"/>
  <c r="D45" i="1"/>
  <c r="D44" i="1"/>
  <c r="D42" i="1"/>
  <c r="D41" i="1"/>
  <c r="D40" i="1"/>
  <c r="G38" i="1"/>
  <c r="D81" i="1"/>
  <c r="D80" i="1"/>
  <c r="D79" i="1"/>
  <c r="D78" i="1"/>
  <c r="D77" i="1"/>
  <c r="D76" i="1"/>
  <c r="D74" i="1"/>
  <c r="D73" i="1"/>
  <c r="G72" i="1"/>
  <c r="D9" i="1"/>
  <c r="D24" i="1"/>
  <c r="D25" i="1"/>
  <c r="D27" i="1"/>
  <c r="D28" i="1"/>
  <c r="D29" i="1"/>
  <c r="D30" i="1"/>
  <c r="D31" i="1"/>
  <c r="D10" i="1"/>
  <c r="D11" i="1"/>
  <c r="D12" i="1"/>
  <c r="D14" i="1"/>
  <c r="D49" i="1" l="1"/>
  <c r="D65" i="1"/>
  <c r="H56" i="1" s="1"/>
  <c r="D100" i="1"/>
  <c r="H89" i="1" s="1"/>
  <c r="D83" i="1"/>
</calcChain>
</file>

<file path=xl/sharedStrings.xml><?xml version="1.0" encoding="utf-8"?>
<sst xmlns="http://schemas.openxmlformats.org/spreadsheetml/2006/main" count="117" uniqueCount="31">
  <si>
    <t>Inversion</t>
  </si>
  <si>
    <t>TMAR</t>
  </si>
  <si>
    <t>VP</t>
  </si>
  <si>
    <t>VAE</t>
  </si>
  <si>
    <t>VF</t>
  </si>
  <si>
    <t>TIR</t>
  </si>
  <si>
    <t>TER</t>
  </si>
  <si>
    <t>n</t>
  </si>
  <si>
    <t>periodo</t>
  </si>
  <si>
    <t>inversion</t>
  </si>
  <si>
    <t>tienda de ropa</t>
  </si>
  <si>
    <t>agencia de viajes</t>
  </si>
  <si>
    <t>electrodomesticos</t>
  </si>
  <si>
    <t>librería</t>
  </si>
  <si>
    <t>muebleria</t>
  </si>
  <si>
    <t>regalos</t>
  </si>
  <si>
    <t>valor rescate</t>
  </si>
  <si>
    <t>valor a rescate</t>
  </si>
  <si>
    <t>valor de rescate</t>
  </si>
  <si>
    <t>ingreso anual</t>
  </si>
  <si>
    <t>anualidades</t>
  </si>
  <si>
    <t>anualidades inv</t>
  </si>
  <si>
    <t>Tienda de ropa VP</t>
  </si>
  <si>
    <t>subtotales</t>
  </si>
  <si>
    <t>Flujo de efectivo</t>
  </si>
  <si>
    <t>Tienda de ropa VF</t>
  </si>
  <si>
    <t>sumas</t>
  </si>
  <si>
    <t xml:space="preserve"> de acuerdo al modelo __ el negocio __ es el más adecuado. Ya que sólo se necesitó una inversión de ___ y nos deja una ganacia de__ al final del plazo establecido</t>
  </si>
  <si>
    <t>Agencia de viajes</t>
  </si>
  <si>
    <t>Regalos</t>
  </si>
  <si>
    <t>Electrodomesticos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</si>
</sst>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7"/>
      <name val="Segoe UI"/>
      <family val="2"/>
    </font>
    <font>
      <sz val="14"/>
      <color theme="1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top" wrapText="1"/>
    </xf>
    <xf numFmtId="8" fontId="0" fillId="0" borderId="0" xfId="0" applyNumberFormat="1" applyAlignment="1"/>
    <xf numFmtId="8" fontId="0" fillId="0" borderId="0" xfId="0" applyNumberFormat="1"/>
    <xf numFmtId="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8" fontId="0" fillId="0" borderId="1" xfId="0" applyNumberFormat="1" applyBorder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Border="1"/>
    <xf numFmtId="8" fontId="0" fillId="0" borderId="0" xfId="0" applyNumberFormat="1" applyBorder="1" applyAlignment="1"/>
    <xf numFmtId="8" fontId="0" fillId="0" borderId="1" xfId="0" applyNumberFormat="1" applyBorder="1" applyAlignment="1"/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center" wrapText="1"/>
    </xf>
    <xf numFmtId="9" fontId="0" fillId="0" borderId="1" xfId="0" applyNumberFormat="1" applyBorder="1"/>
    <xf numFmtId="0" fontId="0" fillId="0" borderId="6" xfId="0" applyFill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/>
    <xf numFmtId="0" fontId="0" fillId="0" borderId="8" xfId="0" applyBorder="1"/>
    <xf numFmtId="0" fontId="0" fillId="0" borderId="1" xfId="0" applyBorder="1" applyAlignment="1"/>
    <xf numFmtId="9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358588</xdr:colOff>
      <xdr:row>3</xdr:row>
      <xdr:rowOff>82177</xdr:rowOff>
    </xdr:from>
    <xdr:to>
      <xdr:col>19</xdr:col>
      <xdr:colOff>67072</xdr:colOff>
      <xdr:row>14</xdr:row>
      <xdr:rowOff>161104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36DE71-27A7-4B46-82BB-E8A1F6601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1882" y="642471"/>
          <a:ext cx="4108661" cy="2178162"/>
        </a:xfrm>
        <a:prstGeom prst="rect">
          <a:avLst/>
        </a:prstGeom>
      </xdr:spPr>
    </xdr:pic>
    <xdr:clientData/>
  </xdr:twoCellAnchor>
  <xdr:twoCellAnchor editAs="oneCell">
    <xdr:from>
      <xdr:col>13</xdr:col>
      <xdr:colOff>373528</xdr:colOff>
      <xdr:row>17</xdr:row>
      <xdr:rowOff>17159</xdr:rowOff>
    </xdr:from>
    <xdr:to>
      <xdr:col>19</xdr:col>
      <xdr:colOff>44822</xdr:colOff>
      <xdr:row>30</xdr:row>
      <xdr:rowOff>29882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8CDB3E-0D4D-4453-87E7-5D312C048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55822" y="3236983"/>
          <a:ext cx="4071471" cy="2440664"/>
        </a:xfrm>
        <a:prstGeom prst="rect">
          <a:avLst/>
        </a:prstGeom>
      </xdr:spPr>
    </xdr:pic>
    <xdr:clientData/>
  </xdr:twoCellAnchor>
  <xdr:twoCellAnchor editAs="oneCell">
    <xdr:from>
      <xdr:col>13</xdr:col>
      <xdr:colOff>388471</xdr:colOff>
      <xdr:row>33</xdr:row>
      <xdr:rowOff>283883</xdr:rowOff>
    </xdr:from>
    <xdr:to>
      <xdr:col>19</xdr:col>
      <xdr:colOff>515470</xdr:colOff>
      <xdr:row>47</xdr:row>
      <xdr:rowOff>145676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FA828A-110B-4386-BD39-A01990E7C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70765" y="6491942"/>
          <a:ext cx="4527176" cy="2655793"/>
        </a:xfrm>
        <a:prstGeom prst="rect">
          <a:avLst/>
        </a:prstGeom>
      </xdr:spPr>
    </xdr:pic>
    <xdr:clientData/>
  </xdr:twoCellAnchor>
  <xdr:twoCellAnchor editAs="oneCell">
    <xdr:from>
      <xdr:col>13</xdr:col>
      <xdr:colOff>627529</xdr:colOff>
      <xdr:row>49</xdr:row>
      <xdr:rowOff>149411</xdr:rowOff>
    </xdr:from>
    <xdr:to>
      <xdr:col>20</xdr:col>
      <xdr:colOff>395942</xdr:colOff>
      <xdr:row>63</xdr:row>
      <xdr:rowOff>77884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CB7DD07-B7E5-41BA-8CE9-33EE289A4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9823" y="9524999"/>
          <a:ext cx="4781178" cy="2543179"/>
        </a:xfrm>
        <a:prstGeom prst="rect">
          <a:avLst/>
        </a:prstGeom>
      </xdr:spPr>
    </xdr:pic>
    <xdr:clientData/>
  </xdr:twoCellAnchor>
  <xdr:twoCellAnchor editAs="oneCell">
    <xdr:from>
      <xdr:col>13</xdr:col>
      <xdr:colOff>564029</xdr:colOff>
      <xdr:row>67</xdr:row>
      <xdr:rowOff>173069</xdr:rowOff>
    </xdr:from>
    <xdr:to>
      <xdr:col>20</xdr:col>
      <xdr:colOff>572746</xdr:colOff>
      <xdr:row>82</xdr:row>
      <xdr:rowOff>22694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EF034C9-2F0C-4943-97A9-BE95F0E3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36362" y="12470902"/>
          <a:ext cx="5025217" cy="2548375"/>
        </a:xfrm>
        <a:prstGeom prst="rect">
          <a:avLst/>
        </a:prstGeom>
      </xdr:spPr>
    </xdr:pic>
    <xdr:clientData/>
  </xdr:twoCellAnchor>
  <xdr:twoCellAnchor editAs="oneCell">
    <xdr:from>
      <xdr:col>13</xdr:col>
      <xdr:colOff>748305</xdr:colOff>
      <xdr:row>85</xdr:row>
      <xdr:rowOff>126378</xdr:rowOff>
    </xdr:from>
    <xdr:to>
      <xdr:col>21</xdr:col>
      <xdr:colOff>366059</xdr:colOff>
      <xdr:row>104</xdr:row>
      <xdr:rowOff>45929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396D053-2420-448C-B857-D7A2103EE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20638" y="15662711"/>
          <a:ext cx="5248088" cy="3337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zoomScale="85" zoomScaleNormal="85" workbookViewId="0">
      <selection activeCell="H17" sqref="H17"/>
    </sheetView>
  </sheetViews>
  <sheetFormatPr baseColWidth="10" defaultColWidth="8.7265625" defaultRowHeight="14.5" x14ac:dyDescent="0.35"/>
  <cols>
    <col min="2" max="2" width="11.36328125" customWidth="1"/>
    <col min="3" max="3" width="11.08984375" customWidth="1"/>
    <col min="4" max="4" width="13.54296875" customWidth="1"/>
    <col min="5" max="5" width="20.7265625" hidden="1" customWidth="1"/>
    <col min="6" max="6" width="14.6328125" customWidth="1"/>
    <col min="7" max="7" width="11.453125" bestFit="1" customWidth="1"/>
    <col min="8" max="8" width="14.90625" customWidth="1"/>
    <col min="9" max="9" width="20.1796875" customWidth="1"/>
    <col min="10" max="10" width="14" bestFit="1" customWidth="1"/>
    <col min="11" max="11" width="14.54296875" customWidth="1"/>
    <col min="12" max="12" width="14.6328125" customWidth="1"/>
    <col min="13" max="13" width="15.1796875" customWidth="1"/>
    <col min="14" max="14" width="15.81640625" customWidth="1"/>
    <col min="15" max="15" width="9.453125" bestFit="1" customWidth="1"/>
    <col min="16" max="16" width="11.453125" bestFit="1" customWidth="1"/>
  </cols>
  <sheetData>
    <row r="1" spans="1:30" x14ac:dyDescent="0.35">
      <c r="A1" s="1"/>
      <c r="B1" s="1"/>
      <c r="C1" s="1"/>
      <c r="D1" s="1"/>
      <c r="E1" s="1"/>
      <c r="F1" s="1"/>
    </row>
    <row r="2" spans="1:30" ht="14.5" customHeight="1" x14ac:dyDescent="0.35">
      <c r="A2" s="1"/>
      <c r="B2" s="2"/>
      <c r="C2" s="2"/>
      <c r="D2" s="27" t="s">
        <v>7</v>
      </c>
      <c r="E2" s="27"/>
      <c r="F2" s="27">
        <v>10</v>
      </c>
      <c r="G2" t="s">
        <v>6</v>
      </c>
      <c r="O2" t="s">
        <v>24</v>
      </c>
    </row>
    <row r="3" spans="1:30" x14ac:dyDescent="0.35">
      <c r="A3" s="1"/>
      <c r="B3" s="2"/>
      <c r="C3" s="2" t="s">
        <v>10</v>
      </c>
      <c r="D3" s="7" t="s">
        <v>1</v>
      </c>
      <c r="E3" s="7"/>
      <c r="F3" s="28">
        <v>0.15</v>
      </c>
      <c r="J3" s="19" t="s">
        <v>22</v>
      </c>
      <c r="K3" s="19"/>
      <c r="L3" s="19"/>
      <c r="M3" s="19"/>
    </row>
    <row r="4" spans="1:30" x14ac:dyDescent="0.35">
      <c r="A4" s="1"/>
      <c r="B4" s="6" t="s">
        <v>8</v>
      </c>
      <c r="C4" s="6" t="s">
        <v>20</v>
      </c>
      <c r="D4" s="6" t="s">
        <v>2</v>
      </c>
      <c r="E4" s="6" t="s">
        <v>21</v>
      </c>
      <c r="F4" s="6" t="s">
        <v>4</v>
      </c>
      <c r="G4" s="6" t="s">
        <v>5</v>
      </c>
      <c r="H4" s="6" t="s">
        <v>3</v>
      </c>
      <c r="J4" s="6" t="s">
        <v>9</v>
      </c>
      <c r="K4" s="6"/>
      <c r="L4" s="8">
        <v>160000</v>
      </c>
      <c r="M4" s="7"/>
      <c r="N4" s="2"/>
      <c r="O4" s="2"/>
      <c r="P4" s="2"/>
      <c r="Q4" s="2"/>
      <c r="R4" s="2"/>
    </row>
    <row r="5" spans="1:30" x14ac:dyDescent="0.35">
      <c r="A5" s="1"/>
      <c r="B5" s="6">
        <v>0</v>
      </c>
      <c r="C5" s="6">
        <v>-160000</v>
      </c>
      <c r="D5" s="8">
        <f>-PV($F$3,B5,,C5)</f>
        <v>-160000</v>
      </c>
      <c r="E5" s="8">
        <f>D5</f>
        <v>-160000</v>
      </c>
      <c r="F5" s="8">
        <f>FV(F3,F2,,D5)</f>
        <v>647289.23771326512</v>
      </c>
      <c r="G5" s="16">
        <f>IRR(C5:C15)</f>
        <v>0.33819018000215717</v>
      </c>
      <c r="H5" s="8">
        <f>C6-PMT($F$3,B15,D16)</f>
        <v>82671.293097383401</v>
      </c>
      <c r="J5" s="6" t="s">
        <v>18</v>
      </c>
      <c r="K5" s="8">
        <f>-PV(F3,B15,,C17)</f>
        <v>2768.4687085648975</v>
      </c>
      <c r="L5" s="6"/>
      <c r="M5" s="7"/>
      <c r="N5" s="3"/>
      <c r="O5" s="3"/>
      <c r="P5" s="1"/>
      <c r="U5" s="20" t="s">
        <v>27</v>
      </c>
      <c r="V5" s="20"/>
      <c r="W5" s="20"/>
      <c r="X5" s="20"/>
      <c r="Y5" s="20"/>
      <c r="Z5" s="20"/>
      <c r="AA5" s="20"/>
      <c r="AB5" s="20"/>
      <c r="AC5" s="20"/>
      <c r="AD5" s="20"/>
    </row>
    <row r="6" spans="1:30" x14ac:dyDescent="0.35">
      <c r="A6" s="1"/>
      <c r="B6" s="6">
        <v>1</v>
      </c>
      <c r="C6" s="6">
        <v>57000</v>
      </c>
      <c r="D6" s="8">
        <f>-PV($F$3,B6,,C6)</f>
        <v>49565.217391304352</v>
      </c>
      <c r="E6" s="8">
        <f>-PMT($F$3,B6,D6)</f>
        <v>57000.000000000015</v>
      </c>
      <c r="F6" s="8">
        <f>-FV($F$3,B6,,C6)</f>
        <v>65550</v>
      </c>
      <c r="J6" s="6" t="s">
        <v>19</v>
      </c>
      <c r="K6" s="8">
        <f>SUM(D6:D15)</f>
        <v>288838.28038225608</v>
      </c>
      <c r="L6" s="6"/>
      <c r="M6" s="14"/>
      <c r="N6" s="12"/>
      <c r="O6" s="9"/>
      <c r="P6" s="9"/>
      <c r="Q6" s="11"/>
      <c r="R6" s="11"/>
      <c r="S6" s="11"/>
      <c r="T6" s="11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18.5" x14ac:dyDescent="0.45">
      <c r="A7" s="1"/>
      <c r="B7" s="6">
        <v>2</v>
      </c>
      <c r="C7" s="6">
        <v>57000</v>
      </c>
      <c r="D7" s="8">
        <f>-PV($F$3,B7,,C7)</f>
        <v>43100.189035916832</v>
      </c>
      <c r="E7" s="8">
        <f t="shared" ref="E7:E15" si="0">-PMT($F$3,B7,D7)</f>
        <v>26511.627906976752</v>
      </c>
      <c r="F7" s="8">
        <f>-FV($F$3,B7,,C7)</f>
        <v>75382.499999999985</v>
      </c>
      <c r="J7" s="6" t="s">
        <v>23</v>
      </c>
      <c r="K7" s="8">
        <f>SUM(K5:K6)</f>
        <v>291606.74909082096</v>
      </c>
      <c r="L7" s="8">
        <f>SUM(L4:L5)</f>
        <v>160000</v>
      </c>
      <c r="M7" s="8">
        <f>K7-L7</f>
        <v>131606.74909082096</v>
      </c>
      <c r="N7" s="3"/>
      <c r="O7" s="10"/>
      <c r="P7" s="1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x14ac:dyDescent="0.35">
      <c r="A8" s="1"/>
      <c r="B8" s="6">
        <v>3</v>
      </c>
      <c r="C8" s="6">
        <v>57000</v>
      </c>
      <c r="D8" s="8">
        <f>-PV($F$3,B8,,C8)</f>
        <v>37478.425248623338</v>
      </c>
      <c r="E8" s="8">
        <f t="shared" si="0"/>
        <v>16414.686825054003</v>
      </c>
      <c r="F8" s="8">
        <f t="shared" ref="F8:F15" si="1">-FV($F$3,B8,,C8)</f>
        <v>86689.874999999971</v>
      </c>
      <c r="K8" s="2"/>
      <c r="L8" s="2"/>
      <c r="M8" s="2"/>
      <c r="N8" s="3"/>
      <c r="O8" s="9"/>
      <c r="P8" s="1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x14ac:dyDescent="0.35">
      <c r="A9" s="1"/>
      <c r="B9" s="6">
        <v>4</v>
      </c>
      <c r="C9" s="6">
        <v>57000</v>
      </c>
      <c r="D9" s="8">
        <f t="shared" ref="D9:D14" si="2">-PV($F$3,B9,,C9)</f>
        <v>32589.934998802903</v>
      </c>
      <c r="E9" s="8">
        <f t="shared" si="0"/>
        <v>11415.125040678902</v>
      </c>
      <c r="F9" s="8">
        <f t="shared" si="1"/>
        <v>99693.356249999968</v>
      </c>
      <c r="J9" s="19" t="s">
        <v>25</v>
      </c>
      <c r="K9" s="19"/>
      <c r="L9" s="19"/>
      <c r="M9" s="19"/>
      <c r="N9" s="3"/>
      <c r="O9" s="9"/>
      <c r="P9" s="1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x14ac:dyDescent="0.35">
      <c r="A10" s="1"/>
      <c r="B10" s="6">
        <v>5</v>
      </c>
      <c r="C10" s="6">
        <v>57000</v>
      </c>
      <c r="D10" s="8">
        <f t="shared" si="2"/>
        <v>28339.073912002525</v>
      </c>
      <c r="E10" s="8">
        <f t="shared" si="0"/>
        <v>8453.9864903071175</v>
      </c>
      <c r="F10" s="8">
        <f t="shared" si="1"/>
        <v>114647.35968749996</v>
      </c>
      <c r="J10" s="6" t="s">
        <v>0</v>
      </c>
      <c r="L10" s="8">
        <f>FV(F3,B15,,D5)</f>
        <v>647289.23771326512</v>
      </c>
      <c r="M10" s="7"/>
      <c r="N10" s="3"/>
      <c r="O10" s="1"/>
      <c r="P10" s="1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x14ac:dyDescent="0.35">
      <c r="A11" s="1"/>
      <c r="B11" s="6">
        <v>6</v>
      </c>
      <c r="C11" s="6">
        <v>57000</v>
      </c>
      <c r="D11" s="8">
        <f t="shared" si="2"/>
        <v>24642.672966958718</v>
      </c>
      <c r="E11" s="8">
        <f t="shared" si="0"/>
        <v>6511.5036743408555</v>
      </c>
      <c r="F11" s="8">
        <f>-FV($F$3,B11,,C11)</f>
        <v>131844.46364062495</v>
      </c>
      <c r="J11" s="6" t="s">
        <v>18</v>
      </c>
      <c r="K11" s="6">
        <v>11200</v>
      </c>
      <c r="L11" s="6"/>
      <c r="M11" s="6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x14ac:dyDescent="0.35">
      <c r="A12" s="1"/>
      <c r="B12" s="6">
        <v>7</v>
      </c>
      <c r="C12" s="6">
        <v>57000</v>
      </c>
      <c r="D12" s="8">
        <f t="shared" si="2"/>
        <v>21428.411275616283</v>
      </c>
      <c r="E12" s="8">
        <f t="shared" si="0"/>
        <v>5150.5407258048572</v>
      </c>
      <c r="F12" s="8">
        <f t="shared" si="1"/>
        <v>151621.13318671865</v>
      </c>
      <c r="J12" s="6" t="s">
        <v>19</v>
      </c>
      <c r="K12" s="8">
        <f>SUM(F6:F15)</f>
        <v>1376218.9771442846</v>
      </c>
      <c r="L12" s="6"/>
      <c r="M12" s="6"/>
    </row>
    <row r="13" spans="1:30" x14ac:dyDescent="0.35">
      <c r="A13" s="1"/>
      <c r="B13" s="6">
        <v>8</v>
      </c>
      <c r="C13" s="6">
        <v>57000</v>
      </c>
      <c r="D13" s="8">
        <f>-PV($F$3,B13,,C13)</f>
        <v>18633.401109231552</v>
      </c>
      <c r="E13" s="8">
        <f t="shared" si="0"/>
        <v>4152.4551065240057</v>
      </c>
      <c r="F13" s="8">
        <f t="shared" si="1"/>
        <v>174364.30316472644</v>
      </c>
      <c r="J13" s="6"/>
      <c r="K13" s="8">
        <f>SUM(K11:K12)</f>
        <v>1387418.9771442846</v>
      </c>
      <c r="L13" s="8">
        <f>SUM(L10:L12)</f>
        <v>647289.23771326512</v>
      </c>
      <c r="M13" s="8">
        <f>K13-L13</f>
        <v>740129.73943101952</v>
      </c>
    </row>
    <row r="14" spans="1:30" x14ac:dyDescent="0.35">
      <c r="A14" s="1"/>
      <c r="B14" s="6">
        <v>9</v>
      </c>
      <c r="C14" s="6">
        <v>57000</v>
      </c>
      <c r="D14" s="8">
        <f t="shared" si="2"/>
        <v>16202.957486288306</v>
      </c>
      <c r="E14" s="8">
        <f t="shared" si="0"/>
        <v>3395.7188553852629</v>
      </c>
      <c r="F14" s="8">
        <f t="shared" si="1"/>
        <v>200518.9486394354</v>
      </c>
    </row>
    <row r="15" spans="1:30" x14ac:dyDescent="0.35">
      <c r="A15" s="1"/>
      <c r="B15" s="6">
        <v>10</v>
      </c>
      <c r="C15" s="8">
        <f>57000+C17</f>
        <v>68200</v>
      </c>
      <c r="D15" s="8">
        <f>-PV($F$3,B15,,C15)</f>
        <v>16857.996957511252</v>
      </c>
      <c r="E15" s="8">
        <f t="shared" si="0"/>
        <v>3358.9906636992864</v>
      </c>
      <c r="F15" s="8">
        <f t="shared" si="1"/>
        <v>275907.03757527925</v>
      </c>
    </row>
    <row r="16" spans="1:30" x14ac:dyDescent="0.35">
      <c r="A16" s="1"/>
      <c r="B16" s="6" t="s">
        <v>26</v>
      </c>
      <c r="C16" s="6">
        <f>SUM(C5:C15)</f>
        <v>421200</v>
      </c>
      <c r="D16" s="13">
        <f>SUM(D5:D15)</f>
        <v>128838.28038225605</v>
      </c>
      <c r="E16" s="13">
        <f>SUM(E6:E15)</f>
        <v>142364.63528877104</v>
      </c>
      <c r="F16" s="8">
        <f>SUM(F6:F15)</f>
        <v>1376218.9771442846</v>
      </c>
    </row>
    <row r="17" spans="1:13" x14ac:dyDescent="0.35">
      <c r="A17" s="1"/>
      <c r="B17" t="s">
        <v>16</v>
      </c>
      <c r="C17" s="3">
        <v>11200</v>
      </c>
      <c r="E17" s="3"/>
      <c r="F17" s="1"/>
      <c r="G17" s="5"/>
    </row>
    <row r="18" spans="1:13" x14ac:dyDescent="0.35">
      <c r="A18" s="1"/>
      <c r="D18" s="3"/>
      <c r="E18" s="3"/>
      <c r="F18" s="1"/>
      <c r="G18" s="5"/>
    </row>
    <row r="19" spans="1:13" x14ac:dyDescent="0.35">
      <c r="A19" s="1"/>
      <c r="D19" s="3"/>
      <c r="E19" s="3"/>
      <c r="F19" s="1"/>
      <c r="G19" s="4"/>
    </row>
    <row r="20" spans="1:13" x14ac:dyDescent="0.35">
      <c r="A20" s="1"/>
      <c r="B20" s="21" t="s">
        <v>11</v>
      </c>
      <c r="C20" s="22"/>
      <c r="D20" s="22"/>
      <c r="E20" s="22"/>
      <c r="F20" s="23"/>
      <c r="G20" s="4"/>
      <c r="J20" s="19" t="s">
        <v>28</v>
      </c>
      <c r="K20" s="19"/>
      <c r="L20" s="19"/>
      <c r="M20" s="19"/>
    </row>
    <row r="21" spans="1:13" x14ac:dyDescent="0.35">
      <c r="A21" s="1"/>
      <c r="B21" s="6" t="s">
        <v>8</v>
      </c>
      <c r="C21" s="6" t="s">
        <v>20</v>
      </c>
      <c r="D21" s="6" t="s">
        <v>2</v>
      </c>
      <c r="E21" s="6" t="s">
        <v>21</v>
      </c>
      <c r="F21" s="6" t="s">
        <v>4</v>
      </c>
      <c r="G21" s="6" t="s">
        <v>5</v>
      </c>
      <c r="H21" s="6" t="s">
        <v>3</v>
      </c>
      <c r="J21" s="6" t="s">
        <v>9</v>
      </c>
      <c r="K21" s="6"/>
      <c r="L21" s="8">
        <v>130000</v>
      </c>
      <c r="M21" s="7"/>
    </row>
    <row r="22" spans="1:13" x14ac:dyDescent="0.35">
      <c r="A22" s="1"/>
      <c r="B22" s="6">
        <v>0</v>
      </c>
      <c r="C22" s="6">
        <v>-130000</v>
      </c>
      <c r="D22" s="8">
        <f t="shared" ref="D22:D32" si="3">-PV($F$3,B22,,C22)</f>
        <v>-130000</v>
      </c>
      <c r="E22" s="8">
        <f>D22</f>
        <v>-130000</v>
      </c>
      <c r="F22" s="8">
        <f>-FV(F3,F2,,C22)</f>
        <v>-525922.50564202783</v>
      </c>
      <c r="G22" s="16">
        <f>IRR(C22:C32)</f>
        <v>0.11491864597365398</v>
      </c>
      <c r="H22" s="8">
        <f>C23-PMT($F$3,B32,D33)</f>
        <v>18545.42564162401</v>
      </c>
      <c r="J22" s="6" t="s">
        <v>18</v>
      </c>
      <c r="K22" s="8">
        <f>-PV($F$3,B32,,C34)</f>
        <v>2249.3808257089795</v>
      </c>
      <c r="L22" s="6"/>
      <c r="M22" s="7"/>
    </row>
    <row r="23" spans="1:13" x14ac:dyDescent="0.35">
      <c r="B23" s="6">
        <v>1</v>
      </c>
      <c r="C23" s="6">
        <v>22000</v>
      </c>
      <c r="D23" s="8">
        <f>-PV($F$3,B23,,C23)</f>
        <v>19130.434782608696</v>
      </c>
      <c r="E23" s="8">
        <f>-PMT($F$3,B23,D23)</f>
        <v>22000.000000000007</v>
      </c>
      <c r="F23" s="8">
        <f>-FV($F$3,B23,,C23)</f>
        <v>25299.999999999996</v>
      </c>
      <c r="J23" s="6" t="s">
        <v>19</v>
      </c>
      <c r="K23" s="8">
        <f>SUM(D23:D32)</f>
        <v>112662.29059450206</v>
      </c>
      <c r="L23" s="6"/>
      <c r="M23" s="14"/>
    </row>
    <row r="24" spans="1:13" x14ac:dyDescent="0.35">
      <c r="B24" s="6">
        <v>2</v>
      </c>
      <c r="C24" s="6">
        <v>22000</v>
      </c>
      <c r="D24" s="8">
        <f t="shared" si="3"/>
        <v>16635.160680529305</v>
      </c>
      <c r="E24" s="8">
        <f>-PMT($F$3,B24,D24)</f>
        <v>10232.558139534887</v>
      </c>
      <c r="F24" s="8">
        <f t="shared" ref="F24:F31" si="4">-FV($F$3,B24,,C24)</f>
        <v>29094.999999999996</v>
      </c>
      <c r="J24" s="6" t="s">
        <v>23</v>
      </c>
      <c r="K24" s="8">
        <f>SUM(K22:K23)</f>
        <v>114911.67142021105</v>
      </c>
      <c r="L24" s="8">
        <f>SUM(L21:L22)</f>
        <v>130000</v>
      </c>
      <c r="M24" s="8">
        <f>K24-L24</f>
        <v>-15088.328579788955</v>
      </c>
    </row>
    <row r="25" spans="1:13" x14ac:dyDescent="0.35">
      <c r="B25" s="6">
        <v>3</v>
      </c>
      <c r="C25" s="6">
        <v>22000</v>
      </c>
      <c r="D25" s="8">
        <f t="shared" si="3"/>
        <v>14465.357113503744</v>
      </c>
      <c r="E25" s="8">
        <f t="shared" ref="E25:E32" si="5">-PMT($F$3,B25,D25)</f>
        <v>6335.4931605471593</v>
      </c>
      <c r="F25" s="8">
        <f t="shared" si="4"/>
        <v>33459.249999999993</v>
      </c>
      <c r="K25" s="2"/>
      <c r="L25" s="2"/>
      <c r="M25" s="2"/>
    </row>
    <row r="26" spans="1:13" x14ac:dyDescent="0.35">
      <c r="B26" s="6">
        <v>4</v>
      </c>
      <c r="C26" s="6">
        <v>22000</v>
      </c>
      <c r="D26" s="8">
        <f>-PV($F$3,B26,,C26)</f>
        <v>12578.571403046733</v>
      </c>
      <c r="E26" s="8">
        <f t="shared" si="5"/>
        <v>4405.8377349988741</v>
      </c>
      <c r="F26" s="8">
        <f>-FV($F$3,B26,,C26)</f>
        <v>38478.13749999999</v>
      </c>
      <c r="J26" s="19" t="s">
        <v>28</v>
      </c>
      <c r="K26" s="19"/>
      <c r="L26" s="19"/>
      <c r="M26" s="19"/>
    </row>
    <row r="27" spans="1:13" x14ac:dyDescent="0.35">
      <c r="B27" s="6">
        <v>5</v>
      </c>
      <c r="C27" s="6">
        <v>22000</v>
      </c>
      <c r="D27" s="8">
        <f t="shared" si="3"/>
        <v>10937.888176562377</v>
      </c>
      <c r="E27" s="8">
        <f t="shared" si="5"/>
        <v>3262.9421541536249</v>
      </c>
      <c r="F27" s="8">
        <f t="shared" si="4"/>
        <v>44249.858124999984</v>
      </c>
      <c r="J27" s="6" t="s">
        <v>0</v>
      </c>
      <c r="L27" s="8">
        <f>FV($F$3,B32,,D22)</f>
        <v>525922.50564202783</v>
      </c>
      <c r="M27" s="7"/>
    </row>
    <row r="28" spans="1:13" x14ac:dyDescent="0.35">
      <c r="B28" s="6">
        <v>6</v>
      </c>
      <c r="C28" s="6">
        <v>22000</v>
      </c>
      <c r="D28" s="8">
        <f t="shared" si="3"/>
        <v>9511.2071100542416</v>
      </c>
      <c r="E28" s="8">
        <f t="shared" si="5"/>
        <v>2513.2119444824352</v>
      </c>
      <c r="F28" s="8">
        <f t="shared" si="4"/>
        <v>50887.336843749981</v>
      </c>
      <c r="J28" s="6" t="s">
        <v>18</v>
      </c>
      <c r="K28" s="6">
        <v>9100</v>
      </c>
      <c r="L28" s="6"/>
      <c r="M28" s="6"/>
    </row>
    <row r="29" spans="1:13" x14ac:dyDescent="0.35">
      <c r="B29" s="6">
        <v>7</v>
      </c>
      <c r="C29" s="6">
        <v>22000</v>
      </c>
      <c r="D29" s="8">
        <f t="shared" si="3"/>
        <v>8270.6148783080389</v>
      </c>
      <c r="E29" s="8">
        <f t="shared" si="5"/>
        <v>1987.9279994334536</v>
      </c>
      <c r="F29" s="8">
        <f t="shared" si="4"/>
        <v>58520.437370312458</v>
      </c>
      <c r="J29" s="6" t="s">
        <v>19</v>
      </c>
      <c r="K29" s="8">
        <f>SUM(F23:F32)</f>
        <v>550498.64681767591</v>
      </c>
      <c r="L29" s="6"/>
      <c r="M29" s="6"/>
    </row>
    <row r="30" spans="1:13" x14ac:dyDescent="0.35">
      <c r="B30" s="6">
        <v>8</v>
      </c>
      <c r="C30" s="6">
        <v>22000</v>
      </c>
      <c r="D30" s="8">
        <f t="shared" si="3"/>
        <v>7191.839024615686</v>
      </c>
      <c r="E30" s="8">
        <f t="shared" si="5"/>
        <v>1602.70197093909</v>
      </c>
      <c r="F30" s="8">
        <f t="shared" si="4"/>
        <v>67298.50297585933</v>
      </c>
      <c r="J30" s="6"/>
      <c r="K30" s="8">
        <f>SUM(K28:K29)</f>
        <v>559598.64681767591</v>
      </c>
      <c r="L30" s="8">
        <f>SUM(L27:L29)</f>
        <v>525922.50564202783</v>
      </c>
      <c r="M30" s="8">
        <f>K30-L30</f>
        <v>33676.141175648081</v>
      </c>
    </row>
    <row r="31" spans="1:13" x14ac:dyDescent="0.35">
      <c r="B31" s="6">
        <v>9</v>
      </c>
      <c r="C31" s="6">
        <v>22000</v>
      </c>
      <c r="D31" s="8">
        <f t="shared" si="3"/>
        <v>6253.7730648832057</v>
      </c>
      <c r="E31" s="8">
        <f t="shared" si="5"/>
        <v>1310.6283301486978</v>
      </c>
      <c r="F31" s="8">
        <f t="shared" si="4"/>
        <v>77393.278422238218</v>
      </c>
    </row>
    <row r="32" spans="1:13" x14ac:dyDescent="0.35">
      <c r="B32" s="6">
        <v>10</v>
      </c>
      <c r="C32" s="6">
        <f>22000+C34</f>
        <v>31100</v>
      </c>
      <c r="D32" s="8">
        <f t="shared" si="3"/>
        <v>7687.4443603900281</v>
      </c>
      <c r="E32" s="8">
        <f t="shared" si="5"/>
        <v>1531.7391442968888</v>
      </c>
      <c r="F32" s="8">
        <f>-FV($F$3,B32,,C32)</f>
        <v>125816.8455805159</v>
      </c>
    </row>
    <row r="33" spans="2:13" x14ac:dyDescent="0.35">
      <c r="B33" s="6"/>
      <c r="C33" s="6"/>
      <c r="D33" s="13">
        <f>SUM(D22:D32)</f>
        <v>-17337.709405497917</v>
      </c>
      <c r="E33" s="13"/>
      <c r="F33" s="8"/>
    </row>
    <row r="34" spans="2:13" ht="29" x14ac:dyDescent="0.35">
      <c r="B34" s="15" t="s">
        <v>17</v>
      </c>
      <c r="C34" s="6">
        <v>9100</v>
      </c>
    </row>
    <row r="36" spans="2:13" x14ac:dyDescent="0.35">
      <c r="B36" s="18" t="s">
        <v>13</v>
      </c>
      <c r="C36" s="18"/>
      <c r="D36" s="18"/>
      <c r="E36" s="18"/>
      <c r="F36" s="18"/>
      <c r="J36" s="19" t="s">
        <v>13</v>
      </c>
      <c r="K36" s="19"/>
      <c r="L36" s="19"/>
      <c r="M36" s="19"/>
    </row>
    <row r="37" spans="2:13" x14ac:dyDescent="0.35">
      <c r="B37" s="6" t="s">
        <v>8</v>
      </c>
      <c r="C37" s="6" t="s">
        <v>9</v>
      </c>
      <c r="D37" s="6" t="s">
        <v>2</v>
      </c>
      <c r="E37" s="6" t="s">
        <v>20</v>
      </c>
      <c r="F37" s="6" t="s">
        <v>4</v>
      </c>
      <c r="G37" s="6" t="s">
        <v>5</v>
      </c>
      <c r="H37" s="6" t="s">
        <v>3</v>
      </c>
      <c r="I37" t="s">
        <v>6</v>
      </c>
      <c r="J37" s="6" t="s">
        <v>9</v>
      </c>
      <c r="K37" s="6"/>
      <c r="L37" s="8">
        <v>225000</v>
      </c>
      <c r="M37" s="7"/>
    </row>
    <row r="38" spans="2:13" x14ac:dyDescent="0.35">
      <c r="B38" s="6">
        <v>0</v>
      </c>
      <c r="C38" s="6">
        <v>-225000</v>
      </c>
      <c r="D38" s="8">
        <f t="shared" ref="D38:D48" si="6">-PV($F$3,B38,,C38)</f>
        <v>-225000</v>
      </c>
      <c r="E38" s="8">
        <f>D38</f>
        <v>-225000</v>
      </c>
      <c r="F38" s="8">
        <f>FV(F3,F2,,C38)</f>
        <v>910250.49053427903</v>
      </c>
      <c r="G38" s="16">
        <f>IRR(C38:C48)</f>
        <v>3.9555551436786685</v>
      </c>
      <c r="H38" s="8">
        <f>C39-PMT($F$3,B48,D49)</f>
        <v>1735944.0059181959</v>
      </c>
      <c r="J38" s="6" t="s">
        <v>18</v>
      </c>
      <c r="K38" s="8">
        <f>-PV($F$3,B48,,C50)</f>
        <v>3893.1591214193872</v>
      </c>
      <c r="L38" s="6"/>
      <c r="M38" s="7"/>
    </row>
    <row r="39" spans="2:13" x14ac:dyDescent="0.35">
      <c r="B39" s="6">
        <v>1</v>
      </c>
      <c r="C39" s="6">
        <v>890000</v>
      </c>
      <c r="D39" s="8">
        <f t="shared" si="6"/>
        <v>773913.04347826098</v>
      </c>
      <c r="E39" s="8">
        <f>-PMT($F$3,B39,D39)</f>
        <v>890000.00000000035</v>
      </c>
      <c r="F39" s="8">
        <f>-FV($F$3,B39,,C39)</f>
        <v>1023499.9999999999</v>
      </c>
      <c r="J39" s="6" t="s">
        <v>19</v>
      </c>
      <c r="K39" s="8">
        <f>SUM(D39:D48)</f>
        <v>4470597.2361316858</v>
      </c>
      <c r="L39" s="6"/>
      <c r="M39" s="14"/>
    </row>
    <row r="40" spans="2:13" x14ac:dyDescent="0.35">
      <c r="B40" s="6">
        <v>2</v>
      </c>
      <c r="C40" s="6">
        <v>890000</v>
      </c>
      <c r="D40" s="8">
        <f t="shared" si="6"/>
        <v>672967.86389414</v>
      </c>
      <c r="E40" s="8">
        <f t="shared" ref="E40:E48" si="7">-PMT($F$3,B40,D40)</f>
        <v>413953.48837209312</v>
      </c>
      <c r="F40" s="8">
        <f t="shared" ref="F40:F48" si="8">-FV($F$3,B40,,C40)</f>
        <v>1177024.9999999998</v>
      </c>
      <c r="J40" s="6" t="s">
        <v>23</v>
      </c>
      <c r="K40" s="8">
        <f>SUM(K38:K39)</f>
        <v>4474490.3952531051</v>
      </c>
      <c r="L40" s="8">
        <f>SUM(L37:L38)</f>
        <v>225000</v>
      </c>
      <c r="M40" s="8">
        <f>K40-L40</f>
        <v>4249490.3952531051</v>
      </c>
    </row>
    <row r="41" spans="2:13" x14ac:dyDescent="0.35">
      <c r="B41" s="6">
        <v>3</v>
      </c>
      <c r="C41" s="6">
        <v>890000</v>
      </c>
      <c r="D41" s="8">
        <f t="shared" si="6"/>
        <v>585189.44686446968</v>
      </c>
      <c r="E41" s="8">
        <f t="shared" si="7"/>
        <v>256299.49604031694</v>
      </c>
      <c r="F41" s="8">
        <f t="shared" si="8"/>
        <v>1353578.7499999995</v>
      </c>
      <c r="K41" s="2"/>
      <c r="L41" s="2"/>
      <c r="M41" s="2"/>
    </row>
    <row r="42" spans="2:13" x14ac:dyDescent="0.35">
      <c r="B42" s="6">
        <v>4</v>
      </c>
      <c r="C42" s="6">
        <v>890000</v>
      </c>
      <c r="D42" s="8">
        <f t="shared" si="6"/>
        <v>508860.38857779972</v>
      </c>
      <c r="E42" s="8">
        <f t="shared" si="7"/>
        <v>178236.16291586356</v>
      </c>
      <c r="F42" s="8">
        <f t="shared" si="8"/>
        <v>1556615.5624999995</v>
      </c>
      <c r="J42" s="19" t="s">
        <v>13</v>
      </c>
      <c r="K42" s="19"/>
      <c r="L42" s="19"/>
      <c r="M42" s="19"/>
    </row>
    <row r="43" spans="2:13" x14ac:dyDescent="0.35">
      <c r="B43" s="6">
        <v>5</v>
      </c>
      <c r="C43" s="6">
        <v>890000</v>
      </c>
      <c r="D43" s="8">
        <f t="shared" si="6"/>
        <v>442487.29441547801</v>
      </c>
      <c r="E43" s="8">
        <f t="shared" si="7"/>
        <v>132000.84169076028</v>
      </c>
      <c r="F43" s="8">
        <f t="shared" si="8"/>
        <v>1790107.8968749994</v>
      </c>
      <c r="J43" s="6" t="s">
        <v>0</v>
      </c>
      <c r="L43" s="8">
        <f>FV($F$3,B48,,D38)</f>
        <v>910250.49053427903</v>
      </c>
      <c r="M43" s="7"/>
    </row>
    <row r="44" spans="2:13" x14ac:dyDescent="0.35">
      <c r="B44" s="6">
        <v>6</v>
      </c>
      <c r="C44" s="6">
        <v>890000</v>
      </c>
      <c r="D44" s="8">
        <f t="shared" si="6"/>
        <v>384771.56036128523</v>
      </c>
      <c r="E44" s="8">
        <f t="shared" si="7"/>
        <v>101670.84684497124</v>
      </c>
      <c r="F44" s="8">
        <f t="shared" si="8"/>
        <v>2058624.0814062492</v>
      </c>
      <c r="J44" s="6" t="s">
        <v>18</v>
      </c>
      <c r="K44" s="6">
        <v>15750</v>
      </c>
      <c r="L44" s="6"/>
      <c r="M44" s="6"/>
    </row>
    <row r="45" spans="2:13" x14ac:dyDescent="0.35">
      <c r="B45" s="6">
        <v>7</v>
      </c>
      <c r="C45" s="6">
        <v>890000</v>
      </c>
      <c r="D45" s="8">
        <f t="shared" si="6"/>
        <v>334583.9655315525</v>
      </c>
      <c r="E45" s="8">
        <f t="shared" si="7"/>
        <v>80420.723613444265</v>
      </c>
      <c r="F45" s="8">
        <f t="shared" si="8"/>
        <v>2367417.693617186</v>
      </c>
      <c r="J45" s="6" t="s">
        <v>19</v>
      </c>
      <c r="K45" s="8">
        <f>SUM(F39:F48)</f>
        <v>20844573.150984358</v>
      </c>
      <c r="L45" s="6"/>
      <c r="M45" s="6"/>
    </row>
    <row r="46" spans="2:13" x14ac:dyDescent="0.35">
      <c r="B46" s="6">
        <v>8</v>
      </c>
      <c r="C46" s="6">
        <v>890000</v>
      </c>
      <c r="D46" s="8">
        <f t="shared" si="6"/>
        <v>290942.57872308913</v>
      </c>
      <c r="E46" s="8">
        <f t="shared" si="7"/>
        <v>64836.579733445004</v>
      </c>
      <c r="F46" s="8">
        <f t="shared" si="8"/>
        <v>2722530.3476597639</v>
      </c>
      <c r="J46" s="6"/>
      <c r="K46" s="8">
        <f>SUM(K44:K45)</f>
        <v>20860323.150984358</v>
      </c>
      <c r="L46" s="8">
        <f>SUM(L43:L45)</f>
        <v>910250.49053427903</v>
      </c>
      <c r="M46" s="8">
        <f>K46-L46</f>
        <v>19950072.660450079</v>
      </c>
    </row>
    <row r="47" spans="2:13" x14ac:dyDescent="0.35">
      <c r="B47" s="6">
        <v>9</v>
      </c>
      <c r="C47" s="6">
        <v>890000</v>
      </c>
      <c r="D47" s="8">
        <f t="shared" si="6"/>
        <v>252993.5467157297</v>
      </c>
      <c r="E47" s="8">
        <f t="shared" si="7"/>
        <v>53020.873356015509</v>
      </c>
      <c r="F47" s="8">
        <f t="shared" si="8"/>
        <v>3130909.8998087281</v>
      </c>
    </row>
    <row r="48" spans="2:13" x14ac:dyDescent="0.35">
      <c r="B48" s="6">
        <v>10</v>
      </c>
      <c r="C48" s="6">
        <f>890000+C50</f>
        <v>905750</v>
      </c>
      <c r="D48" s="8">
        <f t="shared" si="6"/>
        <v>223887.54756988</v>
      </c>
      <c r="E48" s="8">
        <f t="shared" si="7"/>
        <v>44610.055625302477</v>
      </c>
      <c r="F48" s="8">
        <f t="shared" si="8"/>
        <v>3664263.9191174363</v>
      </c>
    </row>
    <row r="49" spans="2:13" x14ac:dyDescent="0.35">
      <c r="B49" s="6"/>
      <c r="C49" s="6"/>
      <c r="D49" s="13">
        <f>SUM(D38:D48)</f>
        <v>4245597.2361316858</v>
      </c>
      <c r="E49" s="13">
        <f>SUM(E39:E48)</f>
        <v>2215049.0681922124</v>
      </c>
      <c r="F49" s="8"/>
    </row>
    <row r="50" spans="2:13" x14ac:dyDescent="0.35">
      <c r="B50" s="25" t="s">
        <v>16</v>
      </c>
      <c r="C50" s="6">
        <v>15750</v>
      </c>
    </row>
    <row r="52" spans="2:13" x14ac:dyDescent="0.35">
      <c r="B52" s="19" t="s">
        <v>15</v>
      </c>
      <c r="C52" s="19"/>
      <c r="D52" s="19"/>
      <c r="E52" s="19"/>
      <c r="F52" s="19"/>
      <c r="J52" s="19" t="s">
        <v>29</v>
      </c>
      <c r="K52" s="19"/>
      <c r="L52" s="19"/>
      <c r="M52" s="19"/>
    </row>
    <row r="53" spans="2:13" x14ac:dyDescent="0.35">
      <c r="B53" s="6" t="s">
        <v>8</v>
      </c>
      <c r="C53" s="6" t="s">
        <v>9</v>
      </c>
      <c r="D53" s="6" t="s">
        <v>2</v>
      </c>
      <c r="E53" s="6" t="s">
        <v>20</v>
      </c>
      <c r="F53" s="6" t="s">
        <v>4</v>
      </c>
      <c r="G53" t="s">
        <v>5</v>
      </c>
      <c r="I53" t="s">
        <v>6</v>
      </c>
      <c r="J53" s="6" t="s">
        <v>9</v>
      </c>
      <c r="K53" s="6"/>
      <c r="L53" s="8">
        <v>145000</v>
      </c>
      <c r="M53" s="7"/>
    </row>
    <row r="54" spans="2:13" x14ac:dyDescent="0.35">
      <c r="B54" s="6">
        <v>0</v>
      </c>
      <c r="C54" s="6">
        <v>-145000</v>
      </c>
      <c r="D54" s="8">
        <f t="shared" ref="D54:D64" si="9">-PV($F$3,B54,,C54)</f>
        <v>-145000</v>
      </c>
      <c r="E54" s="8" t="e">
        <f>-PMT($F$3,B54,D54)</f>
        <v>#NUM!</v>
      </c>
      <c r="F54" s="8">
        <f>FV(F3,F2,,C54)</f>
        <v>586605.87167764641</v>
      </c>
      <c r="G54" s="5">
        <f>IRR(C54:C64)</f>
        <v>0.23154982546085501</v>
      </c>
      <c r="J54" s="6" t="s">
        <v>18</v>
      </c>
      <c r="K54" s="8">
        <f>-PV($F$3,B64,,C66)</f>
        <v>25151.043847899851</v>
      </c>
      <c r="L54" s="6"/>
      <c r="M54" s="7"/>
    </row>
    <row r="55" spans="2:13" x14ac:dyDescent="0.35">
      <c r="B55" s="6">
        <v>1</v>
      </c>
      <c r="C55" s="6">
        <v>35000</v>
      </c>
      <c r="D55" s="8">
        <f t="shared" si="9"/>
        <v>30434.782608695656</v>
      </c>
      <c r="E55" s="8">
        <f>-PMT($F$3,B55,D55)</f>
        <v>35000.000000000015</v>
      </c>
      <c r="F55" s="8">
        <f>-FV($F$3,B55,,D55)</f>
        <v>35000</v>
      </c>
      <c r="J55" s="6" t="s">
        <v>19</v>
      </c>
      <c r="K55" s="8">
        <f>SUM(D55:D64)</f>
        <v>200807.94575279794</v>
      </c>
      <c r="L55" s="6"/>
      <c r="M55" s="14"/>
    </row>
    <row r="56" spans="2:13" x14ac:dyDescent="0.35">
      <c r="B56" s="6">
        <v>2</v>
      </c>
      <c r="C56" s="6">
        <v>35000</v>
      </c>
      <c r="D56" s="8">
        <f t="shared" si="9"/>
        <v>26465.028355387527</v>
      </c>
      <c r="E56" s="8">
        <f t="shared" ref="E56:E64" si="10">-PMT($F$3,B56,D56)</f>
        <v>16279.069767441864</v>
      </c>
      <c r="F56" s="8">
        <f t="shared" ref="F56:F64" si="11">-FV($F$3,B56,,D56)</f>
        <v>35000</v>
      </c>
      <c r="G56" t="s">
        <v>3</v>
      </c>
      <c r="H56" s="4">
        <f>C55-PMT($F$3,B64,D65)</f>
        <v>46119.848296114476</v>
      </c>
      <c r="J56" s="6" t="s">
        <v>23</v>
      </c>
      <c r="K56" s="8">
        <f>SUM(K54:K55)</f>
        <v>225958.98960069779</v>
      </c>
      <c r="L56" s="8">
        <f>SUM(L53:L54)</f>
        <v>145000</v>
      </c>
      <c r="M56" s="8">
        <f>K56-L56</f>
        <v>80958.989600697794</v>
      </c>
    </row>
    <row r="57" spans="2:13" x14ac:dyDescent="0.35">
      <c r="B57" s="6">
        <v>3</v>
      </c>
      <c r="C57" s="6">
        <v>35000</v>
      </c>
      <c r="D57" s="8">
        <f t="shared" si="9"/>
        <v>23013.068135119593</v>
      </c>
      <c r="E57" s="8">
        <f t="shared" si="10"/>
        <v>10079.193664506844</v>
      </c>
      <c r="F57" s="8">
        <f t="shared" si="11"/>
        <v>35000</v>
      </c>
      <c r="K57" s="2"/>
      <c r="L57" s="2"/>
      <c r="M57" s="2"/>
    </row>
    <row r="58" spans="2:13" x14ac:dyDescent="0.35">
      <c r="B58" s="6">
        <v>4</v>
      </c>
      <c r="C58" s="6">
        <v>35000</v>
      </c>
      <c r="D58" s="8">
        <f t="shared" si="9"/>
        <v>20011.363595756167</v>
      </c>
      <c r="E58" s="8">
        <f t="shared" si="10"/>
        <v>7009.2873056800281</v>
      </c>
      <c r="F58" s="8">
        <f t="shared" si="11"/>
        <v>35000</v>
      </c>
      <c r="J58" s="19" t="s">
        <v>29</v>
      </c>
      <c r="K58" s="19"/>
      <c r="L58" s="19"/>
      <c r="M58" s="19"/>
    </row>
    <row r="59" spans="2:13" x14ac:dyDescent="0.35">
      <c r="B59" s="6">
        <v>5</v>
      </c>
      <c r="C59" s="6">
        <v>35000</v>
      </c>
      <c r="D59" s="8">
        <f t="shared" si="9"/>
        <v>17401.185735440147</v>
      </c>
      <c r="E59" s="8">
        <f t="shared" si="10"/>
        <v>5191.0443361534935</v>
      </c>
      <c r="F59" s="8">
        <f t="shared" si="11"/>
        <v>35000</v>
      </c>
      <c r="J59" s="6" t="s">
        <v>0</v>
      </c>
      <c r="L59" s="8">
        <f>FV($F$3,B64,,D54)</f>
        <v>586605.87167764641</v>
      </c>
      <c r="M59" s="7"/>
    </row>
    <row r="60" spans="2:13" x14ac:dyDescent="0.35">
      <c r="B60" s="6">
        <v>6</v>
      </c>
      <c r="C60" s="6">
        <v>35000</v>
      </c>
      <c r="D60" s="8">
        <f t="shared" si="9"/>
        <v>15131.465856904477</v>
      </c>
      <c r="E60" s="8">
        <f t="shared" si="10"/>
        <v>3998.2917298584198</v>
      </c>
      <c r="F60" s="8">
        <f t="shared" si="11"/>
        <v>35000</v>
      </c>
      <c r="J60" s="6" t="s">
        <v>18</v>
      </c>
      <c r="K60" s="6">
        <v>101750</v>
      </c>
      <c r="L60" s="6"/>
      <c r="M60" s="6"/>
    </row>
    <row r="61" spans="2:13" x14ac:dyDescent="0.35">
      <c r="B61" s="6">
        <v>7</v>
      </c>
      <c r="C61" s="6">
        <v>35000</v>
      </c>
      <c r="D61" s="8">
        <f t="shared" si="9"/>
        <v>13157.796397308244</v>
      </c>
      <c r="E61" s="8">
        <f t="shared" si="10"/>
        <v>3162.6127263714038</v>
      </c>
      <c r="F61" s="8">
        <f t="shared" si="11"/>
        <v>35000</v>
      </c>
      <c r="J61" s="6" t="s">
        <v>19</v>
      </c>
      <c r="K61" s="8">
        <f>SUM(D55:D64)</f>
        <v>200807.94575279794</v>
      </c>
      <c r="L61" s="6"/>
      <c r="M61" s="6"/>
    </row>
    <row r="62" spans="2:13" x14ac:dyDescent="0.35">
      <c r="B62" s="6">
        <v>8</v>
      </c>
      <c r="C62" s="6">
        <v>35000</v>
      </c>
      <c r="D62" s="8">
        <f t="shared" si="9"/>
        <v>11441.562084615865</v>
      </c>
      <c r="E62" s="8">
        <f t="shared" si="10"/>
        <v>2549.7531355849164</v>
      </c>
      <c r="F62" s="8">
        <f t="shared" si="11"/>
        <v>35000</v>
      </c>
      <c r="J62" s="6"/>
      <c r="K62" s="8">
        <f>SUM(K60:K61)</f>
        <v>302557.94575279794</v>
      </c>
      <c r="L62" s="8">
        <f>SUM(L59:L61)</f>
        <v>586605.87167764641</v>
      </c>
      <c r="M62" s="8">
        <f>K62-L62</f>
        <v>-284047.92592484847</v>
      </c>
    </row>
    <row r="63" spans="2:13" x14ac:dyDescent="0.35">
      <c r="B63" s="6">
        <v>9</v>
      </c>
      <c r="C63" s="6">
        <v>35000</v>
      </c>
      <c r="D63" s="8">
        <f t="shared" si="9"/>
        <v>9949.1844214050998</v>
      </c>
      <c r="E63" s="8">
        <f t="shared" si="10"/>
        <v>2085.0905252365646</v>
      </c>
      <c r="F63" s="8">
        <f t="shared" si="11"/>
        <v>35000</v>
      </c>
    </row>
    <row r="64" spans="2:13" x14ac:dyDescent="0.35">
      <c r="B64" s="6">
        <v>10</v>
      </c>
      <c r="C64" s="6">
        <f>35000+C66</f>
        <v>136750</v>
      </c>
      <c r="D64" s="8">
        <f t="shared" si="9"/>
        <v>33802.50856216516</v>
      </c>
      <c r="E64" s="8">
        <f t="shared" si="10"/>
        <v>6735.2195492797282</v>
      </c>
      <c r="F64" s="8">
        <f t="shared" si="11"/>
        <v>136750</v>
      </c>
    </row>
    <row r="65" spans="2:13" x14ac:dyDescent="0.35">
      <c r="B65" s="6"/>
      <c r="C65" s="6"/>
      <c r="D65" s="13">
        <f>SUM(D54:D64)</f>
        <v>55807.945752797939</v>
      </c>
      <c r="E65" s="13"/>
      <c r="F65" s="8"/>
    </row>
    <row r="66" spans="2:13" x14ac:dyDescent="0.35">
      <c r="B66" s="25" t="s">
        <v>16</v>
      </c>
      <c r="C66" s="6">
        <v>101750</v>
      </c>
    </row>
    <row r="70" spans="2:13" x14ac:dyDescent="0.35">
      <c r="B70" s="19" t="s">
        <v>12</v>
      </c>
      <c r="C70" s="19"/>
      <c r="D70" s="19"/>
      <c r="E70" s="19"/>
      <c r="F70" s="19"/>
      <c r="J70" s="19" t="s">
        <v>30</v>
      </c>
      <c r="K70" s="19"/>
      <c r="L70" s="19"/>
      <c r="M70" s="19"/>
    </row>
    <row r="71" spans="2:13" x14ac:dyDescent="0.35">
      <c r="B71" s="26" t="s">
        <v>8</v>
      </c>
      <c r="C71" s="26" t="s">
        <v>9</v>
      </c>
      <c r="D71" s="26" t="s">
        <v>2</v>
      </c>
      <c r="E71" s="17" t="s">
        <v>20</v>
      </c>
      <c r="F71" s="26" t="s">
        <v>4</v>
      </c>
      <c r="G71" t="s">
        <v>5</v>
      </c>
      <c r="I71" t="s">
        <v>6</v>
      </c>
      <c r="J71" s="6" t="s">
        <v>9</v>
      </c>
      <c r="K71" s="6"/>
      <c r="L71" s="8">
        <v>145000</v>
      </c>
      <c r="M71" s="7"/>
    </row>
    <row r="72" spans="2:13" x14ac:dyDescent="0.35">
      <c r="B72" s="6">
        <v>0</v>
      </c>
      <c r="C72" s="6">
        <v>-350000</v>
      </c>
      <c r="D72" s="8">
        <f t="shared" ref="D72:D81" si="12">-PV($F$3,B72,,C72)</f>
        <v>-350000</v>
      </c>
      <c r="F72" s="8">
        <f>FV(F3,F2,,C72)</f>
        <v>1415945.2074977674</v>
      </c>
      <c r="G72" s="5">
        <f>IRR(C72:C82)</f>
        <v>0.54184621457227888</v>
      </c>
      <c r="J72" s="6" t="s">
        <v>18</v>
      </c>
      <c r="K72" s="8">
        <f>-PV($F$3,B82,,D84)</f>
        <v>6056.0252999857139</v>
      </c>
      <c r="L72" s="6"/>
      <c r="M72" s="7"/>
    </row>
    <row r="73" spans="2:13" x14ac:dyDescent="0.35">
      <c r="B73" s="6">
        <v>1</v>
      </c>
      <c r="C73" s="6">
        <v>192000</v>
      </c>
      <c r="D73" s="8">
        <f t="shared" si="12"/>
        <v>166956.52173913046</v>
      </c>
      <c r="F73" s="8">
        <f>-FV($F$3,B73,,C73)</f>
        <v>220799.99999999997</v>
      </c>
      <c r="J73" s="6" t="s">
        <v>19</v>
      </c>
      <c r="K73" s="8">
        <f>SUM(D73:D82)</f>
        <v>969659.60146399797</v>
      </c>
      <c r="L73" s="6"/>
      <c r="M73" s="14"/>
    </row>
    <row r="74" spans="2:13" x14ac:dyDescent="0.35">
      <c r="B74" s="6">
        <v>2</v>
      </c>
      <c r="C74" s="6">
        <v>192000</v>
      </c>
      <c r="D74" s="8">
        <f t="shared" si="12"/>
        <v>145179.584120983</v>
      </c>
      <c r="F74" s="8">
        <f t="shared" ref="F74:F82" si="13">-FV($F$3,B74,,C74)</f>
        <v>253919.99999999997</v>
      </c>
      <c r="G74" t="s">
        <v>3</v>
      </c>
      <c r="H74" s="4">
        <f>C73-PMT($F$3,B82,D83)</f>
        <v>315468.45365052624</v>
      </c>
      <c r="J74" s="6" t="s">
        <v>23</v>
      </c>
      <c r="K74" s="8">
        <f>SUM(K72:K73)</f>
        <v>975715.62676398363</v>
      </c>
      <c r="L74" s="8">
        <f>SUM(L71:L72)</f>
        <v>145000</v>
      </c>
      <c r="M74" s="8">
        <f>K74-L74</f>
        <v>830715.62676398363</v>
      </c>
    </row>
    <row r="75" spans="2:13" x14ac:dyDescent="0.35">
      <c r="B75" s="6">
        <v>3</v>
      </c>
      <c r="C75" s="6">
        <v>192000</v>
      </c>
      <c r="D75" s="8">
        <f t="shared" si="12"/>
        <v>126243.11662694177</v>
      </c>
      <c r="F75" s="8">
        <f t="shared" si="13"/>
        <v>292007.99999999988</v>
      </c>
      <c r="K75" s="2"/>
      <c r="L75" s="2"/>
      <c r="M75" s="2"/>
    </row>
    <row r="76" spans="2:13" x14ac:dyDescent="0.35">
      <c r="B76" s="6">
        <v>4</v>
      </c>
      <c r="C76" s="6">
        <v>192000</v>
      </c>
      <c r="D76" s="8">
        <f t="shared" si="12"/>
        <v>109776.62315386241</v>
      </c>
      <c r="F76" s="8">
        <f t="shared" si="13"/>
        <v>335809.1999999999</v>
      </c>
      <c r="J76" s="19" t="s">
        <v>30</v>
      </c>
      <c r="K76" s="19"/>
      <c r="L76" s="19"/>
      <c r="M76" s="19"/>
    </row>
    <row r="77" spans="2:13" x14ac:dyDescent="0.35">
      <c r="B77" s="6">
        <v>5</v>
      </c>
      <c r="C77" s="6">
        <v>192000</v>
      </c>
      <c r="D77" s="8">
        <f t="shared" si="12"/>
        <v>95457.933177271654</v>
      </c>
      <c r="F77" s="8">
        <f t="shared" si="13"/>
        <v>386180.5799999999</v>
      </c>
      <c r="J77" s="6" t="s">
        <v>0</v>
      </c>
      <c r="L77" s="8">
        <f>FV($F$3,B82,,D72)</f>
        <v>1415945.2074977674</v>
      </c>
      <c r="M77" s="7"/>
    </row>
    <row r="78" spans="2:13" x14ac:dyDescent="0.35">
      <c r="B78" s="6">
        <v>6</v>
      </c>
      <c r="C78" s="6">
        <v>192000</v>
      </c>
      <c r="D78" s="8">
        <f t="shared" si="12"/>
        <v>83006.898415018833</v>
      </c>
      <c r="F78" s="8">
        <f t="shared" si="13"/>
        <v>444107.66699999984</v>
      </c>
      <c r="J78" s="6" t="s">
        <v>18</v>
      </c>
      <c r="K78" s="6">
        <v>24500</v>
      </c>
      <c r="L78" s="6"/>
      <c r="M78" s="6"/>
    </row>
    <row r="79" spans="2:13" x14ac:dyDescent="0.35">
      <c r="B79" s="6">
        <v>7</v>
      </c>
      <c r="C79" s="6">
        <v>192000</v>
      </c>
      <c r="D79" s="8">
        <f t="shared" si="12"/>
        <v>72179.911665233798</v>
      </c>
      <c r="F79" s="8">
        <f t="shared" si="13"/>
        <v>510723.81704999966</v>
      </c>
      <c r="J79" s="6" t="s">
        <v>19</v>
      </c>
      <c r="K79" s="8">
        <f>SUM(F73:F82)</f>
        <v>4582177.1514868848</v>
      </c>
      <c r="L79" s="6"/>
      <c r="M79" s="6"/>
    </row>
    <row r="80" spans="2:13" x14ac:dyDescent="0.35">
      <c r="B80" s="6">
        <v>8</v>
      </c>
      <c r="C80" s="6">
        <v>192000</v>
      </c>
      <c r="D80" s="8">
        <f t="shared" si="12"/>
        <v>62765.140578464168</v>
      </c>
      <c r="F80" s="8">
        <f t="shared" si="13"/>
        <v>587332.38960749959</v>
      </c>
      <c r="J80" s="6"/>
      <c r="K80" s="8">
        <f>SUM(K78:K79)</f>
        <v>4606677.1514868848</v>
      </c>
      <c r="L80" s="8">
        <f>SUM(L77:L79)</f>
        <v>1415945.2074977674</v>
      </c>
      <c r="M80" s="8">
        <f>K80-L80</f>
        <v>3190731.9439891176</v>
      </c>
    </row>
    <row r="81" spans="2:13" x14ac:dyDescent="0.35">
      <c r="B81" s="6">
        <v>9</v>
      </c>
      <c r="C81" s="6">
        <v>192000</v>
      </c>
      <c r="D81" s="8">
        <f t="shared" si="12"/>
        <v>54578.383111707975</v>
      </c>
      <c r="F81" s="8">
        <f t="shared" si="13"/>
        <v>675432.24804862449</v>
      </c>
    </row>
    <row r="82" spans="2:13" x14ac:dyDescent="0.35">
      <c r="B82" s="6">
        <v>10</v>
      </c>
      <c r="C82" s="6">
        <f>192000+D84</f>
        <v>216500</v>
      </c>
      <c r="D82" s="8">
        <f>-PV($F$3,B82,,C82)</f>
        <v>53515.488875383962</v>
      </c>
      <c r="F82" s="8">
        <f t="shared" si="13"/>
        <v>875863.24978076178</v>
      </c>
    </row>
    <row r="83" spans="2:13" x14ac:dyDescent="0.35">
      <c r="B83" s="6"/>
      <c r="C83" s="6"/>
      <c r="D83" s="13">
        <f>SUM(D72:D82)</f>
        <v>619659.60146399797</v>
      </c>
      <c r="F83" s="8"/>
    </row>
    <row r="84" spans="2:13" x14ac:dyDescent="0.35">
      <c r="C84" s="25" t="s">
        <v>16</v>
      </c>
      <c r="D84" s="6">
        <v>24500</v>
      </c>
    </row>
    <row r="87" spans="2:13" x14ac:dyDescent="0.35">
      <c r="B87" s="19" t="s">
        <v>14</v>
      </c>
      <c r="C87" s="19"/>
      <c r="D87" s="19"/>
      <c r="E87" s="19"/>
      <c r="F87" s="24"/>
      <c r="J87" s="19" t="s">
        <v>14</v>
      </c>
      <c r="K87" s="19"/>
      <c r="L87" s="19"/>
      <c r="M87" s="19"/>
    </row>
    <row r="88" spans="2:13" x14ac:dyDescent="0.35">
      <c r="B88" s="6" t="s">
        <v>8</v>
      </c>
      <c r="C88" s="6" t="s">
        <v>9</v>
      </c>
      <c r="D88" s="6" t="s">
        <v>2</v>
      </c>
      <c r="F88" s="6" t="s">
        <v>4</v>
      </c>
      <c r="G88" s="6" t="s">
        <v>5</v>
      </c>
      <c r="H88" s="6" t="s">
        <v>3</v>
      </c>
      <c r="I88" t="s">
        <v>6</v>
      </c>
      <c r="J88" s="6" t="s">
        <v>9</v>
      </c>
      <c r="K88" s="6"/>
      <c r="L88" s="8">
        <v>145000</v>
      </c>
      <c r="M88" s="7"/>
    </row>
    <row r="89" spans="2:13" x14ac:dyDescent="0.35">
      <c r="B89" s="6">
        <v>0</v>
      </c>
      <c r="C89" s="6">
        <v>-510000</v>
      </c>
      <c r="D89" s="8">
        <f>-PV($F$3,F2,,C89)</f>
        <v>-126064.2001221516</v>
      </c>
      <c r="F89" s="8">
        <f>FV(F3,F2,,C89)</f>
        <v>2063234.4452110324</v>
      </c>
      <c r="G89" s="16">
        <f>IRR(C89:C99)</f>
        <v>0.52811704605693399</v>
      </c>
      <c r="H89" s="8">
        <f>C90-PMT($F$3,B99,D100)</f>
        <v>522639.74674790958</v>
      </c>
      <c r="J89" s="6" t="s">
        <v>18</v>
      </c>
      <c r="K89" s="8">
        <f>-PV($F$3,B99,,C101)</f>
        <v>8824.4940085506114</v>
      </c>
      <c r="L89" s="6"/>
      <c r="M89" s="7"/>
    </row>
    <row r="90" spans="2:13" x14ac:dyDescent="0.35">
      <c r="B90" s="6">
        <v>1</v>
      </c>
      <c r="C90" s="6">
        <v>273000</v>
      </c>
      <c r="D90" s="8">
        <f t="shared" ref="D90:D99" si="14">-PV($F$3,B90,,C90)</f>
        <v>237391.30434782611</v>
      </c>
      <c r="F90" s="8">
        <f>-FV($F$3,B90,,C90)</f>
        <v>313950</v>
      </c>
      <c r="G90" s="11"/>
      <c r="J90" s="6" t="s">
        <v>19</v>
      </c>
      <c r="K90" s="8">
        <f>SUM(D90:D99)</f>
        <v>1378948.3288667554</v>
      </c>
      <c r="L90" s="6"/>
      <c r="M90" s="14"/>
    </row>
    <row r="91" spans="2:13" x14ac:dyDescent="0.35">
      <c r="B91" s="6">
        <v>2</v>
      </c>
      <c r="C91" s="6">
        <v>273000</v>
      </c>
      <c r="D91" s="8">
        <f t="shared" si="14"/>
        <v>206427.22117202272</v>
      </c>
      <c r="F91" s="8">
        <f t="shared" ref="F91:F99" si="15">-FV($F$3,B91,,C91)</f>
        <v>361042.49999999994</v>
      </c>
      <c r="J91" s="6" t="s">
        <v>23</v>
      </c>
      <c r="K91" s="8">
        <f>SUM(K89:K90)</f>
        <v>1387772.822875306</v>
      </c>
      <c r="L91" s="8">
        <f>SUM(L88:L89)</f>
        <v>145000</v>
      </c>
      <c r="M91" s="8">
        <f>K91-L91</f>
        <v>1242772.822875306</v>
      </c>
    </row>
    <row r="92" spans="2:13" x14ac:dyDescent="0.35">
      <c r="B92" s="6">
        <v>3</v>
      </c>
      <c r="C92" s="6">
        <v>273000</v>
      </c>
      <c r="D92" s="8">
        <f t="shared" si="14"/>
        <v>179501.93145393283</v>
      </c>
      <c r="F92" s="8">
        <f t="shared" si="15"/>
        <v>415198.87499999988</v>
      </c>
      <c r="K92" s="2"/>
      <c r="L92" s="2"/>
      <c r="M92" s="2"/>
    </row>
    <row r="93" spans="2:13" x14ac:dyDescent="0.35">
      <c r="B93" s="6">
        <v>4</v>
      </c>
      <c r="C93" s="6">
        <v>273000</v>
      </c>
      <c r="D93" s="8">
        <f t="shared" si="14"/>
        <v>156088.63604689811</v>
      </c>
      <c r="F93" s="8">
        <f t="shared" si="15"/>
        <v>477478.70624999987</v>
      </c>
      <c r="G93" s="11"/>
      <c r="J93" s="19" t="s">
        <v>14</v>
      </c>
      <c r="K93" s="19"/>
      <c r="L93" s="19"/>
      <c r="M93" s="19"/>
    </row>
    <row r="94" spans="2:13" x14ac:dyDescent="0.35">
      <c r="B94" s="6">
        <v>5</v>
      </c>
      <c r="C94" s="6">
        <v>273000</v>
      </c>
      <c r="D94" s="8">
        <f t="shared" si="14"/>
        <v>135729.24873643313</v>
      </c>
      <c r="F94" s="8">
        <f t="shared" si="15"/>
        <v>549100.51218749979</v>
      </c>
      <c r="G94" s="11"/>
      <c r="J94" s="6" t="s">
        <v>0</v>
      </c>
      <c r="L94" s="8">
        <f>FV($F$3,B99,,D89)</f>
        <v>510000</v>
      </c>
      <c r="M94" s="7"/>
    </row>
    <row r="95" spans="2:13" x14ac:dyDescent="0.35">
      <c r="B95" s="6">
        <v>6</v>
      </c>
      <c r="C95" s="6">
        <v>273000</v>
      </c>
      <c r="D95" s="8">
        <f t="shared" si="14"/>
        <v>118025.43368385491</v>
      </c>
      <c r="F95" s="8">
        <f t="shared" si="15"/>
        <v>631465.58901562472</v>
      </c>
      <c r="G95" s="11"/>
      <c r="J95" s="6" t="s">
        <v>18</v>
      </c>
      <c r="K95" s="6">
        <f>C101</f>
        <v>35700</v>
      </c>
      <c r="L95" s="6"/>
      <c r="M95" s="6"/>
    </row>
    <row r="96" spans="2:13" x14ac:dyDescent="0.35">
      <c r="B96" s="6">
        <v>7</v>
      </c>
      <c r="C96" s="6">
        <v>273000</v>
      </c>
      <c r="D96" s="8">
        <f t="shared" si="14"/>
        <v>102630.8118990043</v>
      </c>
      <c r="F96" s="8">
        <f t="shared" si="15"/>
        <v>726185.42736796825</v>
      </c>
      <c r="G96" s="11"/>
      <c r="J96" s="6" t="s">
        <v>19</v>
      </c>
      <c r="K96" s="8">
        <f>SUM(F90:F99)</f>
        <v>6518778.7520014243</v>
      </c>
      <c r="L96" s="6"/>
      <c r="M96" s="6"/>
    </row>
    <row r="97" spans="2:13" x14ac:dyDescent="0.35">
      <c r="B97" s="6">
        <v>8</v>
      </c>
      <c r="C97" s="6">
        <v>273000</v>
      </c>
      <c r="D97" s="8">
        <f t="shared" si="14"/>
        <v>89244.184260003749</v>
      </c>
      <c r="F97" s="8">
        <f t="shared" si="15"/>
        <v>835113.24147316348</v>
      </c>
      <c r="G97" s="11"/>
      <c r="J97" s="6"/>
      <c r="K97" s="8">
        <f>SUM(K95:K96)</f>
        <v>6554478.7520014243</v>
      </c>
      <c r="L97" s="8">
        <f>SUM(L94:L96)</f>
        <v>510000</v>
      </c>
      <c r="M97" s="8">
        <f>K97-L97</f>
        <v>6044478.7520014243</v>
      </c>
    </row>
    <row r="98" spans="2:13" x14ac:dyDescent="0.35">
      <c r="B98" s="6">
        <v>9</v>
      </c>
      <c r="C98" s="6">
        <v>273000</v>
      </c>
      <c r="D98" s="8">
        <f t="shared" si="14"/>
        <v>77603.638486959782</v>
      </c>
      <c r="F98" s="8">
        <f t="shared" si="15"/>
        <v>960380.22769413795</v>
      </c>
      <c r="G98" s="11"/>
    </row>
    <row r="99" spans="2:13" x14ac:dyDescent="0.35">
      <c r="B99" s="6">
        <v>10</v>
      </c>
      <c r="C99" s="6">
        <f>273000+C101</f>
        <v>308700</v>
      </c>
      <c r="D99" s="8">
        <f t="shared" si="14"/>
        <v>76305.918779819986</v>
      </c>
      <c r="F99" s="8">
        <f t="shared" si="15"/>
        <v>1248863.6730130308</v>
      </c>
      <c r="G99" s="11"/>
    </row>
    <row r="100" spans="2:13" x14ac:dyDescent="0.35">
      <c r="B100" s="6"/>
      <c r="C100" s="6"/>
      <c r="D100" s="13">
        <f>SUM(D89:D99)</f>
        <v>1252884.1287446038</v>
      </c>
      <c r="F100" s="8"/>
      <c r="G100" s="11"/>
    </row>
    <row r="101" spans="2:13" x14ac:dyDescent="0.35">
      <c r="B101" s="25" t="s">
        <v>16</v>
      </c>
      <c r="C101" s="6">
        <v>35700</v>
      </c>
    </row>
  </sheetData>
  <mergeCells count="18">
    <mergeCell ref="J93:M93"/>
    <mergeCell ref="J3:M3"/>
    <mergeCell ref="J9:M9"/>
    <mergeCell ref="U5:AD11"/>
    <mergeCell ref="B20:F20"/>
    <mergeCell ref="J70:M70"/>
    <mergeCell ref="B36:F36"/>
    <mergeCell ref="B52:F52"/>
    <mergeCell ref="B70:F70"/>
    <mergeCell ref="B87:F87"/>
    <mergeCell ref="J20:M20"/>
    <mergeCell ref="J26:M26"/>
    <mergeCell ref="J36:M36"/>
    <mergeCell ref="J42:M42"/>
    <mergeCell ref="J52:M52"/>
    <mergeCell ref="J58:M58"/>
    <mergeCell ref="J76:M76"/>
    <mergeCell ref="J87:M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amaya</dc:creator>
  <cp:lastModifiedBy>edson amaya</cp:lastModifiedBy>
  <dcterms:created xsi:type="dcterms:W3CDTF">2015-06-05T18:17:20Z</dcterms:created>
  <dcterms:modified xsi:type="dcterms:W3CDTF">2020-11-19T16:26:05Z</dcterms:modified>
</cp:coreProperties>
</file>