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persons/person1.xml" ContentType="application/vnd.ms-excel.person+xml"/>
  <Override PartName="/xl/persons/person0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2c0c1397d05e4d9/Desktop/Quantitative-Finance-Sem-6/"/>
    </mc:Choice>
  </mc:AlternateContent>
  <xr:revisionPtr revIDLastSave="859" documentId="8_{E99F7C0B-9B0D-4FA5-A773-28242BC6378D}" xr6:coauthVersionLast="47" xr6:coauthVersionMax="47" xr10:uidLastSave="{8EE102A9-5FB8-40EF-8608-EB23B2C184F6}"/>
  <bookViews>
    <workbookView xWindow="-108" yWindow="-108" windowWidth="23256" windowHeight="12456" activeTab="3" xr2:uid="{875F66E1-5641-46B4-8B45-CBF4D36F941C}"/>
  </bookViews>
  <sheets>
    <sheet name="Sheet1" sheetId="1" r:id="rId1"/>
    <sheet name="Sheet2" sheetId="2" r:id="rId2"/>
    <sheet name="Sheet3" sheetId="3" r:id="rId3"/>
    <sheet name="Sheet4" sheetId="4" r:id="rId4"/>
    <sheet name="Additional-discord-question" sheetId="5" r:id="rId5"/>
    <sheet name="Sheet5" sheetId="6" r:id="rId6"/>
    <sheet name="Sheet6" sheetId="7" r:id="rId7"/>
    <sheet name="Sheet7" sheetId="8" r:id="rId8"/>
  </sheets>
  <definedNames>
    <definedName name="solver_adj" localSheetId="4" hidden="1">'Additional-discord-question'!$H$5:$H$6</definedName>
    <definedName name="solver_adj" localSheetId="2" hidden="1">Sheet3!$I$24:$I$25</definedName>
    <definedName name="solver_adj" localSheetId="3" hidden="1">Sheet4!$I$24:$I$25</definedName>
    <definedName name="solver_adj" localSheetId="5" hidden="1">Sheet5!$J$116:$J$117</definedName>
    <definedName name="solver_adj" localSheetId="6" hidden="1">Sheet6!$F$5:$F$6</definedName>
    <definedName name="solver_cvg" localSheetId="4" hidden="1">0.0001</definedName>
    <definedName name="solver_cvg" localSheetId="2" hidden="1">0.0001</definedName>
    <definedName name="solver_cvg" localSheetId="3" hidden="1">0.0001</definedName>
    <definedName name="solver_cvg" localSheetId="5" hidden="1">0.0001</definedName>
    <definedName name="solver_cvg" localSheetId="6" hidden="1">0.0001</definedName>
    <definedName name="solver_drv" localSheetId="4" hidden="1">1</definedName>
    <definedName name="solver_drv" localSheetId="2" hidden="1">1</definedName>
    <definedName name="solver_drv" localSheetId="3" hidden="1">1</definedName>
    <definedName name="solver_drv" localSheetId="5" hidden="1">1</definedName>
    <definedName name="solver_drv" localSheetId="6" hidden="1">1</definedName>
    <definedName name="solver_eng" localSheetId="4" hidden="1">1</definedName>
    <definedName name="solver_eng" localSheetId="2" hidden="1">1</definedName>
    <definedName name="solver_eng" localSheetId="3" hidden="1">1</definedName>
    <definedName name="solver_eng" localSheetId="5" hidden="1">1</definedName>
    <definedName name="solver_eng" localSheetId="6" hidden="1">1</definedName>
    <definedName name="solver_est" localSheetId="4" hidden="1">1</definedName>
    <definedName name="solver_est" localSheetId="2" hidden="1">1</definedName>
    <definedName name="solver_est" localSheetId="3" hidden="1">1</definedName>
    <definedName name="solver_est" localSheetId="5" hidden="1">1</definedName>
    <definedName name="solver_est" localSheetId="6" hidden="1">1</definedName>
    <definedName name="solver_itr" localSheetId="4" hidden="1">2147483647</definedName>
    <definedName name="solver_itr" localSheetId="2" hidden="1">2147483647</definedName>
    <definedName name="solver_itr" localSheetId="3" hidden="1">2147483647</definedName>
    <definedName name="solver_itr" localSheetId="5" hidden="1">2147483647</definedName>
    <definedName name="solver_itr" localSheetId="6" hidden="1">2147483647</definedName>
    <definedName name="solver_lhs1" localSheetId="4" hidden="1">'Additional-discord-question'!$H$8</definedName>
    <definedName name="solver_lhs1" localSheetId="2" hidden="1">Sheet3!$I$27</definedName>
    <definedName name="solver_lhs1" localSheetId="3" hidden="1">Sheet4!$I$27</definedName>
    <definedName name="solver_lhs1" localSheetId="5" hidden="1">Sheet5!$J$118</definedName>
    <definedName name="solver_lhs1" localSheetId="6" hidden="1">Sheet6!$F$8</definedName>
    <definedName name="solver_mip" localSheetId="4" hidden="1">2147483647</definedName>
    <definedName name="solver_mip" localSheetId="2" hidden="1">2147483647</definedName>
    <definedName name="solver_mip" localSheetId="3" hidden="1">2147483647</definedName>
    <definedName name="solver_mip" localSheetId="5" hidden="1">2147483647</definedName>
    <definedName name="solver_mip" localSheetId="6" hidden="1">2147483647</definedName>
    <definedName name="solver_mni" localSheetId="4" hidden="1">30</definedName>
    <definedName name="solver_mni" localSheetId="2" hidden="1">30</definedName>
    <definedName name="solver_mni" localSheetId="3" hidden="1">30</definedName>
    <definedName name="solver_mni" localSheetId="5" hidden="1">30</definedName>
    <definedName name="solver_mni" localSheetId="6" hidden="1">30</definedName>
    <definedName name="solver_mrt" localSheetId="4" hidden="1">0.075</definedName>
    <definedName name="solver_mrt" localSheetId="2" hidden="1">0.075</definedName>
    <definedName name="solver_mrt" localSheetId="3" hidden="1">0.075</definedName>
    <definedName name="solver_mrt" localSheetId="5" hidden="1">0.075</definedName>
    <definedName name="solver_mrt" localSheetId="6" hidden="1">0.075</definedName>
    <definedName name="solver_msl" localSheetId="4" hidden="1">2</definedName>
    <definedName name="solver_msl" localSheetId="2" hidden="1">2</definedName>
    <definedName name="solver_msl" localSheetId="3" hidden="1">2</definedName>
    <definedName name="solver_msl" localSheetId="5" hidden="1">2</definedName>
    <definedName name="solver_msl" localSheetId="6" hidden="1">2</definedName>
    <definedName name="solver_neg" localSheetId="4" hidden="1">1</definedName>
    <definedName name="solver_neg" localSheetId="2" hidden="1">1</definedName>
    <definedName name="solver_neg" localSheetId="3" hidden="1">1</definedName>
    <definedName name="solver_neg" localSheetId="5" hidden="1">1</definedName>
    <definedName name="solver_neg" localSheetId="6" hidden="1">1</definedName>
    <definedName name="solver_nod" localSheetId="4" hidden="1">2147483647</definedName>
    <definedName name="solver_nod" localSheetId="2" hidden="1">2147483647</definedName>
    <definedName name="solver_nod" localSheetId="3" hidden="1">2147483647</definedName>
    <definedName name="solver_nod" localSheetId="5" hidden="1">2147483647</definedName>
    <definedName name="solver_nod" localSheetId="6" hidden="1">2147483647</definedName>
    <definedName name="solver_num" localSheetId="4" hidden="1">1</definedName>
    <definedName name="solver_num" localSheetId="2" hidden="1">1</definedName>
    <definedName name="solver_num" localSheetId="3" hidden="1">1</definedName>
    <definedName name="solver_num" localSheetId="5" hidden="1">1</definedName>
    <definedName name="solver_num" localSheetId="6" hidden="1">1</definedName>
    <definedName name="solver_nwt" localSheetId="4" hidden="1">1</definedName>
    <definedName name="solver_nwt" localSheetId="2" hidden="1">1</definedName>
    <definedName name="solver_nwt" localSheetId="3" hidden="1">1</definedName>
    <definedName name="solver_nwt" localSheetId="5" hidden="1">1</definedName>
    <definedName name="solver_nwt" localSheetId="6" hidden="1">1</definedName>
    <definedName name="solver_opt" localSheetId="4" hidden="1">'Additional-discord-question'!$E$6</definedName>
    <definedName name="solver_opt" localSheetId="2" hidden="1">Sheet3!$D$38</definedName>
    <definedName name="solver_opt" localSheetId="3" hidden="1">Sheet4!$D$60</definedName>
    <definedName name="solver_opt" localSheetId="5" hidden="1">Sheet5!$F$117</definedName>
    <definedName name="solver_opt" localSheetId="6" hidden="1">Sheet6!$J$8</definedName>
    <definedName name="solver_pre" localSheetId="4" hidden="1">0.000001</definedName>
    <definedName name="solver_pre" localSheetId="2" hidden="1">0.000001</definedName>
    <definedName name="solver_pre" localSheetId="3" hidden="1">0.000001</definedName>
    <definedName name="solver_pre" localSheetId="5" hidden="1">0.000001</definedName>
    <definedName name="solver_pre" localSheetId="6" hidden="1">0.000001</definedName>
    <definedName name="solver_rbv" localSheetId="4" hidden="1">1</definedName>
    <definedName name="solver_rbv" localSheetId="2" hidden="1">1</definedName>
    <definedName name="solver_rbv" localSheetId="3" hidden="1">1</definedName>
    <definedName name="solver_rbv" localSheetId="5" hidden="1">1</definedName>
    <definedName name="solver_rbv" localSheetId="6" hidden="1">1</definedName>
    <definedName name="solver_rel1" localSheetId="4" hidden="1">2</definedName>
    <definedName name="solver_rel1" localSheetId="2" hidden="1">2</definedName>
    <definedName name="solver_rel1" localSheetId="3" hidden="1">2</definedName>
    <definedName name="solver_rel1" localSheetId="5" hidden="1">2</definedName>
    <definedName name="solver_rel1" localSheetId="6" hidden="1">2</definedName>
    <definedName name="solver_rhs1" localSheetId="4" hidden="1">1</definedName>
    <definedName name="solver_rhs1" localSheetId="2" hidden="1">1</definedName>
    <definedName name="solver_rhs1" localSheetId="3" hidden="1">1</definedName>
    <definedName name="solver_rhs1" localSheetId="5" hidden="1">1</definedName>
    <definedName name="solver_rhs1" localSheetId="6" hidden="1">1</definedName>
    <definedName name="solver_rlx" localSheetId="4" hidden="1">2</definedName>
    <definedName name="solver_rlx" localSheetId="2" hidden="1">2</definedName>
    <definedName name="solver_rlx" localSheetId="3" hidden="1">2</definedName>
    <definedName name="solver_rlx" localSheetId="5" hidden="1">2</definedName>
    <definedName name="solver_rlx" localSheetId="6" hidden="1">2</definedName>
    <definedName name="solver_rsd" localSheetId="4" hidden="1">0</definedName>
    <definedName name="solver_rsd" localSheetId="2" hidden="1">0</definedName>
    <definedName name="solver_rsd" localSheetId="3" hidden="1">0</definedName>
    <definedName name="solver_rsd" localSheetId="5" hidden="1">0</definedName>
    <definedName name="solver_rsd" localSheetId="6" hidden="1">0</definedName>
    <definedName name="solver_scl" localSheetId="4" hidden="1">1</definedName>
    <definedName name="solver_scl" localSheetId="2" hidden="1">1</definedName>
    <definedName name="solver_scl" localSheetId="3" hidden="1">1</definedName>
    <definedName name="solver_scl" localSheetId="5" hidden="1">1</definedName>
    <definedName name="solver_scl" localSheetId="6" hidden="1">1</definedName>
    <definedName name="solver_sho" localSheetId="4" hidden="1">2</definedName>
    <definedName name="solver_sho" localSheetId="2" hidden="1">2</definedName>
    <definedName name="solver_sho" localSheetId="3" hidden="1">2</definedName>
    <definedName name="solver_sho" localSheetId="5" hidden="1">2</definedName>
    <definedName name="solver_sho" localSheetId="6" hidden="1">2</definedName>
    <definedName name="solver_ssz" localSheetId="4" hidden="1">100</definedName>
    <definedName name="solver_ssz" localSheetId="2" hidden="1">100</definedName>
    <definedName name="solver_ssz" localSheetId="3" hidden="1">100</definedName>
    <definedName name="solver_ssz" localSheetId="5" hidden="1">100</definedName>
    <definedName name="solver_ssz" localSheetId="6" hidden="1">100</definedName>
    <definedName name="solver_tim" localSheetId="4" hidden="1">2147483647</definedName>
    <definedName name="solver_tim" localSheetId="2" hidden="1">2147483647</definedName>
    <definedName name="solver_tim" localSheetId="3" hidden="1">2147483647</definedName>
    <definedName name="solver_tim" localSheetId="5" hidden="1">2147483647</definedName>
    <definedName name="solver_tim" localSheetId="6" hidden="1">2147483647</definedName>
    <definedName name="solver_tol" localSheetId="4" hidden="1">0.01</definedName>
    <definedName name="solver_tol" localSheetId="2" hidden="1">0.01</definedName>
    <definedName name="solver_tol" localSheetId="3" hidden="1">0.01</definedName>
    <definedName name="solver_tol" localSheetId="5" hidden="1">0.01</definedName>
    <definedName name="solver_tol" localSheetId="6" hidden="1">0.01</definedName>
    <definedName name="solver_typ" localSheetId="4" hidden="1">2</definedName>
    <definedName name="solver_typ" localSheetId="2" hidden="1">2</definedName>
    <definedName name="solver_typ" localSheetId="3" hidden="1">2</definedName>
    <definedName name="solver_typ" localSheetId="5" hidden="1">2</definedName>
    <definedName name="solver_typ" localSheetId="6" hidden="1">2</definedName>
    <definedName name="solver_val" localSheetId="4" hidden="1">0</definedName>
    <definedName name="solver_val" localSheetId="2" hidden="1">0</definedName>
    <definedName name="solver_val" localSheetId="3" hidden="1">0</definedName>
    <definedName name="solver_val" localSheetId="5" hidden="1">0</definedName>
    <definedName name="solver_val" localSheetId="6" hidden="1">0</definedName>
    <definedName name="solver_ver" localSheetId="4" hidden="1">3</definedName>
    <definedName name="solver_ver" localSheetId="2" hidden="1">3</definedName>
    <definedName name="solver_ver" localSheetId="3" hidden="1">3</definedName>
    <definedName name="solver_ver" localSheetId="5" hidden="1">3</definedName>
    <definedName name="solver_ver" localSheetId="6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" i="7" l="1"/>
  <c r="J8" i="7"/>
  <c r="I18" i="7"/>
  <c r="F11" i="7"/>
  <c r="F17" i="7" s="1"/>
  <c r="F16" i="7" l="1"/>
  <c r="F8" i="7" l="1"/>
  <c r="G124" i="6"/>
  <c r="G125" i="6"/>
  <c r="G126" i="6"/>
  <c r="G127" i="6"/>
  <c r="G128" i="6"/>
  <c r="G129" i="6"/>
  <c r="G130" i="6"/>
  <c r="G131" i="6"/>
  <c r="G132" i="6"/>
  <c r="G133" i="6"/>
  <c r="G134" i="6"/>
  <c r="G123" i="6"/>
  <c r="F134" i="6"/>
  <c r="F133" i="6"/>
  <c r="F132" i="6"/>
  <c r="F131" i="6"/>
  <c r="F130" i="6"/>
  <c r="F129" i="6"/>
  <c r="F128" i="6"/>
  <c r="F127" i="6"/>
  <c r="F126" i="6"/>
  <c r="F125" i="6"/>
  <c r="F124" i="6"/>
  <c r="F123" i="6"/>
  <c r="J118" i="6"/>
  <c r="F117" i="6"/>
  <c r="F116" i="6"/>
  <c r="E96" i="6"/>
  <c r="E97" i="6"/>
  <c r="E98" i="6"/>
  <c r="E99" i="6"/>
  <c r="E100" i="6"/>
  <c r="E101" i="6"/>
  <c r="E102" i="6"/>
  <c r="E103" i="6"/>
  <c r="E104" i="6"/>
  <c r="E105" i="6"/>
  <c r="D96" i="6"/>
  <c r="D97" i="6"/>
  <c r="D98" i="6"/>
  <c r="D99" i="6"/>
  <c r="D100" i="6"/>
  <c r="D101" i="6"/>
  <c r="D102" i="6"/>
  <c r="D103" i="6"/>
  <c r="D104" i="6"/>
  <c r="D105" i="6"/>
  <c r="E95" i="6"/>
  <c r="E94" i="6"/>
  <c r="D95" i="6"/>
  <c r="D94" i="6"/>
  <c r="J27" i="6"/>
  <c r="J26" i="6"/>
  <c r="J28" i="6" s="1"/>
  <c r="D89" i="6"/>
  <c r="D88" i="6"/>
  <c r="D87" i="6"/>
  <c r="D86" i="6"/>
  <c r="D85" i="6"/>
  <c r="D84" i="6"/>
  <c r="D83" i="6"/>
  <c r="D82" i="6"/>
  <c r="D81" i="6"/>
  <c r="D80" i="6"/>
  <c r="D79" i="6"/>
  <c r="D78" i="6"/>
  <c r="D77" i="6"/>
  <c r="D76" i="6"/>
  <c r="D75" i="6"/>
  <c r="D74" i="6"/>
  <c r="D73" i="6"/>
  <c r="D72" i="6"/>
  <c r="D71" i="6"/>
  <c r="D70" i="6"/>
  <c r="D69" i="6"/>
  <c r="F60" i="6"/>
  <c r="F59" i="6"/>
  <c r="J61" i="6"/>
  <c r="J12" i="6"/>
  <c r="D34" i="6" s="1"/>
  <c r="J13" i="6"/>
  <c r="L8" i="6"/>
  <c r="E5" i="5"/>
  <c r="E16" i="5"/>
  <c r="D16" i="5"/>
  <c r="E15" i="5"/>
  <c r="D49" i="6" l="1"/>
  <c r="D40" i="6"/>
  <c r="D46" i="6"/>
  <c r="F26" i="6"/>
  <c r="D39" i="6"/>
  <c r="D37" i="6"/>
  <c r="D41" i="6"/>
  <c r="D48" i="6"/>
  <c r="D47" i="6"/>
  <c r="D36" i="6"/>
  <c r="D33" i="6"/>
  <c r="D38" i="6"/>
  <c r="D53" i="6"/>
  <c r="D45" i="6"/>
  <c r="D51" i="6"/>
  <c r="D43" i="6"/>
  <c r="D35" i="6"/>
  <c r="F27" i="6"/>
  <c r="D52" i="6"/>
  <c r="D44" i="6"/>
  <c r="J14" i="6"/>
  <c r="D50" i="6"/>
  <c r="D42" i="6"/>
  <c r="H8" i="5"/>
  <c r="E6" i="5"/>
  <c r="D6" i="5"/>
  <c r="E8" i="5"/>
  <c r="D60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F31" i="4"/>
  <c r="F30" i="4"/>
  <c r="I27" i="4"/>
  <c r="I22" i="4"/>
  <c r="I27" i="3"/>
  <c r="D39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38" i="3"/>
  <c r="F31" i="3"/>
  <c r="F30" i="3"/>
  <c r="I22" i="3"/>
  <c r="L30" i="2"/>
  <c r="E27" i="2"/>
  <c r="D27" i="2"/>
  <c r="F31" i="2"/>
  <c r="F30" i="2"/>
  <c r="F28" i="2"/>
  <c r="E28" i="2"/>
  <c r="D28" i="2"/>
  <c r="F27" i="2"/>
  <c r="G22" i="2"/>
  <c r="G19" i="2"/>
  <c r="G20" i="2"/>
  <c r="G18" i="2"/>
  <c r="M26" i="2"/>
  <c r="M25" i="2"/>
  <c r="M24" i="2"/>
  <c r="E22" i="2"/>
  <c r="F22" i="2"/>
  <c r="D22" i="2"/>
  <c r="D31" i="1"/>
  <c r="K21" i="1"/>
  <c r="K22" i="1"/>
  <c r="K20" i="1"/>
  <c r="J33" i="1"/>
  <c r="J32" i="1"/>
  <c r="C24" i="1"/>
  <c r="J35" i="1"/>
  <c r="E32" i="1" s="1"/>
  <c r="J34" i="1"/>
  <c r="E24" i="1"/>
  <c r="G21" i="1" s="1"/>
  <c r="J21" i="1" s="1"/>
  <c r="F21" i="1"/>
  <c r="I21" i="1" s="1"/>
  <c r="F22" i="1"/>
  <c r="I22" i="1" s="1"/>
  <c r="D24" i="1"/>
  <c r="E31" i="1" s="1"/>
  <c r="J11" i="1"/>
  <c r="I11" i="1"/>
  <c r="H11" i="1"/>
  <c r="E11" i="1"/>
  <c r="D11" i="1"/>
  <c r="C11" i="1"/>
  <c r="D42" i="3" l="1"/>
  <c r="D41" i="3"/>
  <c r="D40" i="3"/>
  <c r="L21" i="1"/>
  <c r="M21" i="1" s="1"/>
  <c r="L20" i="1"/>
  <c r="L22" i="1"/>
  <c r="M22" i="1" s="1"/>
  <c r="F20" i="1"/>
  <c r="I20" i="1" s="1"/>
  <c r="D32" i="1"/>
  <c r="K24" i="1"/>
  <c r="F31" i="1" s="1"/>
  <c r="H21" i="1"/>
  <c r="G20" i="1"/>
  <c r="G22" i="1"/>
  <c r="F32" i="1" l="1"/>
  <c r="M20" i="1"/>
  <c r="M24" i="1" s="1"/>
  <c r="H22" i="1"/>
  <c r="J22" i="1"/>
  <c r="J31" i="1"/>
  <c r="J36" i="1" s="1"/>
  <c r="F39" i="1" s="1"/>
  <c r="J20" i="1"/>
  <c r="H20" i="1"/>
  <c r="H24" i="1" l="1"/>
</calcChain>
</file>

<file path=xl/sharedStrings.xml><?xml version="1.0" encoding="utf-8"?>
<sst xmlns="http://schemas.openxmlformats.org/spreadsheetml/2006/main" count="244" uniqueCount="93">
  <si>
    <t>Economy</t>
  </si>
  <si>
    <t>Mkt Rtns</t>
  </si>
  <si>
    <t>Stk A Rtns</t>
  </si>
  <si>
    <t>Stk B Rtns</t>
  </si>
  <si>
    <t>Normal</t>
  </si>
  <si>
    <t>Boom</t>
  </si>
  <si>
    <t>Recession</t>
  </si>
  <si>
    <t>Mkt vs A</t>
  </si>
  <si>
    <t>Mkt vs B</t>
  </si>
  <si>
    <t>A vs B</t>
  </si>
  <si>
    <t>Q1. Estimate Correlation Coefficient</t>
  </si>
  <si>
    <t>Q2. If you construct an equal weighted portfolio, estimate the portfolio return and risk</t>
  </si>
  <si>
    <t>DevARtns</t>
  </si>
  <si>
    <t>StdevA</t>
  </si>
  <si>
    <t>StdevB</t>
  </si>
  <si>
    <t>Mult</t>
  </si>
  <si>
    <t>Cov (A, B)</t>
  </si>
  <si>
    <t>Means</t>
  </si>
  <si>
    <t>Var(A)</t>
  </si>
  <si>
    <t>Var(B)</t>
  </si>
  <si>
    <t>r</t>
  </si>
  <si>
    <t>Return for equal weighted portfolio (Weighted Avg)</t>
  </si>
  <si>
    <t>Square</t>
  </si>
  <si>
    <t>A</t>
  </si>
  <si>
    <t>B</t>
  </si>
  <si>
    <t>Portfolio</t>
  </si>
  <si>
    <t>Rtn</t>
  </si>
  <si>
    <t>Risk</t>
  </si>
  <si>
    <t>Risk for equal weighted portfolio (Weighted Avg)</t>
  </si>
  <si>
    <t>Portfolio risk not exactly equal to mean risk of both</t>
  </si>
  <si>
    <t>Why? Cause the R is not exactly 1</t>
  </si>
  <si>
    <t>R</t>
  </si>
  <si>
    <t>Mean</t>
  </si>
  <si>
    <t>Q1</t>
  </si>
  <si>
    <t>Stdev(A)</t>
  </si>
  <si>
    <t>Stdev(B)</t>
  </si>
  <si>
    <t>Corr(A,B)</t>
  </si>
  <si>
    <t>Expected portfolio risk</t>
  </si>
  <si>
    <t>Expected portfolio rtn</t>
  </si>
  <si>
    <t>Negatively correlated</t>
  </si>
  <si>
    <t>aviation</t>
  </si>
  <si>
    <t>petrochem</t>
  </si>
  <si>
    <t>gold</t>
  </si>
  <si>
    <t>wipro</t>
  </si>
  <si>
    <t>indian oil</t>
  </si>
  <si>
    <t>stock</t>
  </si>
  <si>
    <t>Verification thru formula</t>
  </si>
  <si>
    <t>You are constructing a portfolio with 2 securities as under</t>
  </si>
  <si>
    <t>Security</t>
  </si>
  <si>
    <t>If you have earned 10 lacs and have invested Rs 6.5 Lacs in A and the balance in B</t>
  </si>
  <si>
    <t>a) Estimate portfolio risk and rtn</t>
  </si>
  <si>
    <t>b) Execute a sensitivity test between R and portfolio risk (r ranging from 1 to -1 step val 0.1)</t>
  </si>
  <si>
    <t>W(A)</t>
  </si>
  <si>
    <t>W(B)</t>
  </si>
  <si>
    <t>a)</t>
  </si>
  <si>
    <t>b)</t>
  </si>
  <si>
    <t>risk</t>
  </si>
  <si>
    <t>Image -&gt;</t>
  </si>
  <si>
    <t>Stock</t>
  </si>
  <si>
    <t>Expected Return</t>
  </si>
  <si>
    <t>Q iii.</t>
  </si>
  <si>
    <t>Q i.</t>
  </si>
  <si>
    <t>Correl(A, B)</t>
  </si>
  <si>
    <t>Assume you have a portfolio of 2 stocks, A &amp; B. A has an annual return of 24% and a std dev of 16%</t>
  </si>
  <si>
    <t>B has an annual return of 15% and a std dev of 24%. Your investment values in A &amp; B are Rs 6,75,000 and Rs 3,25,000 respectively</t>
  </si>
  <si>
    <t>Calculate</t>
  </si>
  <si>
    <t>b) Portfolio Risk</t>
  </si>
  <si>
    <t>a) Portfolio Return</t>
  </si>
  <si>
    <t>Sum</t>
  </si>
  <si>
    <t>a) and b)</t>
  </si>
  <si>
    <t>given r, given weights</t>
  </si>
  <si>
    <t>all r, given weights</t>
  </si>
  <si>
    <t>given r, min risk</t>
  </si>
  <si>
    <t>all r, min risk</t>
  </si>
  <si>
    <t>Addendum: Also do a sensitivity analysis</t>
  </si>
  <si>
    <t>wa</t>
  </si>
  <si>
    <t>wb</t>
  </si>
  <si>
    <t>Base</t>
  </si>
  <si>
    <t>Can the risk be 0</t>
  </si>
  <si>
    <t xml:space="preserve">Set r to -1, minimise risk </t>
  </si>
  <si>
    <t xml:space="preserve"> </t>
  </si>
  <si>
    <t>Weights</t>
  </si>
  <si>
    <t>Cov</t>
  </si>
  <si>
    <t>Portfolio Risk</t>
  </si>
  <si>
    <t>Stocks</t>
  </si>
  <si>
    <t>Bonds</t>
  </si>
  <si>
    <t>Wbonds</t>
  </si>
  <si>
    <t>Wstocks</t>
  </si>
  <si>
    <t>Find portfolio risk</t>
  </si>
  <si>
    <t>Using formula</t>
  </si>
  <si>
    <t>Sharpe's ratio</t>
  </si>
  <si>
    <t>Portfolio optimisation</t>
  </si>
  <si>
    <t>Portfolio Risk Opt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</si>
</sst>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0"/>
    <numFmt numFmtId="165" formatCode="0.0000"/>
    <numFmt numFmtId="166" formatCode="0.00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1" xfId="0" applyFont="1" applyBorder="1"/>
    <xf numFmtId="9" fontId="0" fillId="0" borderId="1" xfId="0" applyNumberFormat="1" applyBorder="1"/>
    <xf numFmtId="0" fontId="0" fillId="2" borderId="1" xfId="0" applyFill="1" applyBorder="1"/>
    <xf numFmtId="0" fontId="1" fillId="3" borderId="1" xfId="0" applyFont="1" applyFill="1" applyBorder="1"/>
    <xf numFmtId="0" fontId="0" fillId="0" borderId="1" xfId="0" applyBorder="1"/>
    <xf numFmtId="0" fontId="0" fillId="4" borderId="0" xfId="0" applyFill="1"/>
    <xf numFmtId="0" fontId="0" fillId="2" borderId="0" xfId="0" applyFill="1"/>
    <xf numFmtId="0" fontId="1" fillId="4" borderId="1" xfId="0" applyFont="1" applyFill="1" applyBorder="1"/>
    <xf numFmtId="0" fontId="1" fillId="5" borderId="1" xfId="0" applyFont="1" applyFill="1" applyBorder="1"/>
    <xf numFmtId="10" fontId="0" fillId="0" borderId="1" xfId="0" applyNumberFormat="1" applyBorder="1"/>
    <xf numFmtId="0" fontId="1" fillId="6" borderId="1" xfId="0" applyFont="1" applyFill="1" applyBorder="1"/>
    <xf numFmtId="0" fontId="0" fillId="6" borderId="1" xfId="0" applyFill="1" applyBorder="1"/>
    <xf numFmtId="0" fontId="1" fillId="5" borderId="2" xfId="0" applyFont="1" applyFill="1" applyBorder="1"/>
    <xf numFmtId="0" fontId="1" fillId="7" borderId="1" xfId="0" applyFont="1" applyFill="1" applyBorder="1"/>
    <xf numFmtId="0" fontId="1" fillId="8" borderId="1" xfId="0" applyFont="1" applyFill="1" applyBorder="1"/>
    <xf numFmtId="164" fontId="0" fillId="0" borderId="0" xfId="0" applyNumberFormat="1"/>
    <xf numFmtId="165" fontId="0" fillId="0" borderId="0" xfId="0" applyNumberFormat="1"/>
    <xf numFmtId="0" fontId="1" fillId="0" borderId="0" xfId="0" applyFont="1"/>
    <xf numFmtId="165" fontId="0" fillId="0" borderId="1" xfId="0" applyNumberFormat="1" applyBorder="1"/>
    <xf numFmtId="0" fontId="0" fillId="7" borderId="1" xfId="0" applyFill="1" applyBorder="1"/>
    <xf numFmtId="0" fontId="0" fillId="9" borderId="1" xfId="0" applyFill="1" applyBorder="1"/>
    <xf numFmtId="166" fontId="0" fillId="2" borderId="0" xfId="0" applyNumberFormat="1" applyFill="1"/>
    <xf numFmtId="166" fontId="0" fillId="0" borderId="0" xfId="0" applyNumberFormat="1"/>
    <xf numFmtId="166" fontId="0" fillId="0" borderId="1" xfId="0" applyNumberFormat="1" applyBorder="1"/>
    <xf numFmtId="0" fontId="0" fillId="10" borderId="1" xfId="0" applyFill="1" applyBorder="1"/>
    <xf numFmtId="0" fontId="0" fillId="4" borderId="1" xfId="0" applyFill="1" applyBorder="1"/>
    <xf numFmtId="3" fontId="0" fillId="0" borderId="1" xfId="0" applyNumberFormat="1" applyBorder="1"/>
    <xf numFmtId="0" fontId="1" fillId="2" borderId="1" xfId="0" applyFont="1" applyFill="1" applyBorder="1"/>
    <xf numFmtId="9" fontId="0" fillId="0" borderId="0" xfId="0" applyNumberFormat="1"/>
    <xf numFmtId="0" fontId="2" fillId="0" borderId="0" xfId="0" applyFont="1"/>
    <xf numFmtId="0" fontId="1" fillId="11" borderId="1" xfId="0" applyFont="1" applyFill="1" applyBorder="1"/>
    <xf numFmtId="0" fontId="0" fillId="5" borderId="1" xfId="0" applyFill="1" applyBorder="1"/>
    <xf numFmtId="0" fontId="1" fillId="10" borderId="1" xfId="0" applyFont="1" applyFill="1" applyBorder="1"/>
    <xf numFmtId="0" fontId="0" fillId="3" borderId="1" xfId="0" applyFill="1" applyBorder="1"/>
    <xf numFmtId="0" fontId="1" fillId="12" borderId="1" xfId="0" applyFont="1" applyFill="1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microsoft.com/office/2017/10/relationships/person" Target="persons/pers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microsoft.com/office/2017/10/relationships/person" Target="persons/person0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Sheet3!$D$37</c:f>
              <c:strCache>
                <c:ptCount val="1"/>
                <c:pt idx="0">
                  <c:v>risk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Sheet3!$C$38:$C$58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-0.39999999999999991</c:v>
                </c:pt>
                <c:pt idx="7">
                  <c:v>-0.29999999999999993</c:v>
                </c:pt>
                <c:pt idx="8">
                  <c:v>-0.19999999999999996</c:v>
                </c:pt>
                <c:pt idx="9">
                  <c:v>-9.9999999999999978E-2</c:v>
                </c:pt>
                <c:pt idx="10">
                  <c:v>0</c:v>
                </c:pt>
                <c:pt idx="11">
                  <c:v>0.10000000000000009</c:v>
                </c:pt>
                <c:pt idx="12">
                  <c:v>0.20000000000000018</c:v>
                </c:pt>
                <c:pt idx="13">
                  <c:v>0.30000000000000004</c:v>
                </c:pt>
                <c:pt idx="14">
                  <c:v>0.40000000000000013</c:v>
                </c:pt>
                <c:pt idx="15">
                  <c:v>0.5</c:v>
                </c:pt>
                <c:pt idx="16">
                  <c:v>0.60000000000000009</c:v>
                </c:pt>
                <c:pt idx="17">
                  <c:v>0.70000000000000018</c:v>
                </c:pt>
                <c:pt idx="18">
                  <c:v>0.8</c:v>
                </c:pt>
                <c:pt idx="19">
                  <c:v>0.90000000000000013</c:v>
                </c:pt>
                <c:pt idx="20">
                  <c:v>1</c:v>
                </c:pt>
              </c:numCache>
            </c:numRef>
          </c:xVal>
          <c:yVal>
            <c:numRef>
              <c:f>Sheet3!$D$38:$D$58</c:f>
              <c:numCache>
                <c:formatCode>General</c:formatCode>
                <c:ptCount val="21"/>
                <c:pt idx="0">
                  <c:v>2.4640479228129524E-9</c:v>
                </c:pt>
                <c:pt idx="1">
                  <c:v>2.575950279108E-2</c:v>
                </c:pt>
                <c:pt idx="2">
                  <c:v>3.6429438207132833E-2</c:v>
                </c:pt>
                <c:pt idx="3">
                  <c:v>4.4616767611862715E-2</c:v>
                </c:pt>
                <c:pt idx="4">
                  <c:v>5.1519005582159813E-2</c:v>
                </c:pt>
                <c:pt idx="5">
                  <c:v>5.7599999307450217E-2</c:v>
                </c:pt>
                <c:pt idx="6">
                  <c:v>6.3097637865944856E-2</c:v>
                </c:pt>
                <c:pt idx="7">
                  <c:v>6.8153238281871614E-2</c:v>
                </c:pt>
                <c:pt idx="8">
                  <c:v>7.2858876414265555E-2</c:v>
                </c:pt>
                <c:pt idx="9">
                  <c:v>7.7278508373239671E-2</c:v>
                </c:pt>
                <c:pt idx="10">
                  <c:v>8.1458700213276947E-2</c:v>
                </c:pt>
                <c:pt idx="11">
                  <c:v>8.5434605544124673E-2</c:v>
                </c:pt>
                <c:pt idx="12">
                  <c:v>8.9233535223725333E-2</c:v>
                </c:pt>
                <c:pt idx="13">
                  <c:v>9.287720814369628E-2</c:v>
                </c:pt>
                <c:pt idx="14">
                  <c:v>9.6383233897868015E-2</c:v>
                </c:pt>
                <c:pt idx="15">
                  <c:v>9.9766125316435861E-2</c:v>
                </c:pt>
                <c:pt idx="16">
                  <c:v>0.10303801116431954</c:v>
                </c:pt>
                <c:pt idx="17">
                  <c:v>0.10620915087101529</c:v>
                </c:pt>
                <c:pt idx="18">
                  <c:v>0.10928831462139831</c:v>
                </c:pt>
                <c:pt idx="19">
                  <c:v>0.11228306950217114</c:v>
                </c:pt>
                <c:pt idx="20">
                  <c:v>0.11519999861490035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2E2-4032-B1D2-773843D4AC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2343536"/>
        <c:axId val="146923584"/>
      </c:scatterChart>
      <c:valAx>
        <c:axId val="23234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923584"/>
        <c:crosses val="autoZero"/>
        <c:crossBetween val="midCat"/>
      </c:valAx>
      <c:valAx>
        <c:axId val="14692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343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Sheet3!$D$37</c:f>
              <c:strCache>
                <c:ptCount val="1"/>
                <c:pt idx="0">
                  <c:v>risk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Sheet3!$C$38:$C$58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-0.39999999999999991</c:v>
                </c:pt>
                <c:pt idx="7">
                  <c:v>-0.29999999999999993</c:v>
                </c:pt>
                <c:pt idx="8">
                  <c:v>-0.19999999999999996</c:v>
                </c:pt>
                <c:pt idx="9">
                  <c:v>-9.9999999999999978E-2</c:v>
                </c:pt>
                <c:pt idx="10">
                  <c:v>0</c:v>
                </c:pt>
                <c:pt idx="11">
                  <c:v>0.10000000000000009</c:v>
                </c:pt>
                <c:pt idx="12">
                  <c:v>0.20000000000000018</c:v>
                </c:pt>
                <c:pt idx="13">
                  <c:v>0.30000000000000004</c:v>
                </c:pt>
                <c:pt idx="14">
                  <c:v>0.40000000000000013</c:v>
                </c:pt>
                <c:pt idx="15">
                  <c:v>0.5</c:v>
                </c:pt>
                <c:pt idx="16">
                  <c:v>0.60000000000000009</c:v>
                </c:pt>
                <c:pt idx="17">
                  <c:v>0.70000000000000018</c:v>
                </c:pt>
                <c:pt idx="18">
                  <c:v>0.8</c:v>
                </c:pt>
                <c:pt idx="19">
                  <c:v>0.90000000000000013</c:v>
                </c:pt>
                <c:pt idx="20">
                  <c:v>1</c:v>
                </c:pt>
              </c:numCache>
            </c:numRef>
          </c:xVal>
          <c:yVal>
            <c:numRef>
              <c:f>Sheet3!$D$38:$D$58</c:f>
              <c:numCache>
                <c:formatCode>General</c:formatCode>
                <c:ptCount val="21"/>
                <c:pt idx="0">
                  <c:v>2.4640479228129524E-9</c:v>
                </c:pt>
                <c:pt idx="1">
                  <c:v>2.575950279108E-2</c:v>
                </c:pt>
                <c:pt idx="2">
                  <c:v>3.6429438207132833E-2</c:v>
                </c:pt>
                <c:pt idx="3">
                  <c:v>4.4616767611862715E-2</c:v>
                </c:pt>
                <c:pt idx="4">
                  <c:v>5.1519005582159813E-2</c:v>
                </c:pt>
                <c:pt idx="5">
                  <c:v>5.7599999307450217E-2</c:v>
                </c:pt>
                <c:pt idx="6">
                  <c:v>6.3097637865944856E-2</c:v>
                </c:pt>
                <c:pt idx="7">
                  <c:v>6.8153238281871614E-2</c:v>
                </c:pt>
                <c:pt idx="8">
                  <c:v>7.2858876414265555E-2</c:v>
                </c:pt>
                <c:pt idx="9">
                  <c:v>7.7278508373239671E-2</c:v>
                </c:pt>
                <c:pt idx="10">
                  <c:v>8.1458700213276947E-2</c:v>
                </c:pt>
                <c:pt idx="11">
                  <c:v>8.5434605544124673E-2</c:v>
                </c:pt>
                <c:pt idx="12">
                  <c:v>8.9233535223725333E-2</c:v>
                </c:pt>
                <c:pt idx="13">
                  <c:v>9.287720814369628E-2</c:v>
                </c:pt>
                <c:pt idx="14">
                  <c:v>9.6383233897868015E-2</c:v>
                </c:pt>
                <c:pt idx="15">
                  <c:v>9.9766125316435861E-2</c:v>
                </c:pt>
                <c:pt idx="16">
                  <c:v>0.10303801116431954</c:v>
                </c:pt>
                <c:pt idx="17">
                  <c:v>0.10620915087101529</c:v>
                </c:pt>
                <c:pt idx="18">
                  <c:v>0.10928831462139831</c:v>
                </c:pt>
                <c:pt idx="19">
                  <c:v>0.11228306950217114</c:v>
                </c:pt>
                <c:pt idx="20">
                  <c:v>0.11519999861490035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2FF-4D01-8D0A-302E850BF4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2343536"/>
        <c:axId val="146923584"/>
      </c:scatterChart>
      <c:valAx>
        <c:axId val="23234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923584"/>
        <c:crosses val="autoZero"/>
        <c:crossBetween val="midCat"/>
      </c:valAx>
      <c:valAx>
        <c:axId val="14692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343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8575" cap="rnd">
              <a:solidFill>
                <a:schemeClr val="lt1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yVal>
            <c:numRef>
              <c:f>Sheet5!$E$95:$E$105</c:f>
              <c:numCache>
                <c:formatCode>General</c:formatCode>
                <c:ptCount val="11"/>
                <c:pt idx="0">
                  <c:v>0.24</c:v>
                </c:pt>
                <c:pt idx="1">
                  <c:v>0.21256528408938277</c:v>
                </c:pt>
                <c:pt idx="2">
                  <c:v>0.18659046063504964</c:v>
                </c:pt>
                <c:pt idx="3">
                  <c:v>0.16277591959500642</c:v>
                </c:pt>
                <c:pt idx="4">
                  <c:v>0.14221111067704942</c:v>
                </c:pt>
                <c:pt idx="5">
                  <c:v>0.12649110640673517</c:v>
                </c:pt>
                <c:pt idx="6">
                  <c:v>0.11757550765359254</c:v>
                </c:pt>
                <c:pt idx="7">
                  <c:v>0.11702991070662236</c:v>
                </c:pt>
                <c:pt idx="8">
                  <c:v>0.12496399481450648</c:v>
                </c:pt>
                <c:pt idx="9">
                  <c:v>0.13994284547628721</c:v>
                </c:pt>
                <c:pt idx="10">
                  <c:v>0.16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037-4C6B-96B0-4362822738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9446575"/>
        <c:axId val="547870351"/>
      </c:scatterChart>
      <c:valAx>
        <c:axId val="899446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870351"/>
        <c:crosses val="autoZero"/>
        <c:crossBetween val="midCat"/>
      </c:valAx>
      <c:valAx>
        <c:axId val="547870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4465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</xdr:colOff>
      <xdr:row>36</xdr:row>
      <xdr:rowOff>15240</xdr:rowOff>
    </xdr:from>
    <xdr:to>
      <xdr:col>16</xdr:col>
      <xdr:colOff>601980</xdr:colOff>
      <xdr:row>55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41D491-898A-BF53-D9DA-BDADF1391D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</xdr:colOff>
      <xdr:row>36</xdr:row>
      <xdr:rowOff>15240</xdr:rowOff>
    </xdr:from>
    <xdr:to>
      <xdr:col>16</xdr:col>
      <xdr:colOff>601980</xdr:colOff>
      <xdr:row>55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BF0FF5-BE83-4DD3-8342-0A5681DF9A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373381</xdr:colOff>
      <xdr:row>0</xdr:row>
      <xdr:rowOff>167640</xdr:rowOff>
    </xdr:from>
    <xdr:to>
      <xdr:col>20</xdr:col>
      <xdr:colOff>553333</xdr:colOff>
      <xdr:row>13</xdr:row>
      <xdr:rowOff>15240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7224528-A014-4425-C032-7BF103E48F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03081" y="167640"/>
          <a:ext cx="4447152" cy="22250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363682</xdr:colOff>
      <xdr:row>88</xdr:row>
      <xdr:rowOff>110836</xdr:rowOff>
    </xdr:from>
    <xdr:to>
      <xdr:col>13</xdr:col>
      <xdr:colOff>58882</xdr:colOff>
      <xdr:row>103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242AE5-061E-6478-B61E-10702BFC6C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2B6F4-0942-41CD-8E8F-2D0832838F6D}">
  <dimension ref="B2:M39"/>
  <sheetViews>
    <sheetView workbookViewId="0">
      <selection activeCell="K9" sqref="K9"/>
    </sheetView>
  </sheetViews>
  <sheetFormatPr defaultRowHeight="14.4" x14ac:dyDescent="0.3"/>
  <cols>
    <col min="3" max="3" width="12" bestFit="1" customWidth="1"/>
    <col min="4" max="5" width="9" bestFit="1" customWidth="1"/>
    <col min="8" max="8" width="12.6640625" bestFit="1" customWidth="1"/>
    <col min="9" max="9" width="12" bestFit="1" customWidth="1"/>
    <col min="11" max="11" width="45.109375" bestFit="1" customWidth="1"/>
    <col min="12" max="12" width="42.77734375" bestFit="1" customWidth="1"/>
    <col min="13" max="13" width="12" bestFit="1" customWidth="1"/>
  </cols>
  <sheetData>
    <row r="2" spans="2:10" x14ac:dyDescent="0.3">
      <c r="B2" s="1" t="s">
        <v>0</v>
      </c>
      <c r="C2" s="4" t="s">
        <v>1</v>
      </c>
      <c r="D2" s="4" t="s">
        <v>2</v>
      </c>
      <c r="E2" s="4" t="s">
        <v>3</v>
      </c>
    </row>
    <row r="3" spans="2:10" x14ac:dyDescent="0.3">
      <c r="B3" s="3" t="s">
        <v>4</v>
      </c>
      <c r="C3" s="2">
        <v>7.0000000000000007E-2</v>
      </c>
      <c r="D3" s="2">
        <v>0.08</v>
      </c>
      <c r="E3" s="2">
        <v>0.06</v>
      </c>
    </row>
    <row r="4" spans="2:10" x14ac:dyDescent="0.3">
      <c r="B4" s="3" t="s">
        <v>5</v>
      </c>
      <c r="C4" s="2">
        <v>0.12</v>
      </c>
      <c r="D4" s="2">
        <v>0.15</v>
      </c>
      <c r="E4" s="2">
        <v>0.11</v>
      </c>
    </row>
    <row r="5" spans="2:10" x14ac:dyDescent="0.3">
      <c r="B5" s="3" t="s">
        <v>6</v>
      </c>
      <c r="C5" s="2">
        <v>0.04</v>
      </c>
      <c r="D5" s="2">
        <v>0.03</v>
      </c>
      <c r="E5" s="2">
        <v>0.04</v>
      </c>
    </row>
    <row r="8" spans="2:10" x14ac:dyDescent="0.3">
      <c r="B8" t="s">
        <v>10</v>
      </c>
    </row>
    <row r="10" spans="2:10" x14ac:dyDescent="0.3">
      <c r="C10" s="4" t="s">
        <v>7</v>
      </c>
      <c r="D10" s="4" t="s">
        <v>8</v>
      </c>
      <c r="E10" s="4" t="s">
        <v>9</v>
      </c>
      <c r="H10" s="4" t="s">
        <v>7</v>
      </c>
      <c r="I10" s="4" t="s">
        <v>8</v>
      </c>
      <c r="J10" s="4" t="s">
        <v>9</v>
      </c>
    </row>
    <row r="11" spans="2:10" x14ac:dyDescent="0.3">
      <c r="C11" s="5">
        <f>CORREL(C3:C5, D3:D5)</f>
        <v>0.99887598315920101</v>
      </c>
      <c r="D11" s="5">
        <f>CORREL(C3:C5, E3:E5)</f>
        <v>0.99508209864589869</v>
      </c>
      <c r="E11" s="5">
        <f>CORREL(D3:D5, E3:E5)</f>
        <v>0.98926845793398843</v>
      </c>
      <c r="H11" s="5">
        <f>CORREL(Sheet2!D3:D5, Sheet2!E3:E5)</f>
        <v>-0.98974331861078713</v>
      </c>
      <c r="I11" s="5">
        <f>CORREL(Sheet2!D3:D5, Sheet2!F3:F5)</f>
        <v>0.99508209864589869</v>
      </c>
      <c r="J11" s="5">
        <f>CORREL(Sheet2!E3:E5, Sheet2!F3:F5)</f>
        <v>-0.97072534339415095</v>
      </c>
    </row>
    <row r="14" spans="2:10" x14ac:dyDescent="0.3">
      <c r="B14" t="s">
        <v>11</v>
      </c>
    </row>
    <row r="18" spans="2:13" x14ac:dyDescent="0.3">
      <c r="D18">
        <v>0.5</v>
      </c>
      <c r="E18">
        <v>0.5</v>
      </c>
    </row>
    <row r="19" spans="2:13" x14ac:dyDescent="0.3">
      <c r="B19" s="1" t="s">
        <v>0</v>
      </c>
      <c r="C19" s="4" t="s">
        <v>1</v>
      </c>
      <c r="D19" s="4" t="s">
        <v>2</v>
      </c>
      <c r="E19" s="4" t="s">
        <v>3</v>
      </c>
      <c r="F19" s="8" t="s">
        <v>12</v>
      </c>
      <c r="G19" s="8" t="s">
        <v>12</v>
      </c>
      <c r="H19" s="15" t="s">
        <v>15</v>
      </c>
      <c r="I19" s="14" t="s">
        <v>18</v>
      </c>
      <c r="J19" s="14" t="s">
        <v>19</v>
      </c>
      <c r="K19" s="13" t="s">
        <v>21</v>
      </c>
      <c r="L19" s="13" t="s">
        <v>28</v>
      </c>
      <c r="M19" s="13" t="s">
        <v>22</v>
      </c>
    </row>
    <row r="20" spans="2:13" x14ac:dyDescent="0.3">
      <c r="B20" s="3" t="s">
        <v>4</v>
      </c>
      <c r="C20" s="2">
        <v>7.0000000000000007E-2</v>
      </c>
      <c r="D20" s="2">
        <v>0.08</v>
      </c>
      <c r="E20" s="2">
        <v>0.06</v>
      </c>
      <c r="F20" s="2">
        <f>D20-$D$24</f>
        <v>-6.666666666666668E-3</v>
      </c>
      <c r="G20" s="2">
        <f>E20-$E$24</f>
        <v>-9.999999999999995E-3</v>
      </c>
      <c r="H20" s="10">
        <f>F20*G20</f>
        <v>6.6666666666666643E-5</v>
      </c>
      <c r="I20" s="5">
        <f>F20^2</f>
        <v>4.444444444444446E-5</v>
      </c>
      <c r="J20" s="5">
        <f>G20^2</f>
        <v>9.9999999999999896E-5</v>
      </c>
      <c r="K20" s="5">
        <f>SUMPRODUCT($D$18:$E$18, D20:E20)</f>
        <v>7.0000000000000007E-2</v>
      </c>
      <c r="L20">
        <f>K20-$K$24</f>
        <v>-8.3333333333333315E-3</v>
      </c>
      <c r="M20" s="16">
        <f>L20^2</f>
        <v>6.9444444444444417E-5</v>
      </c>
    </row>
    <row r="21" spans="2:13" x14ac:dyDescent="0.3">
      <c r="B21" s="3" t="s">
        <v>5</v>
      </c>
      <c r="C21" s="2">
        <v>0.12</v>
      </c>
      <c r="D21" s="2">
        <v>0.15</v>
      </c>
      <c r="E21" s="2">
        <v>0.11</v>
      </c>
      <c r="F21" s="2">
        <f>D21-$D$24</f>
        <v>6.3333333333333325E-2</v>
      </c>
      <c r="G21" s="2">
        <f>E21-$E$24</f>
        <v>4.0000000000000008E-2</v>
      </c>
      <c r="H21" s="10">
        <f>F21*G21</f>
        <v>2.5333333333333336E-3</v>
      </c>
      <c r="I21" s="5">
        <f t="shared" ref="I21:J22" si="0">F21^2</f>
        <v>4.0111111111111103E-3</v>
      </c>
      <c r="J21" s="5">
        <f t="shared" si="0"/>
        <v>1.6000000000000007E-3</v>
      </c>
      <c r="K21" s="5">
        <f t="shared" ref="K21:K22" si="1">SUMPRODUCT($D$18:$E$18, D21:E21)</f>
        <v>0.13</v>
      </c>
      <c r="L21">
        <f t="shared" ref="L21:L22" si="2">K21-$K$24</f>
        <v>5.1666666666666666E-2</v>
      </c>
      <c r="M21" s="16">
        <f t="shared" ref="M21:M22" si="3">L21^2</f>
        <v>2.6694444444444443E-3</v>
      </c>
    </row>
    <row r="22" spans="2:13" x14ac:dyDescent="0.3">
      <c r="B22" s="3" t="s">
        <v>6</v>
      </c>
      <c r="C22" s="2">
        <v>0.04</v>
      </c>
      <c r="D22" s="2">
        <v>0.03</v>
      </c>
      <c r="E22" s="2">
        <v>0.04</v>
      </c>
      <c r="F22" s="2">
        <f>D22-$D$24</f>
        <v>-5.6666666666666671E-2</v>
      </c>
      <c r="G22" s="2">
        <f>E22-$E$24</f>
        <v>-2.9999999999999992E-2</v>
      </c>
      <c r="H22" s="10">
        <f>F22*G22</f>
        <v>1.6999999999999997E-3</v>
      </c>
      <c r="I22" s="5">
        <f t="shared" si="0"/>
        <v>3.2111111111111116E-3</v>
      </c>
      <c r="J22" s="5">
        <f t="shared" si="0"/>
        <v>8.9999999999999954E-4</v>
      </c>
      <c r="K22" s="5">
        <f t="shared" si="1"/>
        <v>3.5000000000000003E-2</v>
      </c>
      <c r="L22">
        <f t="shared" si="2"/>
        <v>-4.3333333333333335E-2</v>
      </c>
      <c r="M22" s="16">
        <f t="shared" si="3"/>
        <v>1.8777777777777779E-3</v>
      </c>
    </row>
    <row r="24" spans="2:13" x14ac:dyDescent="0.3">
      <c r="B24" s="7" t="s">
        <v>17</v>
      </c>
      <c r="C24" s="17">
        <f>AVERAGE(C20:C22)</f>
        <v>7.6666666666666675E-2</v>
      </c>
      <c r="D24" s="17">
        <f>AVERAGE(D20:D22)</f>
        <v>8.666666666666667E-2</v>
      </c>
      <c r="E24" s="17">
        <f>AVERAGE(E20:E22)</f>
        <v>6.9999999999999993E-2</v>
      </c>
      <c r="F24" s="17"/>
      <c r="G24" s="17"/>
      <c r="H24" s="17">
        <f>SUM(H20:H22)/2</f>
        <v>2.15E-3</v>
      </c>
      <c r="K24">
        <f>AVERAGE(K20:K22)</f>
        <v>7.8333333333333338E-2</v>
      </c>
      <c r="M24" s="16">
        <f>AVERAGE(M20:M22)</f>
        <v>1.5388888888888889E-3</v>
      </c>
    </row>
    <row r="30" spans="2:13" x14ac:dyDescent="0.3">
      <c r="C30" s="21"/>
      <c r="D30" s="20" t="s">
        <v>23</v>
      </c>
      <c r="E30" s="20" t="s">
        <v>24</v>
      </c>
      <c r="F30" s="20" t="s">
        <v>25</v>
      </c>
    </row>
    <row r="31" spans="2:13" x14ac:dyDescent="0.3">
      <c r="C31" s="3" t="s">
        <v>26</v>
      </c>
      <c r="D31" s="2">
        <f>C24</f>
        <v>7.6666666666666675E-2</v>
      </c>
      <c r="E31" s="19">
        <f>D24</f>
        <v>8.666666666666667E-2</v>
      </c>
      <c r="F31" s="5">
        <f>K24</f>
        <v>7.8333333333333338E-2</v>
      </c>
      <c r="I31" s="9" t="s">
        <v>16</v>
      </c>
      <c r="J31" s="5">
        <f>_xlfn.COVARIANCE.S(G20:G22, F20:F22)</f>
        <v>2.15E-3</v>
      </c>
    </row>
    <row r="32" spans="2:13" x14ac:dyDescent="0.3">
      <c r="C32" s="3" t="s">
        <v>27</v>
      </c>
      <c r="D32" s="5">
        <f>J34</f>
        <v>6.0277137733417072E-2</v>
      </c>
      <c r="E32" s="5">
        <f>J35</f>
        <v>3.6055512754639904E-2</v>
      </c>
      <c r="F32" s="5">
        <f>_xlfn.STDEV.S(L20:L22)</f>
        <v>4.8045117684665246E-2</v>
      </c>
      <c r="I32" s="9" t="s">
        <v>18</v>
      </c>
      <c r="J32" s="5">
        <f>_xlfn.VAR.S(D20:D22)</f>
        <v>3.6333333333333322E-3</v>
      </c>
    </row>
    <row r="33" spans="3:10" x14ac:dyDescent="0.3">
      <c r="I33" s="9" t="s">
        <v>19</v>
      </c>
      <c r="J33" s="5">
        <f>_xlfn.VAR.S(E20:E22)</f>
        <v>1.3000000000000008E-3</v>
      </c>
    </row>
    <row r="34" spans="3:10" x14ac:dyDescent="0.3">
      <c r="I34" s="9" t="s">
        <v>13</v>
      </c>
      <c r="J34" s="5">
        <f>_xlfn.STDEV.S(D20:D22)</f>
        <v>6.0277137733417072E-2</v>
      </c>
    </row>
    <row r="35" spans="3:10" x14ac:dyDescent="0.3">
      <c r="C35" t="s">
        <v>29</v>
      </c>
      <c r="I35" s="9" t="s">
        <v>14</v>
      </c>
      <c r="J35" s="5">
        <f>_xlfn.STDEV.S(E20:E22)</f>
        <v>3.6055512754639904E-2</v>
      </c>
    </row>
    <row r="36" spans="3:10" x14ac:dyDescent="0.3">
      <c r="C36" t="s">
        <v>30</v>
      </c>
      <c r="I36" s="11" t="s">
        <v>31</v>
      </c>
      <c r="J36" s="12">
        <f>J31/(J34*J35)</f>
        <v>0.98926845793398821</v>
      </c>
    </row>
    <row r="39" spans="3:10" x14ac:dyDescent="0.3">
      <c r="C39" s="12" t="s">
        <v>46</v>
      </c>
      <c r="D39" s="12"/>
      <c r="E39" s="5"/>
      <c r="F39" s="5">
        <f>SQRT(D18^2*J34^2+E18^2*J35^2+2*D18*E18*J34*J35*J36)</f>
        <v>4.8045117684665246E-2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C9ED6-1C36-4BCA-BB80-F43E4DBAE79D}">
  <dimension ref="C2:M39"/>
  <sheetViews>
    <sheetView workbookViewId="0">
      <selection activeCell="C2" sqref="C2:F5"/>
    </sheetView>
  </sheetViews>
  <sheetFormatPr defaultRowHeight="14.4" x14ac:dyDescent="0.3"/>
  <cols>
    <col min="4" max="4" width="9.88671875" bestFit="1" customWidth="1"/>
    <col min="5" max="5" width="9.44140625" bestFit="1" customWidth="1"/>
    <col min="6" max="6" width="9.33203125" bestFit="1" customWidth="1"/>
    <col min="7" max="7" width="45.109375" bestFit="1" customWidth="1"/>
    <col min="10" max="10" width="12.88671875" customWidth="1"/>
  </cols>
  <sheetData>
    <row r="2" spans="3:6" x14ac:dyDescent="0.3">
      <c r="C2" s="8" t="s">
        <v>0</v>
      </c>
      <c r="D2" s="4" t="s">
        <v>1</v>
      </c>
      <c r="E2" s="4" t="s">
        <v>2</v>
      </c>
      <c r="F2" s="4" t="s">
        <v>3</v>
      </c>
    </row>
    <row r="3" spans="3:6" x14ac:dyDescent="0.3">
      <c r="C3" s="3" t="s">
        <v>4</v>
      </c>
      <c r="D3" s="2">
        <v>7.0000000000000007E-2</v>
      </c>
      <c r="E3" s="2">
        <v>0.08</v>
      </c>
      <c r="F3" s="2">
        <v>0.06</v>
      </c>
    </row>
    <row r="4" spans="3:6" x14ac:dyDescent="0.3">
      <c r="C4" s="3" t="s">
        <v>5</v>
      </c>
      <c r="D4" s="2">
        <v>0.12</v>
      </c>
      <c r="E4" s="2">
        <v>0.03</v>
      </c>
      <c r="F4" s="2">
        <v>0.11</v>
      </c>
    </row>
    <row r="5" spans="3:6" x14ac:dyDescent="0.3">
      <c r="C5" s="3" t="s">
        <v>6</v>
      </c>
      <c r="D5" s="2">
        <v>0.04</v>
      </c>
      <c r="E5" s="2">
        <v>0.13</v>
      </c>
      <c r="F5" s="2">
        <v>0.04</v>
      </c>
    </row>
    <row r="10" spans="3:6" x14ac:dyDescent="0.3">
      <c r="C10" t="s">
        <v>10</v>
      </c>
    </row>
    <row r="11" spans="3:6" x14ac:dyDescent="0.3">
      <c r="C11" t="s">
        <v>11</v>
      </c>
    </row>
    <row r="15" spans="3:6" x14ac:dyDescent="0.3">
      <c r="C15" t="s">
        <v>33</v>
      </c>
    </row>
    <row r="16" spans="3:6" x14ac:dyDescent="0.3">
      <c r="E16">
        <v>0.5</v>
      </c>
      <c r="F16">
        <v>0.5</v>
      </c>
    </row>
    <row r="17" spans="3:13" x14ac:dyDescent="0.3">
      <c r="C17" s="8" t="s">
        <v>0</v>
      </c>
      <c r="D17" s="4" t="s">
        <v>1</v>
      </c>
      <c r="E17" s="4" t="s">
        <v>2</v>
      </c>
      <c r="F17" s="4" t="s">
        <v>3</v>
      </c>
      <c r="G17" s="4" t="s">
        <v>21</v>
      </c>
    </row>
    <row r="18" spans="3:13" x14ac:dyDescent="0.3">
      <c r="C18" s="3" t="s">
        <v>4</v>
      </c>
      <c r="D18" s="2">
        <v>7.0000000000000007E-2</v>
      </c>
      <c r="E18" s="2">
        <v>0.08</v>
      </c>
      <c r="F18" s="2">
        <v>0.06</v>
      </c>
      <c r="G18" s="5">
        <f>SUMPRODUCT($E$16:$F$16, E18:F18)</f>
        <v>7.0000000000000007E-2</v>
      </c>
    </row>
    <row r="19" spans="3:13" x14ac:dyDescent="0.3">
      <c r="C19" s="3" t="s">
        <v>5</v>
      </c>
      <c r="D19" s="2">
        <v>0.12</v>
      </c>
      <c r="E19" s="2">
        <v>0.03</v>
      </c>
      <c r="F19" s="2">
        <v>0.11</v>
      </c>
      <c r="G19" s="5">
        <f t="shared" ref="G19:G20" si="0">SUMPRODUCT($E$16:$F$16, E19:F19)</f>
        <v>7.0000000000000007E-2</v>
      </c>
    </row>
    <row r="20" spans="3:13" x14ac:dyDescent="0.3">
      <c r="C20" s="3" t="s">
        <v>6</v>
      </c>
      <c r="D20" s="2">
        <v>0.04</v>
      </c>
      <c r="E20" s="2">
        <v>0.13</v>
      </c>
      <c r="F20" s="2">
        <v>0.04</v>
      </c>
      <c r="G20" s="5">
        <f t="shared" si="0"/>
        <v>8.5000000000000006E-2</v>
      </c>
    </row>
    <row r="22" spans="3:13" x14ac:dyDescent="0.3">
      <c r="C22" s="22" t="s">
        <v>32</v>
      </c>
      <c r="D22" s="23">
        <f>AVERAGE(D18:D20)</f>
        <v>7.6666666666666675E-2</v>
      </c>
      <c r="E22" s="23">
        <f t="shared" ref="E22:F22" si="1">AVERAGE(E18:E20)</f>
        <v>0.08</v>
      </c>
      <c r="F22" s="23">
        <f t="shared" si="1"/>
        <v>6.9999999999999993E-2</v>
      </c>
      <c r="G22">
        <f>AVERAGE(G18:G20)</f>
        <v>7.5000000000000011E-2</v>
      </c>
    </row>
    <row r="24" spans="3:13" x14ac:dyDescent="0.3">
      <c r="L24" s="26" t="s">
        <v>34</v>
      </c>
      <c r="M24" s="5">
        <f>_xlfn.STDEV.S(E18:E20)</f>
        <v>5.0000000000000024E-2</v>
      </c>
    </row>
    <row r="25" spans="3:13" x14ac:dyDescent="0.3">
      <c r="L25" s="26" t="s">
        <v>35</v>
      </c>
      <c r="M25" s="5">
        <f>_xlfn.STDEV.S(F18:F20)</f>
        <v>3.6055512754639904E-2</v>
      </c>
    </row>
    <row r="26" spans="3:13" x14ac:dyDescent="0.3">
      <c r="C26" s="21"/>
      <c r="D26" s="20" t="s">
        <v>23</v>
      </c>
      <c r="E26" s="20" t="s">
        <v>24</v>
      </c>
      <c r="F26" s="20" t="s">
        <v>25</v>
      </c>
      <c r="L26" s="12" t="s">
        <v>36</v>
      </c>
      <c r="M26" s="5">
        <f>CORREL(E18:E20, F18:F20)</f>
        <v>-0.97072534339415095</v>
      </c>
    </row>
    <row r="27" spans="3:13" x14ac:dyDescent="0.3">
      <c r="C27" s="25" t="s">
        <v>26</v>
      </c>
      <c r="D27" s="24">
        <f>E22</f>
        <v>0.08</v>
      </c>
      <c r="E27" s="24">
        <f>F22</f>
        <v>6.9999999999999993E-2</v>
      </c>
      <c r="F27" s="5">
        <f>G22</f>
        <v>7.5000000000000011E-2</v>
      </c>
    </row>
    <row r="28" spans="3:13" x14ac:dyDescent="0.3">
      <c r="C28" s="25" t="s">
        <v>27</v>
      </c>
      <c r="D28" s="5">
        <f>M24</f>
        <v>5.0000000000000024E-2</v>
      </c>
      <c r="E28" s="5">
        <f>M25</f>
        <v>3.6055512754639904E-2</v>
      </c>
      <c r="F28" s="5">
        <f>_xlfn.STDEV.S(G18:G20)</f>
        <v>8.6602540378443865E-3</v>
      </c>
    </row>
    <row r="29" spans="3:13" x14ac:dyDescent="0.3">
      <c r="C29" s="5"/>
      <c r="D29" s="5"/>
      <c r="E29" s="5"/>
      <c r="F29" s="5"/>
    </row>
    <row r="30" spans="3:13" x14ac:dyDescent="0.3">
      <c r="C30" s="5" t="s">
        <v>37</v>
      </c>
      <c r="D30" s="5"/>
      <c r="E30" s="5"/>
      <c r="F30" s="5">
        <f>AVERAGE(D28:E28)</f>
        <v>4.3027756377319967E-2</v>
      </c>
      <c r="I30" s="12" t="s">
        <v>46</v>
      </c>
      <c r="J30" s="12"/>
      <c r="K30" s="5"/>
      <c r="L30" s="5">
        <f>SQRT(E16^2*M24^2+F16^2*M25^2+2*E16*F16*M24*M25)</f>
        <v>4.302775637731996E-2</v>
      </c>
    </row>
    <row r="31" spans="3:13" x14ac:dyDescent="0.3">
      <c r="C31" s="5" t="s">
        <v>38</v>
      </c>
      <c r="D31" s="5"/>
      <c r="E31" s="5"/>
      <c r="F31" s="24">
        <f>AVERAGE(D27:E27)</f>
        <v>7.4999999999999997E-2</v>
      </c>
    </row>
    <row r="36" spans="3:4" x14ac:dyDescent="0.3">
      <c r="C36" s="36" t="s">
        <v>39</v>
      </c>
      <c r="D36" s="36"/>
    </row>
    <row r="37" spans="3:4" x14ac:dyDescent="0.3">
      <c r="C37" s="5" t="s">
        <v>40</v>
      </c>
      <c r="D37" s="5" t="s">
        <v>41</v>
      </c>
    </row>
    <row r="38" spans="3:4" x14ac:dyDescent="0.3">
      <c r="C38" s="5" t="s">
        <v>42</v>
      </c>
      <c r="D38" s="5" t="s">
        <v>45</v>
      </c>
    </row>
    <row r="39" spans="3:4" x14ac:dyDescent="0.3">
      <c r="C39" s="5" t="s">
        <v>43</v>
      </c>
      <c r="D39" s="5" t="s">
        <v>44</v>
      </c>
    </row>
  </sheetData>
  <mergeCells count="1">
    <mergeCell ref="C36:D3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E3161E-CB6D-4F8C-8AC4-EDECD74CC997}">
  <dimension ref="B2:I58"/>
  <sheetViews>
    <sheetView topLeftCell="A13" workbookViewId="0">
      <selection activeCell="I24" sqref="I24"/>
    </sheetView>
  </sheetViews>
  <sheetFormatPr defaultRowHeight="14.4" x14ac:dyDescent="0.3"/>
  <sheetData>
    <row r="2" spans="2:5" x14ac:dyDescent="0.3">
      <c r="B2" t="s">
        <v>47</v>
      </c>
    </row>
    <row r="4" spans="2:5" x14ac:dyDescent="0.3">
      <c r="C4" s="1" t="s">
        <v>48</v>
      </c>
      <c r="D4" s="1" t="s">
        <v>26</v>
      </c>
      <c r="E4" s="1" t="s">
        <v>27</v>
      </c>
    </row>
    <row r="5" spans="2:5" x14ac:dyDescent="0.3">
      <c r="C5" s="1" t="s">
        <v>23</v>
      </c>
      <c r="D5" s="2">
        <v>0.24</v>
      </c>
      <c r="E5" s="2">
        <v>0.16</v>
      </c>
    </row>
    <row r="6" spans="2:5" x14ac:dyDescent="0.3">
      <c r="C6" s="1" t="s">
        <v>24</v>
      </c>
      <c r="D6" s="2">
        <v>0.18</v>
      </c>
      <c r="E6" s="2">
        <v>0.09</v>
      </c>
    </row>
    <row r="8" spans="2:5" x14ac:dyDescent="0.3">
      <c r="D8" t="s">
        <v>31</v>
      </c>
      <c r="E8">
        <v>0.25</v>
      </c>
    </row>
    <row r="13" spans="2:5" x14ac:dyDescent="0.3">
      <c r="B13" t="s">
        <v>49</v>
      </c>
    </row>
    <row r="15" spans="2:5" x14ac:dyDescent="0.3">
      <c r="B15" t="s">
        <v>50</v>
      </c>
    </row>
    <row r="16" spans="2:5" x14ac:dyDescent="0.3">
      <c r="B16" t="s">
        <v>51</v>
      </c>
    </row>
    <row r="19" spans="2:9" x14ac:dyDescent="0.3">
      <c r="B19" s="18" t="s">
        <v>54</v>
      </c>
    </row>
    <row r="21" spans="2:9" x14ac:dyDescent="0.3">
      <c r="C21" s="8" t="s">
        <v>48</v>
      </c>
      <c r="D21" s="4" t="s">
        <v>23</v>
      </c>
      <c r="E21" s="4" t="s">
        <v>24</v>
      </c>
      <c r="H21" s="1" t="s">
        <v>23</v>
      </c>
      <c r="I21" s="27">
        <v>650000</v>
      </c>
    </row>
    <row r="22" spans="2:9" x14ac:dyDescent="0.3">
      <c r="C22" s="28" t="s">
        <v>26</v>
      </c>
      <c r="D22" s="2">
        <v>0.24</v>
      </c>
      <c r="E22" s="2">
        <v>0.18</v>
      </c>
      <c r="H22" s="1" t="s">
        <v>24</v>
      </c>
      <c r="I22" s="27">
        <f>1000000-I21</f>
        <v>350000</v>
      </c>
    </row>
    <row r="23" spans="2:9" x14ac:dyDescent="0.3">
      <c r="C23" s="28" t="s">
        <v>27</v>
      </c>
      <c r="D23" s="2">
        <v>0.16</v>
      </c>
      <c r="E23" s="2">
        <v>0.09</v>
      </c>
    </row>
    <row r="24" spans="2:9" x14ac:dyDescent="0.3">
      <c r="H24" s="1" t="s">
        <v>52</v>
      </c>
      <c r="I24" s="5">
        <v>0.35999998753946127</v>
      </c>
    </row>
    <row r="25" spans="2:9" x14ac:dyDescent="0.3">
      <c r="H25" s="1" t="s">
        <v>53</v>
      </c>
      <c r="I25" s="5">
        <v>0.6400000067620728</v>
      </c>
    </row>
    <row r="27" spans="2:9" x14ac:dyDescent="0.3">
      <c r="I27">
        <f>I24+I25</f>
        <v>0.99999999430153408</v>
      </c>
    </row>
    <row r="29" spans="2:9" x14ac:dyDescent="0.3">
      <c r="C29" s="21"/>
      <c r="D29" s="20" t="s">
        <v>23</v>
      </c>
      <c r="E29" s="20" t="s">
        <v>24</v>
      </c>
      <c r="F29" s="20" t="s">
        <v>25</v>
      </c>
    </row>
    <row r="30" spans="2:9" x14ac:dyDescent="0.3">
      <c r="C30" s="3" t="s">
        <v>26</v>
      </c>
      <c r="D30" s="2">
        <v>0.24</v>
      </c>
      <c r="E30" s="2">
        <v>0.18</v>
      </c>
      <c r="F30" s="2">
        <f>AVERAGE(D30:E30)</f>
        <v>0.21</v>
      </c>
    </row>
    <row r="31" spans="2:9" x14ac:dyDescent="0.3">
      <c r="C31" s="3" t="s">
        <v>27</v>
      </c>
      <c r="D31" s="2">
        <v>0.16</v>
      </c>
      <c r="E31" s="2">
        <v>0.09</v>
      </c>
      <c r="F31" s="5">
        <f>SQRT(I24^2*D23^2+I25^2*E23^2+2*D23*E23*I24*I25*E8)</f>
        <v>9.1073595517831923E-2</v>
      </c>
    </row>
    <row r="35" spans="2:4" x14ac:dyDescent="0.3">
      <c r="B35" s="18" t="s">
        <v>55</v>
      </c>
    </row>
    <row r="37" spans="2:4" x14ac:dyDescent="0.3">
      <c r="C37" s="4" t="s">
        <v>20</v>
      </c>
      <c r="D37" s="4" t="s">
        <v>56</v>
      </c>
    </row>
    <row r="38" spans="2:4" x14ac:dyDescent="0.3">
      <c r="C38" s="5">
        <v>-1</v>
      </c>
      <c r="D38" s="5">
        <f>SQRT($I$24^2*$D$23^2+$I$25^2*$E$23^2+2*$D$23*$E$23*$I$24*$I$25*C38)</f>
        <v>2.4640479228129524E-9</v>
      </c>
    </row>
    <row r="39" spans="2:4" x14ac:dyDescent="0.3">
      <c r="C39" s="5">
        <v>-0.9</v>
      </c>
      <c r="D39" s="5">
        <f t="shared" ref="D39:D58" si="0">SQRT($I$24^2*$D$23^2+$I$25^2*$E$23^2+2*$D$23*$E$23*$I$24*$I$25*C39)</f>
        <v>2.575950279108E-2</v>
      </c>
    </row>
    <row r="40" spans="2:4" x14ac:dyDescent="0.3">
      <c r="C40" s="5">
        <v>-0.8</v>
      </c>
      <c r="D40" s="5">
        <f t="shared" si="0"/>
        <v>3.6429438207132833E-2</v>
      </c>
    </row>
    <row r="41" spans="2:4" x14ac:dyDescent="0.3">
      <c r="C41" s="5">
        <v>-0.7</v>
      </c>
      <c r="D41" s="5">
        <f t="shared" si="0"/>
        <v>4.4616767611862715E-2</v>
      </c>
    </row>
    <row r="42" spans="2:4" x14ac:dyDescent="0.3">
      <c r="C42" s="5">
        <v>-0.6</v>
      </c>
      <c r="D42" s="5">
        <f t="shared" si="0"/>
        <v>5.1519005582159813E-2</v>
      </c>
    </row>
    <row r="43" spans="2:4" x14ac:dyDescent="0.3">
      <c r="C43" s="5">
        <v>-0.5</v>
      </c>
      <c r="D43" s="5">
        <f t="shared" si="0"/>
        <v>5.7599999307450217E-2</v>
      </c>
    </row>
    <row r="44" spans="2:4" x14ac:dyDescent="0.3">
      <c r="C44" s="5">
        <v>-0.39999999999999991</v>
      </c>
      <c r="D44" s="5">
        <f t="shared" si="0"/>
        <v>6.3097637865944856E-2</v>
      </c>
    </row>
    <row r="45" spans="2:4" x14ac:dyDescent="0.3">
      <c r="C45" s="5">
        <v>-0.29999999999999993</v>
      </c>
      <c r="D45" s="5">
        <f t="shared" si="0"/>
        <v>6.8153238281871614E-2</v>
      </c>
    </row>
    <row r="46" spans="2:4" x14ac:dyDescent="0.3">
      <c r="C46" s="5">
        <v>-0.19999999999999996</v>
      </c>
      <c r="D46" s="5">
        <f t="shared" si="0"/>
        <v>7.2858876414265555E-2</v>
      </c>
    </row>
    <row r="47" spans="2:4" x14ac:dyDescent="0.3">
      <c r="C47" s="5">
        <v>-9.9999999999999978E-2</v>
      </c>
      <c r="D47" s="5">
        <f t="shared" si="0"/>
        <v>7.7278508373239671E-2</v>
      </c>
    </row>
    <row r="48" spans="2:4" x14ac:dyDescent="0.3">
      <c r="C48" s="5">
        <v>0</v>
      </c>
      <c r="D48" s="5">
        <f t="shared" si="0"/>
        <v>8.1458700213276947E-2</v>
      </c>
    </row>
    <row r="49" spans="3:4" x14ac:dyDescent="0.3">
      <c r="C49" s="5">
        <v>0.10000000000000009</v>
      </c>
      <c r="D49" s="5">
        <f t="shared" si="0"/>
        <v>8.5434605544124673E-2</v>
      </c>
    </row>
    <row r="50" spans="3:4" x14ac:dyDescent="0.3">
      <c r="C50" s="5">
        <v>0.20000000000000018</v>
      </c>
      <c r="D50" s="5">
        <f t="shared" si="0"/>
        <v>8.9233535223725333E-2</v>
      </c>
    </row>
    <row r="51" spans="3:4" x14ac:dyDescent="0.3">
      <c r="C51" s="5">
        <v>0.30000000000000004</v>
      </c>
      <c r="D51" s="5">
        <f t="shared" si="0"/>
        <v>9.287720814369628E-2</v>
      </c>
    </row>
    <row r="52" spans="3:4" x14ac:dyDescent="0.3">
      <c r="C52" s="5">
        <v>0.40000000000000013</v>
      </c>
      <c r="D52" s="5">
        <f t="shared" si="0"/>
        <v>9.6383233897868015E-2</v>
      </c>
    </row>
    <row r="53" spans="3:4" x14ac:dyDescent="0.3">
      <c r="C53" s="5">
        <v>0.5</v>
      </c>
      <c r="D53" s="5">
        <f t="shared" si="0"/>
        <v>9.9766125316435861E-2</v>
      </c>
    </row>
    <row r="54" spans="3:4" x14ac:dyDescent="0.3">
      <c r="C54" s="5">
        <v>0.60000000000000009</v>
      </c>
      <c r="D54" s="5">
        <f t="shared" si="0"/>
        <v>0.10303801116431954</v>
      </c>
    </row>
    <row r="55" spans="3:4" x14ac:dyDescent="0.3">
      <c r="C55" s="5">
        <v>0.70000000000000018</v>
      </c>
      <c r="D55" s="5">
        <f t="shared" si="0"/>
        <v>0.10620915087101529</v>
      </c>
    </row>
    <row r="56" spans="3:4" x14ac:dyDescent="0.3">
      <c r="C56" s="5">
        <v>0.8</v>
      </c>
      <c r="D56" s="5">
        <f t="shared" si="0"/>
        <v>0.10928831462139831</v>
      </c>
    </row>
    <row r="57" spans="3:4" x14ac:dyDescent="0.3">
      <c r="C57" s="5">
        <v>0.90000000000000013</v>
      </c>
      <c r="D57" s="5">
        <f t="shared" si="0"/>
        <v>0.11228306950217114</v>
      </c>
    </row>
    <row r="58" spans="3:4" x14ac:dyDescent="0.3">
      <c r="C58" s="5">
        <v>1</v>
      </c>
      <c r="D58" s="5">
        <f t="shared" si="0"/>
        <v>0.11519999861490035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1C092-122B-44EB-BEBA-293D633A4F6C}">
  <dimension ref="B2:I60"/>
  <sheetViews>
    <sheetView tabSelected="1" workbookViewId="0">
      <selection activeCell="B2" sqref="B2:B16"/>
    </sheetView>
  </sheetViews>
  <sheetFormatPr defaultRowHeight="14.4" x14ac:dyDescent="0.3"/>
  <sheetData>
    <row r="2" spans="2:5" x14ac:dyDescent="0.3">
      <c r="B2" t="s">
        <v>47</v>
      </c>
    </row>
    <row r="4" spans="2:5" x14ac:dyDescent="0.3">
      <c r="C4" s="1" t="s">
        <v>48</v>
      </c>
      <c r="D4" s="1" t="s">
        <v>26</v>
      </c>
      <c r="E4" s="1" t="s">
        <v>27</v>
      </c>
    </row>
    <row r="5" spans="2:5" x14ac:dyDescent="0.3">
      <c r="C5" s="1" t="s">
        <v>23</v>
      </c>
      <c r="D5" s="2">
        <v>0.24</v>
      </c>
      <c r="E5" s="2">
        <v>0.16</v>
      </c>
    </row>
    <row r="6" spans="2:5" x14ac:dyDescent="0.3">
      <c r="C6" s="1" t="s">
        <v>24</v>
      </c>
      <c r="D6" s="2">
        <v>0.18</v>
      </c>
      <c r="E6" s="2">
        <v>0.09</v>
      </c>
    </row>
    <row r="8" spans="2:5" x14ac:dyDescent="0.3">
      <c r="D8" t="s">
        <v>31</v>
      </c>
      <c r="E8">
        <v>0.25</v>
      </c>
    </row>
    <row r="13" spans="2:5" x14ac:dyDescent="0.3">
      <c r="B13" t="s">
        <v>49</v>
      </c>
    </row>
    <row r="15" spans="2:5" x14ac:dyDescent="0.3">
      <c r="B15" t="s">
        <v>50</v>
      </c>
    </row>
    <row r="16" spans="2:5" x14ac:dyDescent="0.3">
      <c r="B16" t="s">
        <v>51</v>
      </c>
    </row>
    <row r="19" spans="2:9" x14ac:dyDescent="0.3">
      <c r="B19" s="18" t="s">
        <v>54</v>
      </c>
    </row>
    <row r="21" spans="2:9" x14ac:dyDescent="0.3">
      <c r="C21" s="8" t="s">
        <v>48</v>
      </c>
      <c r="D21" s="4" t="s">
        <v>23</v>
      </c>
      <c r="E21" s="4" t="s">
        <v>24</v>
      </c>
      <c r="H21" s="1" t="s">
        <v>23</v>
      </c>
      <c r="I21" s="27">
        <v>650000</v>
      </c>
    </row>
    <row r="22" spans="2:9" x14ac:dyDescent="0.3">
      <c r="C22" s="28" t="s">
        <v>26</v>
      </c>
      <c r="D22" s="2">
        <v>0.24</v>
      </c>
      <c r="E22" s="2">
        <v>0.18</v>
      </c>
      <c r="H22" s="1" t="s">
        <v>24</v>
      </c>
      <c r="I22" s="27">
        <f>1000000-I21</f>
        <v>350000</v>
      </c>
    </row>
    <row r="23" spans="2:9" x14ac:dyDescent="0.3">
      <c r="C23" s="28" t="s">
        <v>27</v>
      </c>
      <c r="D23" s="2">
        <v>0.16</v>
      </c>
      <c r="E23" s="2">
        <v>0.09</v>
      </c>
    </row>
    <row r="24" spans="2:9" x14ac:dyDescent="0.3">
      <c r="H24" s="1" t="s">
        <v>52</v>
      </c>
      <c r="I24" s="5">
        <v>0.16981132735482568</v>
      </c>
    </row>
    <row r="25" spans="2:9" x14ac:dyDescent="0.3">
      <c r="H25" s="1" t="s">
        <v>53</v>
      </c>
      <c r="I25" s="5">
        <v>0.83018867160296217</v>
      </c>
    </row>
    <row r="27" spans="2:9" x14ac:dyDescent="0.3">
      <c r="I27">
        <f>I24+I25</f>
        <v>0.99999999895778791</v>
      </c>
    </row>
    <row r="29" spans="2:9" x14ac:dyDescent="0.3">
      <c r="C29" s="21"/>
      <c r="D29" s="20" t="s">
        <v>23</v>
      </c>
      <c r="E29" s="20" t="s">
        <v>24</v>
      </c>
      <c r="F29" s="20" t="s">
        <v>25</v>
      </c>
    </row>
    <row r="30" spans="2:9" x14ac:dyDescent="0.3">
      <c r="C30" s="3" t="s">
        <v>26</v>
      </c>
      <c r="D30" s="2">
        <v>0.24</v>
      </c>
      <c r="E30" s="2">
        <v>0.18</v>
      </c>
      <c r="F30" s="2">
        <f>AVERAGE(D30:E30)</f>
        <v>0.21</v>
      </c>
    </row>
    <row r="31" spans="2:9" x14ac:dyDescent="0.3">
      <c r="C31" s="3" t="s">
        <v>27</v>
      </c>
      <c r="D31" s="2">
        <v>0.16</v>
      </c>
      <c r="E31" s="2">
        <v>0.09</v>
      </c>
      <c r="F31" s="5">
        <f>SQRT(I24^2*D23^2+I25^2*E23^2+2*D23*E23*I24*I25*E8)</f>
        <v>8.5649571168294539E-2</v>
      </c>
    </row>
    <row r="35" spans="2:4" x14ac:dyDescent="0.3">
      <c r="B35" s="18" t="s">
        <v>55</v>
      </c>
    </row>
    <row r="37" spans="2:4" x14ac:dyDescent="0.3">
      <c r="C37" s="4" t="s">
        <v>20</v>
      </c>
      <c r="D37" s="4" t="s">
        <v>56</v>
      </c>
    </row>
    <row r="38" spans="2:4" x14ac:dyDescent="0.3">
      <c r="C38" s="5">
        <v>-1</v>
      </c>
      <c r="D38" s="5">
        <f>SQRT($I$24^2*$D$23^2+$I$25^2*$E$23^2+2*$D$23*$E$23*$I$24*$I$25*C38)</f>
        <v>4.7547168067494476E-2</v>
      </c>
    </row>
    <row r="39" spans="2:4" x14ac:dyDescent="0.3">
      <c r="C39" s="5">
        <v>-0.9</v>
      </c>
      <c r="D39" s="5">
        <f t="shared" ref="D39:D60" si="0">SQRT($I$24^2*$D$23^2+$I$25^2*$E$23^2+2*$D$23*$E$23*$I$24*$I$25*C39)</f>
        <v>5.1640511802697131E-2</v>
      </c>
    </row>
    <row r="40" spans="2:4" x14ac:dyDescent="0.3">
      <c r="C40" s="5">
        <v>-0.8</v>
      </c>
      <c r="D40" s="5">
        <f t="shared" si="0"/>
        <v>5.5432406832559927E-2</v>
      </c>
    </row>
    <row r="41" spans="2:4" x14ac:dyDescent="0.3">
      <c r="C41" s="5">
        <v>-0.7</v>
      </c>
      <c r="D41" s="5">
        <f t="shared" si="0"/>
        <v>5.8981022331393775E-2</v>
      </c>
    </row>
    <row r="42" spans="2:4" x14ac:dyDescent="0.3">
      <c r="C42" s="5">
        <v>-0.6</v>
      </c>
      <c r="D42" s="5">
        <f t="shared" si="0"/>
        <v>6.2327925228281955E-2</v>
      </c>
    </row>
    <row r="43" spans="2:4" x14ac:dyDescent="0.3">
      <c r="C43" s="5">
        <v>-0.5</v>
      </c>
      <c r="D43" s="5">
        <f t="shared" si="0"/>
        <v>6.5504042098699838E-2</v>
      </c>
    </row>
    <row r="44" spans="2:4" x14ac:dyDescent="0.3">
      <c r="C44" s="5">
        <v>-0.39999999999999991</v>
      </c>
      <c r="D44" s="5">
        <f t="shared" si="0"/>
        <v>6.8533121913963449E-2</v>
      </c>
    </row>
    <row r="45" spans="2:4" x14ac:dyDescent="0.3">
      <c r="C45" s="5">
        <v>-0.29999999999999993</v>
      </c>
      <c r="D45" s="5">
        <f t="shared" si="0"/>
        <v>7.143387198857494E-2</v>
      </c>
    </row>
    <row r="46" spans="2:4" x14ac:dyDescent="0.3">
      <c r="C46" s="5">
        <v>-0.19999999999999996</v>
      </c>
      <c r="D46" s="5">
        <f t="shared" si="0"/>
        <v>7.4221340160940549E-2</v>
      </c>
    </row>
    <row r="47" spans="2:4" x14ac:dyDescent="0.3">
      <c r="C47" s="5">
        <v>-9.9999999999999978E-2</v>
      </c>
      <c r="D47" s="5">
        <f t="shared" si="0"/>
        <v>7.6907844874836928E-2</v>
      </c>
    </row>
    <row r="48" spans="2:4" x14ac:dyDescent="0.3">
      <c r="C48" s="5">
        <v>0</v>
      </c>
      <c r="D48" s="5">
        <f t="shared" si="0"/>
        <v>7.9503621749565059E-2</v>
      </c>
    </row>
    <row r="49" spans="3:4" x14ac:dyDescent="0.3">
      <c r="C49" s="5">
        <v>0.10000000000000009</v>
      </c>
      <c r="D49" s="5">
        <f t="shared" si="0"/>
        <v>8.2017285612874621E-2</v>
      </c>
    </row>
    <row r="50" spans="3:4" x14ac:dyDescent="0.3">
      <c r="C50" s="5">
        <v>0.20000000000000018</v>
      </c>
      <c r="D50" s="5">
        <f t="shared" si="0"/>
        <v>8.4456168556889824E-2</v>
      </c>
    </row>
    <row r="51" spans="3:4" x14ac:dyDescent="0.3">
      <c r="C51" s="5">
        <v>0.30000000000000004</v>
      </c>
      <c r="D51" s="5">
        <f t="shared" si="0"/>
        <v>8.6826572403358865E-2</v>
      </c>
    </row>
    <row r="52" spans="3:4" x14ac:dyDescent="0.3">
      <c r="C52" s="5">
        <v>0.40000000000000013</v>
      </c>
      <c r="D52" s="5">
        <f t="shared" si="0"/>
        <v>8.9133960662149736E-2</v>
      </c>
    </row>
    <row r="53" spans="3:4" x14ac:dyDescent="0.3">
      <c r="C53" s="5">
        <v>0.5</v>
      </c>
      <c r="D53" s="5">
        <f t="shared" si="0"/>
        <v>9.1383106815907666E-2</v>
      </c>
    </row>
    <row r="54" spans="3:4" x14ac:dyDescent="0.3">
      <c r="C54" s="5">
        <v>0.60000000000000009</v>
      </c>
      <c r="D54" s="5">
        <f t="shared" si="0"/>
        <v>9.3578210494396213E-2</v>
      </c>
    </row>
    <row r="55" spans="3:4" x14ac:dyDescent="0.3">
      <c r="C55" s="5">
        <v>0.70000000000000018</v>
      </c>
      <c r="D55" s="5">
        <f t="shared" si="0"/>
        <v>9.5722989648983806E-2</v>
      </c>
    </row>
    <row r="56" spans="3:4" x14ac:dyDescent="0.3">
      <c r="C56" s="5">
        <v>0.8</v>
      </c>
      <c r="D56" s="5">
        <f t="shared" si="0"/>
        <v>9.7820754522470299E-2</v>
      </c>
    </row>
    <row r="57" spans="3:4" x14ac:dyDescent="0.3">
      <c r="C57" s="5">
        <v>0.90000000000000013</v>
      </c>
      <c r="D57" s="5">
        <f t="shared" si="0"/>
        <v>9.9874467624870622E-2</v>
      </c>
    </row>
    <row r="58" spans="3:4" x14ac:dyDescent="0.3">
      <c r="C58" s="5">
        <v>1</v>
      </c>
      <c r="D58" s="5">
        <f t="shared" si="0"/>
        <v>0.10188679282103871</v>
      </c>
    </row>
    <row r="59" spans="3:4" x14ac:dyDescent="0.3">
      <c r="D59" s="5"/>
    </row>
    <row r="60" spans="3:4" x14ac:dyDescent="0.3">
      <c r="C60" s="6">
        <v>0.25</v>
      </c>
      <c r="D60" s="5">
        <f t="shared" si="0"/>
        <v>8.5649571168294539E-2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0ABE7-167F-4B3B-ACCA-33F4C0B1334A}">
  <dimension ref="A2:M24"/>
  <sheetViews>
    <sheetView workbookViewId="0">
      <selection activeCell="L13" sqref="L13"/>
    </sheetView>
  </sheetViews>
  <sheetFormatPr defaultRowHeight="14.4" x14ac:dyDescent="0.3"/>
  <cols>
    <col min="2" max="3" width="14.88671875" bestFit="1" customWidth="1"/>
    <col min="4" max="4" width="12" bestFit="1" customWidth="1"/>
    <col min="5" max="5" width="9.88671875" customWidth="1"/>
  </cols>
  <sheetData>
    <row r="2" spans="1:13" x14ac:dyDescent="0.3">
      <c r="A2" s="18" t="s">
        <v>60</v>
      </c>
    </row>
    <row r="4" spans="1:13" x14ac:dyDescent="0.3">
      <c r="B4" s="8" t="s">
        <v>58</v>
      </c>
      <c r="C4" s="28" t="s">
        <v>23</v>
      </c>
      <c r="D4" s="28" t="s">
        <v>24</v>
      </c>
      <c r="E4" s="28" t="s">
        <v>25</v>
      </c>
      <c r="G4" s="26"/>
      <c r="H4" s="28" t="s">
        <v>25</v>
      </c>
    </row>
    <row r="5" spans="1:13" x14ac:dyDescent="0.3">
      <c r="B5" s="4" t="s">
        <v>59</v>
      </c>
      <c r="C5" s="2">
        <v>0.1</v>
      </c>
      <c r="D5" s="2">
        <v>0.15</v>
      </c>
      <c r="E5" s="2">
        <f>(H5*C5)+(H6*D5)</f>
        <v>0.15000000223517415</v>
      </c>
      <c r="G5" s="4" t="s">
        <v>23</v>
      </c>
      <c r="H5" s="5">
        <v>0</v>
      </c>
      <c r="M5" t="s">
        <v>57</v>
      </c>
    </row>
    <row r="6" spans="1:13" x14ac:dyDescent="0.3">
      <c r="B6" s="4" t="s">
        <v>27</v>
      </c>
      <c r="C6" s="2">
        <v>0.2</v>
      </c>
      <c r="D6" s="5">
        <f>10*SQRT(2) %</f>
        <v>0.1414213562373095</v>
      </c>
      <c r="E6" s="10">
        <f>SQRT(C6^2*H5^2+D6^2*H6^2+2*C6*D6*H5*H6*E8)</f>
        <v>0.14142135834465192</v>
      </c>
      <c r="G6" s="4" t="s">
        <v>24</v>
      </c>
      <c r="H6" s="5">
        <v>1.000000014901161</v>
      </c>
    </row>
    <row r="8" spans="1:13" x14ac:dyDescent="0.3">
      <c r="D8" t="s">
        <v>20</v>
      </c>
      <c r="E8">
        <f>1/SQRT(2)</f>
        <v>0.70710678118654746</v>
      </c>
      <c r="H8">
        <f>SUM(H5:H6)</f>
        <v>1.000000014901161</v>
      </c>
    </row>
    <row r="10" spans="1:13" x14ac:dyDescent="0.3">
      <c r="B10" s="18"/>
      <c r="C10" s="18"/>
      <c r="D10" s="18"/>
    </row>
    <row r="11" spans="1:13" x14ac:dyDescent="0.3">
      <c r="B11" s="18"/>
      <c r="C11" s="29"/>
      <c r="D11" s="29"/>
    </row>
    <row r="12" spans="1:13" x14ac:dyDescent="0.3">
      <c r="A12" s="18" t="s">
        <v>61</v>
      </c>
      <c r="B12" s="18"/>
      <c r="C12" s="29"/>
    </row>
    <row r="14" spans="1:13" x14ac:dyDescent="0.3">
      <c r="B14" s="8" t="s">
        <v>58</v>
      </c>
      <c r="C14" s="28" t="s">
        <v>23</v>
      </c>
      <c r="D14" s="28" t="s">
        <v>24</v>
      </c>
      <c r="E14" s="28" t="s">
        <v>25</v>
      </c>
      <c r="G14" s="26"/>
      <c r="H14" s="28" t="s">
        <v>25</v>
      </c>
    </row>
    <row r="15" spans="1:13" x14ac:dyDescent="0.3">
      <c r="B15" s="4" t="s">
        <v>59</v>
      </c>
      <c r="C15" s="2">
        <v>0.1</v>
      </c>
      <c r="D15" s="2">
        <v>0.15</v>
      </c>
      <c r="E15" s="2">
        <f>AVERAGE(C15:D15)</f>
        <v>0.125</v>
      </c>
      <c r="G15" s="4" t="s">
        <v>23</v>
      </c>
      <c r="H15" s="5">
        <v>0.7</v>
      </c>
    </row>
    <row r="16" spans="1:13" x14ac:dyDescent="0.3">
      <c r="B16" s="4" t="s">
        <v>27</v>
      </c>
      <c r="C16" s="2">
        <v>0.2</v>
      </c>
      <c r="D16" s="5">
        <f>10*SQRT(2) %</f>
        <v>0.1414213562373095</v>
      </c>
      <c r="E16" s="10">
        <f>SQRT(C16^2*H15^2+D16^2*H16^2+2*C16*D16*H15*H16*E18)</f>
        <v>0.14628738838327796</v>
      </c>
      <c r="G16" s="4" t="s">
        <v>24</v>
      </c>
      <c r="H16" s="5">
        <v>0.3</v>
      </c>
    </row>
    <row r="20" spans="4:9" x14ac:dyDescent="0.3">
      <c r="D20" t="s">
        <v>62</v>
      </c>
    </row>
    <row r="22" spans="4:9" x14ac:dyDescent="0.3">
      <c r="I22" s="18" t="s">
        <v>90</v>
      </c>
    </row>
    <row r="24" spans="4:9" x14ac:dyDescent="0.3">
      <c r="I24" s="18" t="s">
        <v>91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36F64-E96A-4925-AC0E-EFBAAB3DCD87}">
  <dimension ref="B2:L134"/>
  <sheetViews>
    <sheetView zoomScale="110" zoomScaleNormal="110" workbookViewId="0">
      <selection activeCell="D5" sqref="D5"/>
    </sheetView>
  </sheetViews>
  <sheetFormatPr defaultRowHeight="14.4" x14ac:dyDescent="0.3"/>
  <cols>
    <col min="2" max="2" width="19.5546875" customWidth="1"/>
  </cols>
  <sheetData>
    <row r="2" spans="2:12" x14ac:dyDescent="0.3">
      <c r="B2" t="s">
        <v>63</v>
      </c>
    </row>
    <row r="3" spans="2:12" x14ac:dyDescent="0.3">
      <c r="B3" t="s">
        <v>64</v>
      </c>
    </row>
    <row r="4" spans="2:12" x14ac:dyDescent="0.3">
      <c r="B4" t="s">
        <v>74</v>
      </c>
    </row>
    <row r="6" spans="2:12" x14ac:dyDescent="0.3">
      <c r="B6" t="s">
        <v>65</v>
      </c>
    </row>
    <row r="8" spans="2:12" x14ac:dyDescent="0.3">
      <c r="B8" t="s">
        <v>67</v>
      </c>
      <c r="L8">
        <f>675+325</f>
        <v>1000</v>
      </c>
    </row>
    <row r="9" spans="2:12" x14ac:dyDescent="0.3">
      <c r="B9" t="s">
        <v>66</v>
      </c>
    </row>
    <row r="11" spans="2:12" x14ac:dyDescent="0.3">
      <c r="D11" s="1" t="s">
        <v>48</v>
      </c>
      <c r="E11" s="1" t="s">
        <v>26</v>
      </c>
      <c r="F11" s="1" t="s">
        <v>27</v>
      </c>
      <c r="I11" s="5"/>
      <c r="J11" s="5" t="s">
        <v>25</v>
      </c>
    </row>
    <row r="12" spans="2:12" x14ac:dyDescent="0.3">
      <c r="D12" s="1" t="s">
        <v>23</v>
      </c>
      <c r="E12" s="2">
        <v>0.24</v>
      </c>
      <c r="F12" s="2">
        <v>0.16</v>
      </c>
      <c r="I12" s="5" t="s">
        <v>23</v>
      </c>
      <c r="J12" s="5">
        <f>675/1000</f>
        <v>0.67500000000000004</v>
      </c>
    </row>
    <row r="13" spans="2:12" x14ac:dyDescent="0.3">
      <c r="D13" s="1" t="s">
        <v>24</v>
      </c>
      <c r="E13" s="2">
        <v>0.15</v>
      </c>
      <c r="F13" s="2">
        <v>0.24</v>
      </c>
      <c r="I13" s="5" t="s">
        <v>24</v>
      </c>
      <c r="J13" s="5">
        <f>325/1000</f>
        <v>0.32500000000000001</v>
      </c>
    </row>
    <row r="14" spans="2:12" x14ac:dyDescent="0.3">
      <c r="I14" s="5" t="s">
        <v>68</v>
      </c>
      <c r="J14" s="5">
        <f>SUM(J12:J13)</f>
        <v>1</v>
      </c>
    </row>
    <row r="16" spans="2:12" x14ac:dyDescent="0.3">
      <c r="E16" t="s">
        <v>20</v>
      </c>
      <c r="F16">
        <v>-0.25</v>
      </c>
    </row>
    <row r="18" spans="2:10" x14ac:dyDescent="0.3">
      <c r="B18" s="30" t="s">
        <v>69</v>
      </c>
    </row>
    <row r="22" spans="2:10" x14ac:dyDescent="0.3">
      <c r="B22" s="30" t="s">
        <v>70</v>
      </c>
    </row>
    <row r="25" spans="2:10" x14ac:dyDescent="0.3">
      <c r="C25" s="9" t="s">
        <v>48</v>
      </c>
      <c r="D25" s="4" t="s">
        <v>23</v>
      </c>
      <c r="E25" s="4" t="s">
        <v>24</v>
      </c>
      <c r="F25" s="4" t="s">
        <v>25</v>
      </c>
      <c r="I25" s="32"/>
      <c r="J25" s="31" t="s">
        <v>25</v>
      </c>
    </row>
    <row r="26" spans="2:10" x14ac:dyDescent="0.3">
      <c r="C26" s="28" t="s">
        <v>26</v>
      </c>
      <c r="D26" s="2">
        <v>0.24</v>
      </c>
      <c r="E26" s="2">
        <v>0.15</v>
      </c>
      <c r="F26" s="5">
        <f>J12*D26+J13*E26</f>
        <v>0.21074999999999999</v>
      </c>
      <c r="I26" s="33" t="s">
        <v>23</v>
      </c>
      <c r="J26" s="5">
        <f>675/1000</f>
        <v>0.67500000000000004</v>
      </c>
    </row>
    <row r="27" spans="2:10" x14ac:dyDescent="0.3">
      <c r="C27" s="28" t="s">
        <v>27</v>
      </c>
      <c r="D27" s="2">
        <v>0.16</v>
      </c>
      <c r="E27" s="2">
        <v>0.24</v>
      </c>
      <c r="F27" s="5">
        <f>SQRT(D27^2*J12^2 + E27^2*J13^2 + 2*D27*E27*J12*J13*F16)</f>
        <v>0.11634431657799191</v>
      </c>
      <c r="I27" s="33" t="s">
        <v>24</v>
      </c>
      <c r="J27" s="5">
        <f>325/1000</f>
        <v>0.32500000000000001</v>
      </c>
    </row>
    <row r="28" spans="2:10" x14ac:dyDescent="0.3">
      <c r="I28" s="33" t="s">
        <v>68</v>
      </c>
      <c r="J28" s="5">
        <f>SUM(J26:J27)</f>
        <v>1</v>
      </c>
    </row>
    <row r="30" spans="2:10" x14ac:dyDescent="0.3">
      <c r="B30" s="30" t="s">
        <v>71</v>
      </c>
    </row>
    <row r="32" spans="2:10" x14ac:dyDescent="0.3">
      <c r="C32" s="31" t="s">
        <v>20</v>
      </c>
      <c r="D32" s="31" t="s">
        <v>56</v>
      </c>
    </row>
    <row r="33" spans="3:4" x14ac:dyDescent="0.3">
      <c r="C33" s="5">
        <v>-1</v>
      </c>
      <c r="D33" s="5">
        <f t="shared" ref="D33:D53" si="0">SQRT($D$27^2*$J$12^2 + $E$27^2*$J$13^2 + 2*$D$27*$E$27*$J$12*$J$13*C33)</f>
        <v>3.0000000000000082E-2</v>
      </c>
    </row>
    <row r="34" spans="3:4" x14ac:dyDescent="0.3">
      <c r="C34" s="5">
        <v>-0.9</v>
      </c>
      <c r="D34" s="5">
        <f t="shared" si="0"/>
        <v>5.0840928394355715E-2</v>
      </c>
    </row>
    <row r="35" spans="3:4" x14ac:dyDescent="0.3">
      <c r="C35" s="5">
        <v>-0.8</v>
      </c>
      <c r="D35" s="5">
        <f t="shared" si="0"/>
        <v>6.5342176272297534E-2</v>
      </c>
    </row>
    <row r="36" spans="3:4" x14ac:dyDescent="0.3">
      <c r="C36" s="5">
        <v>-0.7</v>
      </c>
      <c r="D36" s="5">
        <f t="shared" si="0"/>
        <v>7.7164758795709359E-2</v>
      </c>
    </row>
    <row r="37" spans="3:4" x14ac:dyDescent="0.3">
      <c r="C37" s="5">
        <v>-0.6</v>
      </c>
      <c r="D37" s="5">
        <f t="shared" si="0"/>
        <v>8.740251712622471E-2</v>
      </c>
    </row>
    <row r="38" spans="3:4" x14ac:dyDescent="0.3">
      <c r="C38" s="5">
        <v>-0.5</v>
      </c>
      <c r="D38" s="5">
        <f t="shared" si="0"/>
        <v>9.6560861636586504E-2</v>
      </c>
    </row>
    <row r="39" spans="3:4" x14ac:dyDescent="0.3">
      <c r="C39" s="5">
        <v>-0.39999999999999991</v>
      </c>
      <c r="D39" s="5">
        <f t="shared" si="0"/>
        <v>0.10492282878382572</v>
      </c>
    </row>
    <row r="40" spans="3:4" x14ac:dyDescent="0.3">
      <c r="C40" s="5">
        <v>-0.29999999999999993</v>
      </c>
      <c r="D40" s="5">
        <f t="shared" si="0"/>
        <v>0.11266587770926921</v>
      </c>
    </row>
    <row r="41" spans="3:4" x14ac:dyDescent="0.3">
      <c r="C41" s="5">
        <v>-0.19999999999999996</v>
      </c>
      <c r="D41" s="5">
        <f t="shared" si="0"/>
        <v>0.11990996622466377</v>
      </c>
    </row>
    <row r="42" spans="3:4" x14ac:dyDescent="0.3">
      <c r="C42" s="5">
        <v>-9.9999999999999978E-2</v>
      </c>
      <c r="D42" s="5">
        <f t="shared" si="0"/>
        <v>0.12674068013072995</v>
      </c>
    </row>
    <row r="43" spans="3:4" x14ac:dyDescent="0.3">
      <c r="C43" s="5">
        <v>0</v>
      </c>
      <c r="D43" s="5">
        <f t="shared" si="0"/>
        <v>0.13322161986704711</v>
      </c>
    </row>
    <row r="44" spans="3:4" x14ac:dyDescent="0.3">
      <c r="C44" s="5">
        <v>0.10000000000000009</v>
      </c>
      <c r="D44" s="5">
        <f t="shared" si="0"/>
        <v>0.13940157818331902</v>
      </c>
    </row>
    <row r="45" spans="3:4" x14ac:dyDescent="0.3">
      <c r="C45" s="5">
        <v>0.20000000000000018</v>
      </c>
      <c r="D45" s="5">
        <f t="shared" si="0"/>
        <v>0.14531895953384749</v>
      </c>
    </row>
    <row r="46" spans="3:4" x14ac:dyDescent="0.3">
      <c r="C46" s="5">
        <v>0.30000000000000004</v>
      </c>
      <c r="D46" s="5">
        <f t="shared" si="0"/>
        <v>0.15100463569043171</v>
      </c>
    </row>
    <row r="47" spans="3:4" x14ac:dyDescent="0.3">
      <c r="C47" s="5">
        <v>0.40000000000000013</v>
      </c>
      <c r="D47" s="5">
        <f t="shared" si="0"/>
        <v>0.15648386498294323</v>
      </c>
    </row>
    <row r="48" spans="3:4" x14ac:dyDescent="0.3">
      <c r="C48" s="5">
        <v>0.5</v>
      </c>
      <c r="D48" s="5">
        <f t="shared" si="0"/>
        <v>0.16177762515255317</v>
      </c>
    </row>
    <row r="49" spans="2:10" x14ac:dyDescent="0.3">
      <c r="C49" s="5">
        <v>0.60000000000000009</v>
      </c>
      <c r="D49" s="5">
        <f t="shared" si="0"/>
        <v>0.16690356497091369</v>
      </c>
    </row>
    <row r="50" spans="2:10" x14ac:dyDescent="0.3">
      <c r="C50" s="5">
        <v>0.70000000000000018</v>
      </c>
      <c r="D50" s="5">
        <f t="shared" si="0"/>
        <v>0.17187669999159283</v>
      </c>
    </row>
    <row r="51" spans="2:10" x14ac:dyDescent="0.3">
      <c r="C51" s="5">
        <v>0.8</v>
      </c>
      <c r="D51" s="5">
        <f t="shared" si="0"/>
        <v>0.17670993180916572</v>
      </c>
    </row>
    <row r="52" spans="2:10" x14ac:dyDescent="0.3">
      <c r="C52" s="5">
        <v>0.90000000000000013</v>
      </c>
      <c r="D52" s="5">
        <f t="shared" si="0"/>
        <v>0.18141444264445983</v>
      </c>
    </row>
    <row r="53" spans="2:10" x14ac:dyDescent="0.3">
      <c r="C53" s="5">
        <v>1</v>
      </c>
      <c r="D53" s="5">
        <f t="shared" si="0"/>
        <v>0.186</v>
      </c>
    </row>
    <row r="56" spans="2:10" x14ac:dyDescent="0.3">
      <c r="B56" s="18" t="s">
        <v>72</v>
      </c>
    </row>
    <row r="58" spans="2:10" x14ac:dyDescent="0.3">
      <c r="C58" s="9" t="s">
        <v>48</v>
      </c>
      <c r="D58" s="4" t="s">
        <v>23</v>
      </c>
      <c r="E58" s="4" t="s">
        <v>24</v>
      </c>
      <c r="F58" s="4" t="s">
        <v>25</v>
      </c>
      <c r="I58" s="32"/>
      <c r="J58" s="31" t="s">
        <v>25</v>
      </c>
    </row>
    <row r="59" spans="2:10" x14ac:dyDescent="0.3">
      <c r="C59" s="28" t="s">
        <v>26</v>
      </c>
      <c r="D59" s="2">
        <v>0.24</v>
      </c>
      <c r="E59" s="2">
        <v>0.15</v>
      </c>
      <c r="F59" s="5">
        <f>J59*D59+J60*E59</f>
        <v>0.20906250085683614</v>
      </c>
      <c r="I59" s="28" t="s">
        <v>23</v>
      </c>
      <c r="J59" s="5">
        <v>0.65625000782226406</v>
      </c>
    </row>
    <row r="60" spans="2:10" x14ac:dyDescent="0.3">
      <c r="C60" s="28" t="s">
        <v>27</v>
      </c>
      <c r="D60" s="2">
        <v>0.16</v>
      </c>
      <c r="E60" s="2">
        <v>0.24</v>
      </c>
      <c r="F60" s="5">
        <f>SQRT(D60^2*J59^2 + E60^2*J60^2 + 2*D60*E60*J59*J60*F63)</f>
        <v>0.11618950050460598</v>
      </c>
      <c r="I60" s="28" t="s">
        <v>24</v>
      </c>
      <c r="J60" s="5">
        <v>0.34374999319661842</v>
      </c>
    </row>
    <row r="61" spans="2:10" x14ac:dyDescent="0.3">
      <c r="I61" s="28" t="s">
        <v>68</v>
      </c>
      <c r="J61" s="5">
        <f>SUM(J59:J60)</f>
        <v>1.0000000010188825</v>
      </c>
    </row>
    <row r="63" spans="2:10" x14ac:dyDescent="0.3">
      <c r="E63" t="s">
        <v>20</v>
      </c>
      <c r="F63">
        <v>-0.25</v>
      </c>
    </row>
    <row r="66" spans="2:4" x14ac:dyDescent="0.3">
      <c r="B66" s="18" t="s">
        <v>73</v>
      </c>
    </row>
    <row r="68" spans="2:4" x14ac:dyDescent="0.3">
      <c r="C68" s="31" t="s">
        <v>20</v>
      </c>
      <c r="D68" s="31" t="s">
        <v>56</v>
      </c>
    </row>
    <row r="69" spans="2:4" x14ac:dyDescent="0.3">
      <c r="C69" s="5">
        <v>-1</v>
      </c>
      <c r="D69" s="5">
        <f>SQRT($D$60^2*$J$59^2 + $E$60^2*$J$60^2 + 2*$D$60*$E$60*$J$59*$J$60*C69)</f>
        <v>2.2500002884373878E-2</v>
      </c>
    </row>
    <row r="70" spans="2:4" x14ac:dyDescent="0.3">
      <c r="C70" s="5">
        <v>-0.9</v>
      </c>
      <c r="D70" s="5">
        <f t="shared" ref="D70:D89" si="1">SQRT($D$60^2*$J$59^2 + $E$60^2*$J$60^2 + 2*$D$60*$E$60*$J$59*$J$60*C70)</f>
        <v>4.7315432114253868E-2</v>
      </c>
    </row>
    <row r="71" spans="2:4" x14ac:dyDescent="0.3">
      <c r="C71" s="5">
        <v>-0.8</v>
      </c>
      <c r="D71" s="5">
        <f t="shared" si="1"/>
        <v>6.3017855426222638E-2</v>
      </c>
    </row>
    <row r="72" spans="2:4" x14ac:dyDescent="0.3">
      <c r="C72" s="5">
        <v>-0.7</v>
      </c>
      <c r="D72" s="5">
        <f t="shared" si="1"/>
        <v>7.5523175839486742E-2</v>
      </c>
    </row>
    <row r="73" spans="2:4" x14ac:dyDescent="0.3">
      <c r="C73" s="5">
        <v>-0.6</v>
      </c>
      <c r="D73" s="5">
        <f t="shared" si="1"/>
        <v>8.6233694547107081E-2</v>
      </c>
    </row>
    <row r="74" spans="2:4" x14ac:dyDescent="0.3">
      <c r="C74" s="5">
        <v>-0.5</v>
      </c>
      <c r="D74" s="5">
        <f t="shared" si="1"/>
        <v>9.5753590332715466E-2</v>
      </c>
    </row>
    <row r="75" spans="2:4" x14ac:dyDescent="0.3">
      <c r="C75" s="5">
        <v>-0.39999999999999991</v>
      </c>
      <c r="D75" s="5">
        <f t="shared" si="1"/>
        <v>0.10440905156147735</v>
      </c>
    </row>
    <row r="76" spans="2:4" x14ac:dyDescent="0.3">
      <c r="C76" s="5">
        <v>-0.29999999999999993</v>
      </c>
      <c r="D76" s="5">
        <f t="shared" si="1"/>
        <v>0.11239995566871443</v>
      </c>
    </row>
    <row r="77" spans="2:4" x14ac:dyDescent="0.3">
      <c r="C77" s="5">
        <v>-0.19999999999999996</v>
      </c>
      <c r="D77" s="5">
        <f t="shared" si="1"/>
        <v>0.11985929259215032</v>
      </c>
    </row>
    <row r="78" spans="2:4" x14ac:dyDescent="0.3">
      <c r="C78" s="5">
        <v>-9.9999999999999978E-2</v>
      </c>
      <c r="D78" s="5">
        <f t="shared" si="1"/>
        <v>0.12688084964663671</v>
      </c>
    </row>
    <row r="79" spans="2:4" x14ac:dyDescent="0.3">
      <c r="C79" s="5">
        <v>0</v>
      </c>
      <c r="D79" s="5">
        <f t="shared" si="1"/>
        <v>0.13353370358607661</v>
      </c>
    </row>
    <row r="80" spans="2:4" x14ac:dyDescent="0.3">
      <c r="C80" s="5">
        <v>0.10000000000000009</v>
      </c>
      <c r="D80" s="5">
        <f t="shared" si="1"/>
        <v>0.1398704757258511</v>
      </c>
    </row>
    <row r="81" spans="2:5" x14ac:dyDescent="0.3">
      <c r="C81" s="5">
        <v>0.20000000000000018</v>
      </c>
      <c r="D81" s="5">
        <f t="shared" si="1"/>
        <v>0.1459323472234228</v>
      </c>
    </row>
    <row r="82" spans="2:5" x14ac:dyDescent="0.3">
      <c r="C82" s="5">
        <v>0.30000000000000004</v>
      </c>
      <c r="D82" s="5">
        <f t="shared" si="1"/>
        <v>0.15175226506546571</v>
      </c>
    </row>
    <row r="83" spans="2:5" x14ac:dyDescent="0.3">
      <c r="C83" s="5">
        <v>0.40000000000000013</v>
      </c>
      <c r="D83" s="5">
        <f t="shared" si="1"/>
        <v>0.15735707781622377</v>
      </c>
    </row>
    <row r="84" spans="2:5" x14ac:dyDescent="0.3">
      <c r="C84" s="5">
        <v>0.5</v>
      </c>
      <c r="D84" s="5">
        <f t="shared" si="1"/>
        <v>0.16276900787687695</v>
      </c>
    </row>
    <row r="85" spans="2:5" x14ac:dyDescent="0.3">
      <c r="C85" s="5">
        <v>0.60000000000000009</v>
      </c>
      <c r="D85" s="5">
        <f t="shared" si="1"/>
        <v>0.16800669603198728</v>
      </c>
    </row>
    <row r="86" spans="2:5" x14ac:dyDescent="0.3">
      <c r="C86" s="5">
        <v>0.70000000000000018</v>
      </c>
      <c r="D86" s="5">
        <f t="shared" si="1"/>
        <v>0.17308596100766319</v>
      </c>
    </row>
    <row r="87" spans="2:5" x14ac:dyDescent="0.3">
      <c r="C87" s="5">
        <v>0.8</v>
      </c>
      <c r="D87" s="5">
        <f t="shared" si="1"/>
        <v>0.17802036367873209</v>
      </c>
    </row>
    <row r="88" spans="2:5" x14ac:dyDescent="0.3">
      <c r="C88" s="5">
        <v>0.90000000000000013</v>
      </c>
      <c r="D88" s="5">
        <f t="shared" si="1"/>
        <v>0.18282163403347476</v>
      </c>
    </row>
    <row r="89" spans="2:5" x14ac:dyDescent="0.3">
      <c r="C89" s="5">
        <v>1</v>
      </c>
      <c r="D89" s="5">
        <f t="shared" si="1"/>
        <v>0.18749999961875066</v>
      </c>
    </row>
    <row r="93" spans="2:5" x14ac:dyDescent="0.3">
      <c r="C93" s="34" t="s">
        <v>75</v>
      </c>
      <c r="D93" s="34" t="s">
        <v>76</v>
      </c>
      <c r="E93" s="34" t="s">
        <v>56</v>
      </c>
    </row>
    <row r="94" spans="2:5" x14ac:dyDescent="0.3">
      <c r="B94" t="s">
        <v>77</v>
      </c>
      <c r="C94" s="35">
        <v>0.67500000000000004</v>
      </c>
      <c r="D94" s="35">
        <f>1-C94</f>
        <v>0.32499999999999996</v>
      </c>
      <c r="E94" s="35">
        <f>SQRT($D$60^2*C94^2 + $E$60^2*D94^2 + 2*$D$60*$E$60*C94*D94*$F$63)</f>
        <v>0.11634431657799189</v>
      </c>
    </row>
    <row r="95" spans="2:5" x14ac:dyDescent="0.3">
      <c r="C95" s="5">
        <v>0</v>
      </c>
      <c r="D95" s="5">
        <f>1-C95</f>
        <v>1</v>
      </c>
      <c r="E95" s="5">
        <f>SQRT($D$60^2*C95^2 + $E$60^2*D95^2 + 2*$D$60*$E$60*C95*D95*$F$63)</f>
        <v>0.24</v>
      </c>
    </row>
    <row r="96" spans="2:5" x14ac:dyDescent="0.3">
      <c r="C96" s="5">
        <v>0.1</v>
      </c>
      <c r="D96" s="5">
        <f t="shared" ref="D96:D105" si="2">1-C96</f>
        <v>0.9</v>
      </c>
      <c r="E96" s="5">
        <f t="shared" ref="E96:E105" si="3">SQRT($D$60^2*C96^2 + $E$60^2*D96^2 + 2*$D$60*$E$60*C96*D96*$F$63)</f>
        <v>0.21256528408938277</v>
      </c>
    </row>
    <row r="97" spans="3:5" x14ac:dyDescent="0.3">
      <c r="C97" s="5">
        <v>0.2</v>
      </c>
      <c r="D97" s="5">
        <f t="shared" si="2"/>
        <v>0.8</v>
      </c>
      <c r="E97" s="5">
        <f t="shared" si="3"/>
        <v>0.18659046063504964</v>
      </c>
    </row>
    <row r="98" spans="3:5" x14ac:dyDescent="0.3">
      <c r="C98" s="5">
        <v>0.30000000000000004</v>
      </c>
      <c r="D98" s="5">
        <f t="shared" si="2"/>
        <v>0.7</v>
      </c>
      <c r="E98" s="5">
        <f t="shared" si="3"/>
        <v>0.16277591959500642</v>
      </c>
    </row>
    <row r="99" spans="3:5" x14ac:dyDescent="0.3">
      <c r="C99" s="5">
        <v>0.4</v>
      </c>
      <c r="D99" s="5">
        <f t="shared" si="2"/>
        <v>0.6</v>
      </c>
      <c r="E99" s="5">
        <f t="shared" si="3"/>
        <v>0.14221111067704942</v>
      </c>
    </row>
    <row r="100" spans="3:5" x14ac:dyDescent="0.3">
      <c r="C100" s="5">
        <v>0.5</v>
      </c>
      <c r="D100" s="5">
        <f t="shared" si="2"/>
        <v>0.5</v>
      </c>
      <c r="E100" s="5">
        <f t="shared" si="3"/>
        <v>0.12649110640673517</v>
      </c>
    </row>
    <row r="101" spans="3:5" x14ac:dyDescent="0.3">
      <c r="C101" s="5">
        <v>0.60000000000000009</v>
      </c>
      <c r="D101" s="5">
        <f t="shared" si="2"/>
        <v>0.39999999999999991</v>
      </c>
      <c r="E101" s="5">
        <f t="shared" si="3"/>
        <v>0.11757550765359254</v>
      </c>
    </row>
    <row r="102" spans="3:5" x14ac:dyDescent="0.3">
      <c r="C102" s="5">
        <v>0.70000000000000007</v>
      </c>
      <c r="D102" s="5">
        <f t="shared" si="2"/>
        <v>0.29999999999999993</v>
      </c>
      <c r="E102" s="5">
        <f t="shared" si="3"/>
        <v>0.11702991070662236</v>
      </c>
    </row>
    <row r="103" spans="3:5" x14ac:dyDescent="0.3">
      <c r="C103" s="5">
        <v>0.8</v>
      </c>
      <c r="D103" s="5">
        <f t="shared" si="2"/>
        <v>0.19999999999999996</v>
      </c>
      <c r="E103" s="5">
        <f t="shared" si="3"/>
        <v>0.12496399481450648</v>
      </c>
    </row>
    <row r="104" spans="3:5" x14ac:dyDescent="0.3">
      <c r="C104" s="5">
        <v>0.9</v>
      </c>
      <c r="D104" s="5">
        <f t="shared" si="2"/>
        <v>9.9999999999999978E-2</v>
      </c>
      <c r="E104" s="5">
        <f t="shared" si="3"/>
        <v>0.13994284547628721</v>
      </c>
    </row>
    <row r="105" spans="3:5" x14ac:dyDescent="0.3">
      <c r="C105" s="5">
        <v>1</v>
      </c>
      <c r="D105" s="5">
        <f t="shared" si="2"/>
        <v>0</v>
      </c>
      <c r="E105" s="5">
        <f t="shared" si="3"/>
        <v>0.16</v>
      </c>
    </row>
    <row r="109" spans="3:5" x14ac:dyDescent="0.3">
      <c r="C109" t="s">
        <v>78</v>
      </c>
    </row>
    <row r="111" spans="3:5" x14ac:dyDescent="0.3">
      <c r="C111" t="s">
        <v>79</v>
      </c>
    </row>
    <row r="115" spans="3:10" x14ac:dyDescent="0.3">
      <c r="C115" s="9" t="s">
        <v>48</v>
      </c>
      <c r="D115" s="4" t="s">
        <v>23</v>
      </c>
      <c r="E115" s="4" t="s">
        <v>24</v>
      </c>
      <c r="F115" s="4" t="s">
        <v>25</v>
      </c>
      <c r="I115" s="32"/>
      <c r="J115" s="31" t="s">
        <v>25</v>
      </c>
    </row>
    <row r="116" spans="3:10" x14ac:dyDescent="0.3">
      <c r="C116" s="28" t="s">
        <v>26</v>
      </c>
      <c r="D116" s="2">
        <v>0.24</v>
      </c>
      <c r="E116" s="2">
        <v>0.15</v>
      </c>
      <c r="F116" s="5">
        <f>J116*D116+J117*E116</f>
        <v>0.20400000094393109</v>
      </c>
      <c r="I116" s="28" t="s">
        <v>23</v>
      </c>
      <c r="J116" s="5">
        <v>0.60000001176291984</v>
      </c>
    </row>
    <row r="117" spans="3:10" x14ac:dyDescent="0.3">
      <c r="C117" s="28" t="s">
        <v>27</v>
      </c>
      <c r="D117" s="2">
        <v>0.16</v>
      </c>
      <c r="E117" s="2">
        <v>0.24</v>
      </c>
      <c r="F117" s="5">
        <f>SQRT(D117^2*J116^2 + E117^2*J117^2 + 2*D117*E117*J116*J117*F120)</f>
        <v>4.9280958456259048E-9</v>
      </c>
      <c r="I117" s="28" t="s">
        <v>24</v>
      </c>
      <c r="J117" s="5">
        <v>0.39999998747220233</v>
      </c>
    </row>
    <row r="118" spans="3:10" x14ac:dyDescent="0.3">
      <c r="I118" s="28" t="s">
        <v>68</v>
      </c>
      <c r="J118" s="5">
        <f>SUM(J116:J117)</f>
        <v>0.99999999923512217</v>
      </c>
    </row>
    <row r="120" spans="3:10" x14ac:dyDescent="0.3">
      <c r="E120" t="s">
        <v>20</v>
      </c>
      <c r="F120">
        <v>-1</v>
      </c>
    </row>
    <row r="122" spans="3:10" x14ac:dyDescent="0.3">
      <c r="E122" s="34" t="s">
        <v>75</v>
      </c>
      <c r="F122" s="34" t="s">
        <v>76</v>
      </c>
      <c r="G122" s="34" t="s">
        <v>56</v>
      </c>
    </row>
    <row r="123" spans="3:10" x14ac:dyDescent="0.3">
      <c r="E123" s="35">
        <v>0.67500000000000004</v>
      </c>
      <c r="F123" s="35">
        <f>1-E123</f>
        <v>0.32499999999999996</v>
      </c>
      <c r="G123" s="35">
        <f>SQRT($D$60^2*E123^2 + $E$60^2*F123^2 + 2*$D$60*$E$60*E123*F123*$F$120)</f>
        <v>3.0000000000000023E-2</v>
      </c>
    </row>
    <row r="124" spans="3:10" x14ac:dyDescent="0.3">
      <c r="E124" s="5">
        <v>0</v>
      </c>
      <c r="F124" s="5">
        <f>1-E124</f>
        <v>1</v>
      </c>
      <c r="G124" s="5">
        <f t="shared" ref="G124:G134" si="4">SQRT($D$60^2*E124^2 + $E$60^2*F124^2 + 2*$D$60*$E$60*E124*F124*$F$120)</f>
        <v>0.24</v>
      </c>
    </row>
    <row r="125" spans="3:10" x14ac:dyDescent="0.3">
      <c r="E125" s="5">
        <v>0.1</v>
      </c>
      <c r="F125" s="5">
        <f t="shared" ref="F125:F134" si="5">1-E125</f>
        <v>0.9</v>
      </c>
      <c r="G125" s="5">
        <f t="shared" si="4"/>
        <v>0.2</v>
      </c>
    </row>
    <row r="126" spans="3:10" x14ac:dyDescent="0.3">
      <c r="E126" s="5">
        <v>0.2</v>
      </c>
      <c r="F126" s="5">
        <f t="shared" si="5"/>
        <v>0.8</v>
      </c>
      <c r="G126" s="5">
        <f t="shared" si="4"/>
        <v>0.16</v>
      </c>
      <c r="I126" t="s">
        <v>80</v>
      </c>
    </row>
    <row r="127" spans="3:10" x14ac:dyDescent="0.3">
      <c r="E127" s="5">
        <v>0.30000000000000004</v>
      </c>
      <c r="F127" s="5">
        <f t="shared" si="5"/>
        <v>0.7</v>
      </c>
      <c r="G127" s="5">
        <f t="shared" si="4"/>
        <v>0.11999999999999998</v>
      </c>
    </row>
    <row r="128" spans="3:10" x14ac:dyDescent="0.3">
      <c r="E128" s="5">
        <v>0.4</v>
      </c>
      <c r="F128" s="5">
        <f t="shared" si="5"/>
        <v>0.6</v>
      </c>
      <c r="G128" s="5">
        <f t="shared" si="4"/>
        <v>8.0000000000000016E-2</v>
      </c>
    </row>
    <row r="129" spans="5:7" x14ac:dyDescent="0.3">
      <c r="E129" s="5">
        <v>0.5</v>
      </c>
      <c r="F129" s="5">
        <f t="shared" si="5"/>
        <v>0.5</v>
      </c>
      <c r="G129" s="5">
        <f t="shared" si="4"/>
        <v>4.0000000000000008E-2</v>
      </c>
    </row>
    <row r="130" spans="5:7" x14ac:dyDescent="0.3">
      <c r="E130" s="5">
        <v>0.60000000000000009</v>
      </c>
      <c r="F130" s="5">
        <f t="shared" si="5"/>
        <v>0.39999999999999991</v>
      </c>
      <c r="G130" s="5">
        <f t="shared" si="4"/>
        <v>0</v>
      </c>
    </row>
    <row r="131" spans="5:7" x14ac:dyDescent="0.3">
      <c r="E131" s="5">
        <v>0.70000000000000007</v>
      </c>
      <c r="F131" s="5">
        <f t="shared" si="5"/>
        <v>0.29999999999999993</v>
      </c>
      <c r="G131" s="5">
        <f t="shared" si="4"/>
        <v>4.0000000000000049E-2</v>
      </c>
    </row>
    <row r="132" spans="5:7" x14ac:dyDescent="0.3">
      <c r="E132" s="5">
        <v>0.8</v>
      </c>
      <c r="F132" s="5">
        <f t="shared" si="5"/>
        <v>0.19999999999999996</v>
      </c>
      <c r="G132" s="5">
        <f t="shared" si="4"/>
        <v>8.0000000000000043E-2</v>
      </c>
    </row>
    <row r="133" spans="5:7" x14ac:dyDescent="0.3">
      <c r="E133" s="5">
        <v>0.9</v>
      </c>
      <c r="F133" s="5">
        <f t="shared" si="5"/>
        <v>9.9999999999999978E-2</v>
      </c>
      <c r="G133" s="5">
        <f t="shared" si="4"/>
        <v>0.12000000000000001</v>
      </c>
    </row>
    <row r="134" spans="5:7" x14ac:dyDescent="0.3">
      <c r="E134" s="5">
        <v>1</v>
      </c>
      <c r="F134" s="5">
        <f t="shared" si="5"/>
        <v>0</v>
      </c>
      <c r="G134" s="5">
        <f t="shared" si="4"/>
        <v>0.16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29AFF-D85D-493E-A58D-65D0DD7D253B}">
  <dimension ref="B2:J20"/>
  <sheetViews>
    <sheetView zoomScaleNormal="100" workbookViewId="0">
      <selection activeCell="K15" sqref="K15"/>
    </sheetView>
  </sheetViews>
  <sheetFormatPr defaultRowHeight="14.4" x14ac:dyDescent="0.3"/>
  <cols>
    <col min="9" max="9" width="15.77734375" bestFit="1" customWidth="1"/>
  </cols>
  <sheetData>
    <row r="2" spans="2:10" x14ac:dyDescent="0.3">
      <c r="B2" s="18" t="s">
        <v>88</v>
      </c>
    </row>
    <row r="4" spans="2:10" x14ac:dyDescent="0.3">
      <c r="E4" s="9" t="s">
        <v>48</v>
      </c>
      <c r="F4" s="4" t="s">
        <v>81</v>
      </c>
      <c r="G4" s="4" t="s">
        <v>27</v>
      </c>
    </row>
    <row r="5" spans="2:10" x14ac:dyDescent="0.3">
      <c r="E5" s="28" t="s">
        <v>84</v>
      </c>
      <c r="F5" s="5">
        <v>0.94117647058755349</v>
      </c>
      <c r="G5" s="2">
        <v>0.1</v>
      </c>
    </row>
    <row r="6" spans="2:10" x14ac:dyDescent="0.3">
      <c r="E6" s="28" t="s">
        <v>85</v>
      </c>
      <c r="F6" s="5">
        <v>5.882352941244659E-2</v>
      </c>
      <c r="G6" s="2">
        <v>0.2</v>
      </c>
      <c r="I6" s="4" t="s">
        <v>83</v>
      </c>
      <c r="J6" s="5">
        <f>SQRT(G5^2*F5^2+G6^2*F6^2+2*PRODUCT(F5:G6)*F10)</f>
        <v>9.9410024349541701E-2</v>
      </c>
    </row>
    <row r="8" spans="2:10" x14ac:dyDescent="0.3">
      <c r="F8">
        <f>SUM(F5:F6)</f>
        <v>1</v>
      </c>
      <c r="I8" s="4" t="s">
        <v>92</v>
      </c>
      <c r="J8" s="5">
        <f>SQRT(G5^2*F5^2+G6^2*F6^2+2*PRODUCT(F5:G6)*F10)</f>
        <v>9.9410024349541701E-2</v>
      </c>
    </row>
    <row r="10" spans="2:10" x14ac:dyDescent="0.3">
      <c r="E10" s="1" t="s">
        <v>20</v>
      </c>
      <c r="F10" s="5">
        <v>0.4</v>
      </c>
    </row>
    <row r="11" spans="2:10" x14ac:dyDescent="0.3">
      <c r="E11" s="1" t="s">
        <v>82</v>
      </c>
      <c r="F11" s="5">
        <f>F10*G5*G6</f>
        <v>8.0000000000000019E-3</v>
      </c>
    </row>
    <row r="14" spans="2:10" x14ac:dyDescent="0.3">
      <c r="C14" s="30" t="s">
        <v>89</v>
      </c>
    </row>
    <row r="16" spans="2:10" x14ac:dyDescent="0.3">
      <c r="E16" s="1" t="s">
        <v>86</v>
      </c>
      <c r="F16" s="5">
        <f>(G5^2-F11)/(G5^2+G6^2-2*F11)</f>
        <v>5.8823529411764705E-2</v>
      </c>
      <c r="I16">
        <v>0.25</v>
      </c>
    </row>
    <row r="17" spans="3:9" x14ac:dyDescent="0.3">
      <c r="E17" s="1" t="s">
        <v>87</v>
      </c>
      <c r="F17" s="5">
        <f>(G6^2-F11)/(G6^2+G5^2-2*F11)</f>
        <v>0.9411764705882355</v>
      </c>
      <c r="I17">
        <v>0.75</v>
      </c>
    </row>
    <row r="18" spans="3:9" x14ac:dyDescent="0.3">
      <c r="I18">
        <f>SUM(I16:I17)</f>
        <v>1</v>
      </c>
    </row>
    <row r="20" spans="3:9" x14ac:dyDescent="0.3">
      <c r="C20" s="30" t="s">
        <v>89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CEE89-BF7E-48E1-AB28-0DCFAB587CDE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Sheet2</vt:lpstr>
      <vt:lpstr>Sheet3</vt:lpstr>
      <vt:lpstr>Sheet4</vt:lpstr>
      <vt:lpstr>Additional-discord-question</vt:lpstr>
      <vt:lpstr>Sheet5</vt:lpstr>
      <vt:lpstr>Sheet6</vt:lpstr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KAVITA MENON</dc:creator>
  <cp:lastModifiedBy>KAVITA MENON</cp:lastModifiedBy>
  <dcterms:created xsi:type="dcterms:W3CDTF">2024-01-29T06:13:52Z</dcterms:created>
  <dcterms:modified xsi:type="dcterms:W3CDTF">2024-03-11T02:47:32Z</dcterms:modified>
</cp:coreProperties>
</file>