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s\Documents\WeChat Files\wxid_6905479054712\FileStorage\File\2021-02\"/>
    </mc:Choice>
  </mc:AlternateContent>
  <xr:revisionPtr revIDLastSave="0" documentId="13_ncr:1_{27EF50AB-77BD-4407-86DF-CE4AB0F2E2BC}" xr6:coauthVersionLast="46" xr6:coauthVersionMax="46" xr10:uidLastSave="{00000000-0000-0000-0000-000000000000}"/>
  <bookViews>
    <workbookView xWindow="-110" yWindow="-110" windowWidth="19420" windowHeight="10420" xr2:uid="{29095F53-52D3-40D4-BB39-763F617AFD72}"/>
  </bookViews>
  <sheets>
    <sheet name="Website&amp;WeChat index" sheetId="2" r:id="rId1"/>
    <sheet name="Owned website score" sheetId="3" r:id="rId2"/>
    <sheet name="Owned website score raw data" sheetId="4" r:id="rId3"/>
    <sheet name="SEO score" sheetId="5" r:id="rId4"/>
    <sheet name="SEO Kws Rankings" sheetId="6" r:id="rId5"/>
    <sheet name="Search Volume" sheetId="7" r:id="rId6"/>
    <sheet name="Brandzone" sheetId="8" r:id="rId7"/>
    <sheet name="WeChat score" sheetId="14" r:id="rId8"/>
    <sheet name="EC" sheetId="15" r:id="rId9"/>
    <sheet name="Features October" sheetId="16" r:id="rId10"/>
    <sheet name="Features" sheetId="17" r:id="rId11"/>
    <sheet name="Feature Rules" sheetId="18" r:id="rId12"/>
    <sheet name="Features Calculation" sheetId="19" r:id="rId13"/>
  </sheets>
  <definedNames>
    <definedName name="_xlnm._FilterDatabase" localSheetId="1" hidden="1">'Owned website score'!$A$3:$T$3</definedName>
    <definedName name="_xlnm._FilterDatabase" localSheetId="3" hidden="1">'SEO score'!$B$3:$K$18</definedName>
    <definedName name="_xlnm._FilterDatabase" localSheetId="7" hidden="1">'WeChat score'!$A$1:$AS$26</definedName>
    <definedName name="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9" l="1"/>
  <c r="AN27" i="19" s="1"/>
  <c r="AM27" i="19"/>
  <c r="AL27" i="19" s="1"/>
  <c r="AK27" i="19"/>
  <c r="AJ27" i="19" s="1"/>
  <c r="AI27" i="19"/>
  <c r="AH27" i="19"/>
  <c r="AG27" i="19"/>
  <c r="AF27" i="19" s="1"/>
  <c r="AE27" i="19"/>
  <c r="AD27" i="19" s="1"/>
  <c r="AC27" i="19"/>
  <c r="AB27" i="19" s="1"/>
  <c r="AA25" i="14" s="1"/>
  <c r="Y25" i="14" s="1"/>
  <c r="AA27" i="19"/>
  <c r="Z27" i="19"/>
  <c r="Y27" i="19"/>
  <c r="X27" i="19" s="1"/>
  <c r="W27" i="19"/>
  <c r="V27" i="19" s="1"/>
  <c r="U27" i="19"/>
  <c r="T27" i="19" s="1"/>
  <c r="S27" i="19"/>
  <c r="R27" i="19" s="1"/>
  <c r="Q27" i="19"/>
  <c r="P27" i="19" s="1"/>
  <c r="O27" i="19"/>
  <c r="N27" i="19" s="1"/>
  <c r="M27" i="19"/>
  <c r="L27" i="19" s="1"/>
  <c r="K27" i="19"/>
  <c r="J27" i="19" s="1"/>
  <c r="I27" i="19"/>
  <c r="H27" i="19" s="1"/>
  <c r="G27" i="19"/>
  <c r="F27" i="19" s="1"/>
  <c r="E27" i="19"/>
  <c r="D27" i="19" s="1"/>
  <c r="C27" i="19"/>
  <c r="B27" i="19" s="1"/>
  <c r="AO26" i="19"/>
  <c r="AN26" i="19" s="1"/>
  <c r="AM26" i="19"/>
  <c r="AL26" i="19" s="1"/>
  <c r="AK26" i="19"/>
  <c r="AJ26" i="19" s="1"/>
  <c r="AI26" i="19"/>
  <c r="AH26" i="19"/>
  <c r="AG26" i="19"/>
  <c r="AF26" i="19" s="1"/>
  <c r="AE26" i="19"/>
  <c r="AD26" i="19" s="1"/>
  <c r="AC26" i="19"/>
  <c r="AB26" i="19" s="1"/>
  <c r="AA26" i="19"/>
  <c r="Z26" i="19" s="1"/>
  <c r="Y26" i="19"/>
  <c r="X26" i="19" s="1"/>
  <c r="W26" i="19"/>
  <c r="V26" i="19" s="1"/>
  <c r="U26" i="19"/>
  <c r="T26" i="19" s="1"/>
  <c r="S26" i="19"/>
  <c r="R26" i="19"/>
  <c r="Q26" i="19"/>
  <c r="P26" i="19" s="1"/>
  <c r="O26" i="19"/>
  <c r="N26" i="19" s="1"/>
  <c r="M26" i="19"/>
  <c r="L26" i="19" s="1"/>
  <c r="K26" i="19"/>
  <c r="J26" i="19" s="1"/>
  <c r="N26" i="14" s="1"/>
  <c r="M26" i="14" s="1"/>
  <c r="I26" i="19"/>
  <c r="H26" i="19" s="1"/>
  <c r="G26" i="19"/>
  <c r="F26" i="19" s="1"/>
  <c r="E26" i="19"/>
  <c r="D26" i="19" s="1"/>
  <c r="C26" i="19"/>
  <c r="B26" i="19"/>
  <c r="AG25" i="19"/>
  <c r="AF25" i="19" s="1"/>
  <c r="G25" i="19"/>
  <c r="F25" i="19" s="1"/>
  <c r="J21" i="14" s="1"/>
  <c r="Z23" i="19"/>
  <c r="M23" i="19"/>
  <c r="L23" i="19" s="1"/>
  <c r="O22" i="14" s="1"/>
  <c r="O22" i="19"/>
  <c r="N22" i="19" s="1"/>
  <c r="B22" i="19"/>
  <c r="H15" i="14" s="1"/>
  <c r="AE20" i="19"/>
  <c r="AD20" i="19" s="1"/>
  <c r="AB16" i="14" s="1"/>
  <c r="AG19" i="19"/>
  <c r="AF19" i="19" s="1"/>
  <c r="S19" i="19"/>
  <c r="R19" i="19" s="1"/>
  <c r="Y18" i="19"/>
  <c r="X18" i="19" s="1"/>
  <c r="M18" i="19"/>
  <c r="L18" i="19" s="1"/>
  <c r="L17" i="19"/>
  <c r="Y16" i="19"/>
  <c r="X16" i="19" s="1"/>
  <c r="P16" i="19"/>
  <c r="Q24" i="14" s="1"/>
  <c r="AB15" i="19"/>
  <c r="S15" i="19"/>
  <c r="R15" i="19" s="1"/>
  <c r="Z13" i="19"/>
  <c r="Z19" i="14" s="1"/>
  <c r="AC12" i="19"/>
  <c r="AB12" i="19" s="1"/>
  <c r="AG11" i="19"/>
  <c r="AF11" i="19" s="1"/>
  <c r="AC10" i="19"/>
  <c r="AB10" i="19" s="1"/>
  <c r="AK9" i="19"/>
  <c r="AJ9" i="19" s="1"/>
  <c r="P9" i="19"/>
  <c r="Q10" i="14" s="1"/>
  <c r="E9" i="19"/>
  <c r="D9" i="19" s="1"/>
  <c r="AI8" i="19"/>
  <c r="AH8" i="19" s="1"/>
  <c r="Q8" i="19"/>
  <c r="P8" i="19" s="1"/>
  <c r="AM7" i="19"/>
  <c r="AL7" i="19" s="1"/>
  <c r="AC7" i="19"/>
  <c r="AB7" i="19" s="1"/>
  <c r="M7" i="19"/>
  <c r="L7" i="19" s="1"/>
  <c r="K7" i="19"/>
  <c r="J7" i="19" s="1"/>
  <c r="AG6" i="19"/>
  <c r="AF6" i="19" s="1"/>
  <c r="O6" i="19"/>
  <c r="N6" i="19" s="1"/>
  <c r="E6" i="19"/>
  <c r="D6" i="19" s="1"/>
  <c r="AM5" i="19"/>
  <c r="AL5" i="19" s="1"/>
  <c r="AC5" i="19"/>
  <c r="AB5" i="19" s="1"/>
  <c r="AA5" i="19"/>
  <c r="Z5" i="19" s="1"/>
  <c r="Z4" i="19"/>
  <c r="H117" i="17"/>
  <c r="D117" i="17"/>
  <c r="W25" i="17"/>
  <c r="AO25" i="19" s="1"/>
  <c r="AN25" i="19" s="1"/>
  <c r="V25" i="17"/>
  <c r="AM25" i="19" s="1"/>
  <c r="AL25" i="19" s="1"/>
  <c r="U25" i="17"/>
  <c r="AK25" i="19" s="1"/>
  <c r="AJ25" i="19" s="1"/>
  <c r="T25" i="17"/>
  <c r="AI25" i="19" s="1"/>
  <c r="AH25" i="19" s="1"/>
  <c r="S25" i="17"/>
  <c r="R25" i="17"/>
  <c r="AE25" i="19" s="1"/>
  <c r="AD25" i="19" s="1"/>
  <c r="Q25" i="17"/>
  <c r="AC25" i="19" s="1"/>
  <c r="AB25" i="19" s="1"/>
  <c r="P25" i="17"/>
  <c r="AA25" i="19" s="1"/>
  <c r="Z25" i="19" s="1"/>
  <c r="O25" i="17"/>
  <c r="Y25" i="19" s="1"/>
  <c r="X25" i="19" s="1"/>
  <c r="N25" i="17"/>
  <c r="W25" i="19" s="1"/>
  <c r="V25" i="19" s="1"/>
  <c r="M25" i="17"/>
  <c r="U25" i="19" s="1"/>
  <c r="T25" i="19" s="1"/>
  <c r="L25" i="17"/>
  <c r="S25" i="19" s="1"/>
  <c r="R25" i="19" s="1"/>
  <c r="K25" i="17"/>
  <c r="Q25" i="19" s="1"/>
  <c r="P25" i="19" s="1"/>
  <c r="J25" i="17"/>
  <c r="O25" i="19" s="1"/>
  <c r="N25" i="19" s="1"/>
  <c r="P21" i="14" s="1"/>
  <c r="I25" i="17"/>
  <c r="M25" i="19" s="1"/>
  <c r="L25" i="19" s="1"/>
  <c r="H25" i="17"/>
  <c r="K25" i="19" s="1"/>
  <c r="J25" i="19" s="1"/>
  <c r="G25" i="17"/>
  <c r="I25" i="19" s="1"/>
  <c r="H25" i="19" s="1"/>
  <c r="F25" i="17"/>
  <c r="E25" i="17"/>
  <c r="E25" i="19" s="1"/>
  <c r="D25" i="19" s="1"/>
  <c r="D25" i="17"/>
  <c r="C25" i="19" s="1"/>
  <c r="B25" i="19" s="1"/>
  <c r="W24" i="17"/>
  <c r="AO24" i="19" s="1"/>
  <c r="AN24" i="19" s="1"/>
  <c r="V24" i="17"/>
  <c r="AM24" i="19" s="1"/>
  <c r="AL24" i="19" s="1"/>
  <c r="U24" i="17"/>
  <c r="AK24" i="19" s="1"/>
  <c r="AJ24" i="19" s="1"/>
  <c r="T24" i="17"/>
  <c r="AI24" i="19" s="1"/>
  <c r="AH24" i="19" s="1"/>
  <c r="S24" i="17"/>
  <c r="AG24" i="19" s="1"/>
  <c r="AF24" i="19" s="1"/>
  <c r="R24" i="17"/>
  <c r="AE24" i="19" s="1"/>
  <c r="AD24" i="19" s="1"/>
  <c r="Q24" i="17"/>
  <c r="AC24" i="19" s="1"/>
  <c r="AB24" i="19" s="1"/>
  <c r="P24" i="17"/>
  <c r="AA24" i="19" s="1"/>
  <c r="Z24" i="19" s="1"/>
  <c r="O24" i="17"/>
  <c r="Y24" i="19" s="1"/>
  <c r="X24" i="19" s="1"/>
  <c r="N24" i="17"/>
  <c r="W24" i="19" s="1"/>
  <c r="V24" i="19" s="1"/>
  <c r="V18" i="14" s="1"/>
  <c r="M24" i="17"/>
  <c r="U24" i="19" s="1"/>
  <c r="T24" i="19" s="1"/>
  <c r="L24" i="17"/>
  <c r="S24" i="19" s="1"/>
  <c r="R24" i="19" s="1"/>
  <c r="K24" i="17"/>
  <c r="Q24" i="19" s="1"/>
  <c r="P24" i="19" s="1"/>
  <c r="J24" i="17"/>
  <c r="O24" i="19" s="1"/>
  <c r="N24" i="19" s="1"/>
  <c r="I24" i="17"/>
  <c r="M24" i="19" s="1"/>
  <c r="L24" i="19" s="1"/>
  <c r="H24" i="17"/>
  <c r="K24" i="19" s="1"/>
  <c r="J24" i="19" s="1"/>
  <c r="G24" i="17"/>
  <c r="I24" i="19" s="1"/>
  <c r="H24" i="19" s="1"/>
  <c r="F24" i="17"/>
  <c r="G24" i="19" s="1"/>
  <c r="F24" i="19" s="1"/>
  <c r="E24" i="17"/>
  <c r="E24" i="19" s="1"/>
  <c r="D24" i="19" s="1"/>
  <c r="D24" i="17"/>
  <c r="C24" i="19" s="1"/>
  <c r="B24" i="19" s="1"/>
  <c r="W23" i="17"/>
  <c r="AO23" i="19" s="1"/>
  <c r="AN23" i="19" s="1"/>
  <c r="V23" i="17"/>
  <c r="AM23" i="19" s="1"/>
  <c r="AL23" i="19" s="1"/>
  <c r="U23" i="17"/>
  <c r="AK23" i="19" s="1"/>
  <c r="AJ23" i="19" s="1"/>
  <c r="T23" i="17"/>
  <c r="AI23" i="19" s="1"/>
  <c r="AH23" i="19" s="1"/>
  <c r="S23" i="17"/>
  <c r="AG23" i="19" s="1"/>
  <c r="AF23" i="19" s="1"/>
  <c r="R23" i="17"/>
  <c r="AE23" i="19" s="1"/>
  <c r="AD23" i="19" s="1"/>
  <c r="AB22" i="14" s="1"/>
  <c r="Q23" i="17"/>
  <c r="AC23" i="19" s="1"/>
  <c r="AB23" i="19" s="1"/>
  <c r="P23" i="17"/>
  <c r="AA23" i="19" s="1"/>
  <c r="O23" i="17"/>
  <c r="Y23" i="19" s="1"/>
  <c r="X23" i="19" s="1"/>
  <c r="N23" i="17"/>
  <c r="W23" i="19" s="1"/>
  <c r="V23" i="19" s="1"/>
  <c r="V22" i="14" s="1"/>
  <c r="M23" i="17"/>
  <c r="U23" i="19" s="1"/>
  <c r="T23" i="19" s="1"/>
  <c r="L23" i="17"/>
  <c r="S23" i="19" s="1"/>
  <c r="R23" i="19" s="1"/>
  <c r="K23" i="17"/>
  <c r="Q23" i="19" s="1"/>
  <c r="P23" i="19" s="1"/>
  <c r="J23" i="17"/>
  <c r="O23" i="19" s="1"/>
  <c r="N23" i="19" s="1"/>
  <c r="I23" i="17"/>
  <c r="H23" i="17"/>
  <c r="K23" i="19" s="1"/>
  <c r="J23" i="19" s="1"/>
  <c r="N22" i="14" s="1"/>
  <c r="G23" i="17"/>
  <c r="I23" i="19" s="1"/>
  <c r="H23" i="19" s="1"/>
  <c r="F23" i="17"/>
  <c r="G23" i="19" s="1"/>
  <c r="F23" i="19" s="1"/>
  <c r="E23" i="17"/>
  <c r="E23" i="19" s="1"/>
  <c r="D23" i="19" s="1"/>
  <c r="D23" i="17"/>
  <c r="C23" i="19" s="1"/>
  <c r="B23" i="19" s="1"/>
  <c r="W22" i="17"/>
  <c r="AO22" i="19" s="1"/>
  <c r="AN22" i="19" s="1"/>
  <c r="V22" i="17"/>
  <c r="AM22" i="19" s="1"/>
  <c r="AL22" i="19" s="1"/>
  <c r="U22" i="17"/>
  <c r="AK22" i="19" s="1"/>
  <c r="AJ22" i="19" s="1"/>
  <c r="T22" i="17"/>
  <c r="AI22" i="19" s="1"/>
  <c r="AH22" i="19" s="1"/>
  <c r="S22" i="17"/>
  <c r="AG22" i="19" s="1"/>
  <c r="AF22" i="19" s="1"/>
  <c r="R22" i="17"/>
  <c r="AE22" i="19" s="1"/>
  <c r="AD22" i="19" s="1"/>
  <c r="Q22" i="17"/>
  <c r="AC22" i="19" s="1"/>
  <c r="AB22" i="19" s="1"/>
  <c r="P22" i="17"/>
  <c r="AA22" i="19" s="1"/>
  <c r="Z22" i="19" s="1"/>
  <c r="O22" i="17"/>
  <c r="Y22" i="19" s="1"/>
  <c r="X22" i="19" s="1"/>
  <c r="N22" i="17"/>
  <c r="W22" i="19" s="1"/>
  <c r="V22" i="19" s="1"/>
  <c r="M22" i="17"/>
  <c r="U22" i="19" s="1"/>
  <c r="T22" i="19" s="1"/>
  <c r="L22" i="17"/>
  <c r="S22" i="19" s="1"/>
  <c r="R22" i="19" s="1"/>
  <c r="K22" i="17"/>
  <c r="Q22" i="19" s="1"/>
  <c r="P22" i="19" s="1"/>
  <c r="J22" i="17"/>
  <c r="I22" i="17"/>
  <c r="M22" i="19" s="1"/>
  <c r="L22" i="19" s="1"/>
  <c r="H22" i="17"/>
  <c r="K22" i="19" s="1"/>
  <c r="J22" i="19" s="1"/>
  <c r="G22" i="17"/>
  <c r="I22" i="19" s="1"/>
  <c r="H22" i="19" s="1"/>
  <c r="F22" i="17"/>
  <c r="G22" i="19" s="1"/>
  <c r="F22" i="19" s="1"/>
  <c r="E22" i="17"/>
  <c r="E22" i="19" s="1"/>
  <c r="D22" i="19" s="1"/>
  <c r="D22" i="17"/>
  <c r="C22" i="19" s="1"/>
  <c r="W21" i="17"/>
  <c r="AO21" i="19" s="1"/>
  <c r="AN21" i="19" s="1"/>
  <c r="V21" i="17"/>
  <c r="AM21" i="19" s="1"/>
  <c r="AL21" i="19" s="1"/>
  <c r="U21" i="17"/>
  <c r="AK21" i="19" s="1"/>
  <c r="AJ21" i="19" s="1"/>
  <c r="T21" i="17"/>
  <c r="AI21" i="19" s="1"/>
  <c r="AH21" i="19" s="1"/>
  <c r="S21" i="17"/>
  <c r="AG21" i="19" s="1"/>
  <c r="AF21" i="19" s="1"/>
  <c r="R21" i="17"/>
  <c r="AE21" i="19" s="1"/>
  <c r="AD21" i="19" s="1"/>
  <c r="Q21" i="17"/>
  <c r="AC21" i="19" s="1"/>
  <c r="AB21" i="19" s="1"/>
  <c r="P21" i="17"/>
  <c r="AA21" i="19" s="1"/>
  <c r="Z21" i="19" s="1"/>
  <c r="O21" i="17"/>
  <c r="Y21" i="19" s="1"/>
  <c r="X21" i="19" s="1"/>
  <c r="N21" i="17"/>
  <c r="W21" i="19" s="1"/>
  <c r="V21" i="19" s="1"/>
  <c r="M21" i="17"/>
  <c r="U21" i="19" s="1"/>
  <c r="T21" i="19" s="1"/>
  <c r="L21" i="17"/>
  <c r="S21" i="19" s="1"/>
  <c r="R21" i="19" s="1"/>
  <c r="K21" i="17"/>
  <c r="Q21" i="19" s="1"/>
  <c r="P21" i="19" s="1"/>
  <c r="J21" i="17"/>
  <c r="O21" i="19" s="1"/>
  <c r="N21" i="19" s="1"/>
  <c r="I21" i="17"/>
  <c r="M21" i="19" s="1"/>
  <c r="L21" i="19" s="1"/>
  <c r="H21" i="17"/>
  <c r="K21" i="19" s="1"/>
  <c r="J21" i="19" s="1"/>
  <c r="G21" i="17"/>
  <c r="I21" i="19" s="1"/>
  <c r="H21" i="19" s="1"/>
  <c r="F21" i="17"/>
  <c r="G21" i="19" s="1"/>
  <c r="F21" i="19" s="1"/>
  <c r="E21" i="17"/>
  <c r="E21" i="19" s="1"/>
  <c r="D21" i="19" s="1"/>
  <c r="D21" i="17"/>
  <c r="C21" i="19" s="1"/>
  <c r="B21" i="19" s="1"/>
  <c r="W20" i="17"/>
  <c r="AO20" i="19" s="1"/>
  <c r="AN20" i="19" s="1"/>
  <c r="V20" i="17"/>
  <c r="AM20" i="19" s="1"/>
  <c r="AL20" i="19" s="1"/>
  <c r="U20" i="17"/>
  <c r="AK20" i="19" s="1"/>
  <c r="AJ20" i="19" s="1"/>
  <c r="T20" i="17"/>
  <c r="AI20" i="19" s="1"/>
  <c r="AH20" i="19" s="1"/>
  <c r="S20" i="17"/>
  <c r="AG20" i="19" s="1"/>
  <c r="AF20" i="19" s="1"/>
  <c r="R20" i="17"/>
  <c r="Q20" i="17"/>
  <c r="AC20" i="19" s="1"/>
  <c r="AB20" i="19" s="1"/>
  <c r="P20" i="17"/>
  <c r="AA20" i="19" s="1"/>
  <c r="Z20" i="19" s="1"/>
  <c r="O20" i="17"/>
  <c r="Y20" i="19" s="1"/>
  <c r="X20" i="19" s="1"/>
  <c r="N20" i="17"/>
  <c r="W20" i="19" s="1"/>
  <c r="V20" i="19" s="1"/>
  <c r="M20" i="17"/>
  <c r="U20" i="19" s="1"/>
  <c r="T20" i="19" s="1"/>
  <c r="L20" i="17"/>
  <c r="S20" i="19" s="1"/>
  <c r="R20" i="19" s="1"/>
  <c r="T16" i="14" s="1"/>
  <c r="K20" i="17"/>
  <c r="Q20" i="19" s="1"/>
  <c r="P20" i="19" s="1"/>
  <c r="J20" i="17"/>
  <c r="O20" i="19" s="1"/>
  <c r="N20" i="19" s="1"/>
  <c r="I20" i="17"/>
  <c r="M20" i="19" s="1"/>
  <c r="L20" i="19" s="1"/>
  <c r="H20" i="17"/>
  <c r="K20" i="19" s="1"/>
  <c r="J20" i="19" s="1"/>
  <c r="G20" i="17"/>
  <c r="I20" i="19" s="1"/>
  <c r="H20" i="19" s="1"/>
  <c r="F20" i="17"/>
  <c r="G20" i="19" s="1"/>
  <c r="F20" i="19" s="1"/>
  <c r="E20" i="17"/>
  <c r="E20" i="19" s="1"/>
  <c r="D20" i="19" s="1"/>
  <c r="I16" i="14" s="1"/>
  <c r="D20" i="17"/>
  <c r="C20" i="19" s="1"/>
  <c r="B20" i="19" s="1"/>
  <c r="W19" i="17"/>
  <c r="AO19" i="19" s="1"/>
  <c r="AN19" i="19" s="1"/>
  <c r="V19" i="17"/>
  <c r="AM19" i="19" s="1"/>
  <c r="AL19" i="19" s="1"/>
  <c r="U19" i="17"/>
  <c r="AK19" i="19" s="1"/>
  <c r="AJ19" i="19" s="1"/>
  <c r="T19" i="17"/>
  <c r="AI19" i="19" s="1"/>
  <c r="AH19" i="19" s="1"/>
  <c r="S19" i="17"/>
  <c r="R19" i="17"/>
  <c r="AE19" i="19" s="1"/>
  <c r="AD19" i="19" s="1"/>
  <c r="Q19" i="17"/>
  <c r="AC19" i="19" s="1"/>
  <c r="AB19" i="19" s="1"/>
  <c r="P19" i="17"/>
  <c r="AA19" i="19" s="1"/>
  <c r="Z19" i="19" s="1"/>
  <c r="O19" i="17"/>
  <c r="Y19" i="19" s="1"/>
  <c r="X19" i="19" s="1"/>
  <c r="N19" i="17"/>
  <c r="W19" i="19" s="1"/>
  <c r="V19" i="19" s="1"/>
  <c r="M19" i="17"/>
  <c r="U19" i="19" s="1"/>
  <c r="T19" i="19" s="1"/>
  <c r="L19" i="17"/>
  <c r="K19" i="17"/>
  <c r="Q19" i="19" s="1"/>
  <c r="P19" i="19" s="1"/>
  <c r="J19" i="17"/>
  <c r="O19" i="19" s="1"/>
  <c r="N19" i="19" s="1"/>
  <c r="I19" i="17"/>
  <c r="M19" i="19" s="1"/>
  <c r="L19" i="19" s="1"/>
  <c r="H19" i="17"/>
  <c r="K19" i="19" s="1"/>
  <c r="J19" i="19" s="1"/>
  <c r="G19" i="17"/>
  <c r="I19" i="19" s="1"/>
  <c r="H19" i="19" s="1"/>
  <c r="F19" i="17"/>
  <c r="G19" i="19" s="1"/>
  <c r="F19" i="19" s="1"/>
  <c r="E19" i="17"/>
  <c r="E19" i="19" s="1"/>
  <c r="D19" i="19" s="1"/>
  <c r="D19" i="17"/>
  <c r="C19" i="19" s="1"/>
  <c r="B19" i="19" s="1"/>
  <c r="W18" i="17"/>
  <c r="AO18" i="19" s="1"/>
  <c r="AN18" i="19" s="1"/>
  <c r="V18" i="17"/>
  <c r="AM18" i="19" s="1"/>
  <c r="AL18" i="19" s="1"/>
  <c r="U18" i="17"/>
  <c r="AK18" i="19" s="1"/>
  <c r="AJ18" i="19" s="1"/>
  <c r="T18" i="17"/>
  <c r="AI18" i="19" s="1"/>
  <c r="AH18" i="19" s="1"/>
  <c r="S18" i="17"/>
  <c r="AG18" i="19" s="1"/>
  <c r="AF18" i="19" s="1"/>
  <c r="R18" i="17"/>
  <c r="AE18" i="19" s="1"/>
  <c r="AD18" i="19" s="1"/>
  <c r="Q18" i="17"/>
  <c r="AC18" i="19" s="1"/>
  <c r="AB18" i="19" s="1"/>
  <c r="P18" i="17"/>
  <c r="AA18" i="19" s="1"/>
  <c r="Z18" i="19" s="1"/>
  <c r="O18" i="17"/>
  <c r="N18" i="17"/>
  <c r="W18" i="19" s="1"/>
  <c r="V18" i="19" s="1"/>
  <c r="M18" i="17"/>
  <c r="U18" i="19" s="1"/>
  <c r="T18" i="19" s="1"/>
  <c r="L18" i="17"/>
  <c r="S18" i="19" s="1"/>
  <c r="R18" i="19" s="1"/>
  <c r="K18" i="17"/>
  <c r="Q18" i="19" s="1"/>
  <c r="P18" i="19" s="1"/>
  <c r="J18" i="17"/>
  <c r="O18" i="19" s="1"/>
  <c r="N18" i="19" s="1"/>
  <c r="I18" i="17"/>
  <c r="H18" i="17"/>
  <c r="K18" i="19" s="1"/>
  <c r="J18" i="19" s="1"/>
  <c r="G18" i="17"/>
  <c r="I18" i="19" s="1"/>
  <c r="H18" i="19" s="1"/>
  <c r="F18" i="17"/>
  <c r="G18" i="19" s="1"/>
  <c r="F18" i="19" s="1"/>
  <c r="E18" i="17"/>
  <c r="E18" i="19" s="1"/>
  <c r="D18" i="19" s="1"/>
  <c r="D18" i="17"/>
  <c r="C18" i="19" s="1"/>
  <c r="B18" i="19" s="1"/>
  <c r="W17" i="17"/>
  <c r="AO17" i="19" s="1"/>
  <c r="AN17" i="19" s="1"/>
  <c r="AI23" i="14" s="1"/>
  <c r="V17" i="17"/>
  <c r="AM17" i="19" s="1"/>
  <c r="AL17" i="19" s="1"/>
  <c r="U17" i="17"/>
  <c r="AK17" i="19" s="1"/>
  <c r="AJ17" i="19" s="1"/>
  <c r="T17" i="17"/>
  <c r="AI17" i="19" s="1"/>
  <c r="AH17" i="19" s="1"/>
  <c r="AF23" i="14" s="1"/>
  <c r="S17" i="17"/>
  <c r="AG17" i="19" s="1"/>
  <c r="AF17" i="19" s="1"/>
  <c r="R17" i="17"/>
  <c r="AE17" i="19" s="1"/>
  <c r="AD17" i="19" s="1"/>
  <c r="Q17" i="17"/>
  <c r="AC17" i="19" s="1"/>
  <c r="AB17" i="19" s="1"/>
  <c r="AA23" i="14" s="1"/>
  <c r="P17" i="17"/>
  <c r="AA17" i="19" s="1"/>
  <c r="Z17" i="19" s="1"/>
  <c r="O17" i="17"/>
  <c r="Y17" i="19" s="1"/>
  <c r="X17" i="19" s="1"/>
  <c r="N17" i="17"/>
  <c r="W17" i="19" s="1"/>
  <c r="V17" i="19" s="1"/>
  <c r="M17" i="17"/>
  <c r="U17" i="19" s="1"/>
  <c r="T17" i="19" s="1"/>
  <c r="U23" i="14" s="1"/>
  <c r="L17" i="17"/>
  <c r="S17" i="19" s="1"/>
  <c r="R17" i="19" s="1"/>
  <c r="K17" i="17"/>
  <c r="Q17" i="19" s="1"/>
  <c r="P17" i="19" s="1"/>
  <c r="J17" i="17"/>
  <c r="O17" i="19" s="1"/>
  <c r="N17" i="19" s="1"/>
  <c r="P23" i="14" s="1"/>
  <c r="I17" i="17"/>
  <c r="M17" i="19" s="1"/>
  <c r="H17" i="17"/>
  <c r="K17" i="19" s="1"/>
  <c r="J17" i="19" s="1"/>
  <c r="G17" i="17"/>
  <c r="I17" i="19" s="1"/>
  <c r="H17" i="19" s="1"/>
  <c r="F17" i="17"/>
  <c r="G17" i="19" s="1"/>
  <c r="F17" i="19" s="1"/>
  <c r="E17" i="17"/>
  <c r="E17" i="19" s="1"/>
  <c r="D17" i="19" s="1"/>
  <c r="D17" i="17"/>
  <c r="C17" i="19" s="1"/>
  <c r="B17" i="19" s="1"/>
  <c r="H23" i="14" s="1"/>
  <c r="W16" i="17"/>
  <c r="AO16" i="19" s="1"/>
  <c r="AN16" i="19" s="1"/>
  <c r="V16" i="17"/>
  <c r="AM16" i="19" s="1"/>
  <c r="AL16" i="19" s="1"/>
  <c r="AH24" i="14" s="1"/>
  <c r="U16" i="17"/>
  <c r="AK16" i="19" s="1"/>
  <c r="AJ16" i="19" s="1"/>
  <c r="T16" i="17"/>
  <c r="AI16" i="19" s="1"/>
  <c r="AH16" i="19" s="1"/>
  <c r="S16" i="17"/>
  <c r="AG16" i="19" s="1"/>
  <c r="AF16" i="19" s="1"/>
  <c r="AE24" i="14" s="1"/>
  <c r="R16" i="17"/>
  <c r="AE16" i="19" s="1"/>
  <c r="AD16" i="19" s="1"/>
  <c r="Q16" i="17"/>
  <c r="AC16" i="19" s="1"/>
  <c r="AB16" i="19" s="1"/>
  <c r="P16" i="17"/>
  <c r="AA16" i="19" s="1"/>
  <c r="Z16" i="19" s="1"/>
  <c r="O16" i="17"/>
  <c r="N16" i="17"/>
  <c r="W16" i="19" s="1"/>
  <c r="V16" i="19" s="1"/>
  <c r="V24" i="14" s="1"/>
  <c r="M16" i="17"/>
  <c r="U16" i="19" s="1"/>
  <c r="T16" i="19" s="1"/>
  <c r="L16" i="17"/>
  <c r="S16" i="19" s="1"/>
  <c r="R16" i="19" s="1"/>
  <c r="K16" i="17"/>
  <c r="Q16" i="19" s="1"/>
  <c r="J16" i="17"/>
  <c r="O16" i="19" s="1"/>
  <c r="N16" i="19" s="1"/>
  <c r="I16" i="17"/>
  <c r="M16" i="19" s="1"/>
  <c r="L16" i="19" s="1"/>
  <c r="O24" i="14" s="1"/>
  <c r="H16" i="17"/>
  <c r="K16" i="19" s="1"/>
  <c r="J16" i="19" s="1"/>
  <c r="N24" i="14" s="1"/>
  <c r="G16" i="17"/>
  <c r="I16" i="19" s="1"/>
  <c r="H16" i="19" s="1"/>
  <c r="F16" i="17"/>
  <c r="G16" i="19" s="1"/>
  <c r="F16" i="19" s="1"/>
  <c r="J24" i="14" s="1"/>
  <c r="E16" i="17"/>
  <c r="E16" i="19" s="1"/>
  <c r="D16" i="19" s="1"/>
  <c r="I24" i="14" s="1"/>
  <c r="D16" i="17"/>
  <c r="C16" i="19" s="1"/>
  <c r="B16" i="19" s="1"/>
  <c r="W15" i="17"/>
  <c r="AO15" i="19" s="1"/>
  <c r="AN15" i="19" s="1"/>
  <c r="V15" i="17"/>
  <c r="AM15" i="19" s="1"/>
  <c r="AL15" i="19" s="1"/>
  <c r="U15" i="17"/>
  <c r="AK15" i="19" s="1"/>
  <c r="AJ15" i="19" s="1"/>
  <c r="AG7" i="14" s="1"/>
  <c r="AD7" i="14" s="1"/>
  <c r="T15" i="17"/>
  <c r="AI15" i="19" s="1"/>
  <c r="AH15" i="19" s="1"/>
  <c r="S15" i="17"/>
  <c r="AG15" i="19" s="1"/>
  <c r="AF15" i="19" s="1"/>
  <c r="R15" i="17"/>
  <c r="AE15" i="19" s="1"/>
  <c r="AD15" i="19" s="1"/>
  <c r="Q15" i="17"/>
  <c r="AC15" i="19" s="1"/>
  <c r="P15" i="17"/>
  <c r="AA15" i="19" s="1"/>
  <c r="Z15" i="19" s="1"/>
  <c r="O15" i="17"/>
  <c r="Y15" i="19" s="1"/>
  <c r="X15" i="19" s="1"/>
  <c r="N15" i="17"/>
  <c r="W15" i="19" s="1"/>
  <c r="V15" i="19" s="1"/>
  <c r="M15" i="17"/>
  <c r="U15" i="19" s="1"/>
  <c r="T15" i="19" s="1"/>
  <c r="L15" i="17"/>
  <c r="K15" i="17"/>
  <c r="Q15" i="19" s="1"/>
  <c r="P15" i="19" s="1"/>
  <c r="J15" i="17"/>
  <c r="O15" i="19" s="1"/>
  <c r="N15" i="19" s="1"/>
  <c r="I15" i="17"/>
  <c r="M15" i="19" s="1"/>
  <c r="L15" i="19" s="1"/>
  <c r="H15" i="17"/>
  <c r="K15" i="19" s="1"/>
  <c r="J15" i="19" s="1"/>
  <c r="G15" i="17"/>
  <c r="I15" i="19" s="1"/>
  <c r="H15" i="19" s="1"/>
  <c r="F15" i="17"/>
  <c r="G15" i="19" s="1"/>
  <c r="F15" i="19" s="1"/>
  <c r="E15" i="17"/>
  <c r="E15" i="19" s="1"/>
  <c r="D15" i="19" s="1"/>
  <c r="D15" i="17"/>
  <c r="C15" i="19" s="1"/>
  <c r="B15" i="19" s="1"/>
  <c r="W14" i="17"/>
  <c r="AO14" i="19" s="1"/>
  <c r="AN14" i="19" s="1"/>
  <c r="V14" i="17"/>
  <c r="AM14" i="19" s="1"/>
  <c r="AL14" i="19" s="1"/>
  <c r="U14" i="17"/>
  <c r="AK14" i="19" s="1"/>
  <c r="AJ14" i="19" s="1"/>
  <c r="T14" i="17"/>
  <c r="AI14" i="19" s="1"/>
  <c r="AH14" i="19" s="1"/>
  <c r="S14" i="17"/>
  <c r="AG14" i="19" s="1"/>
  <c r="AF14" i="19" s="1"/>
  <c r="R14" i="17"/>
  <c r="AE14" i="19" s="1"/>
  <c r="AD14" i="19" s="1"/>
  <c r="Q14" i="17"/>
  <c r="AC14" i="19" s="1"/>
  <c r="AB14" i="19" s="1"/>
  <c r="P14" i="17"/>
  <c r="AA14" i="19" s="1"/>
  <c r="Z14" i="19" s="1"/>
  <c r="O14" i="17"/>
  <c r="Y14" i="19" s="1"/>
  <c r="X14" i="19" s="1"/>
  <c r="N14" i="17"/>
  <c r="W14" i="19" s="1"/>
  <c r="V14" i="19" s="1"/>
  <c r="V8" i="14" s="1"/>
  <c r="M14" i="17"/>
  <c r="U14" i="19" s="1"/>
  <c r="T14" i="19" s="1"/>
  <c r="L14" i="17"/>
  <c r="S14" i="19" s="1"/>
  <c r="R14" i="19" s="1"/>
  <c r="K14" i="17"/>
  <c r="Q14" i="19" s="1"/>
  <c r="P14" i="19" s="1"/>
  <c r="J14" i="17"/>
  <c r="O14" i="19" s="1"/>
  <c r="N14" i="19" s="1"/>
  <c r="I14" i="17"/>
  <c r="M14" i="19" s="1"/>
  <c r="L14" i="19" s="1"/>
  <c r="H14" i="17"/>
  <c r="K14" i="19" s="1"/>
  <c r="J14" i="19" s="1"/>
  <c r="G14" i="17"/>
  <c r="I14" i="19" s="1"/>
  <c r="H14" i="19" s="1"/>
  <c r="F14" i="17"/>
  <c r="G14" i="19" s="1"/>
  <c r="F14" i="19" s="1"/>
  <c r="E14" i="17"/>
  <c r="E14" i="19" s="1"/>
  <c r="D14" i="19" s="1"/>
  <c r="D14" i="17"/>
  <c r="C14" i="19" s="1"/>
  <c r="B14" i="19" s="1"/>
  <c r="W13" i="17"/>
  <c r="AO13" i="19" s="1"/>
  <c r="AN13" i="19" s="1"/>
  <c r="V13" i="17"/>
  <c r="AM13" i="19" s="1"/>
  <c r="AL13" i="19" s="1"/>
  <c r="U13" i="17"/>
  <c r="AK13" i="19" s="1"/>
  <c r="AJ13" i="19" s="1"/>
  <c r="T13" i="17"/>
  <c r="AI13" i="19" s="1"/>
  <c r="AH13" i="19" s="1"/>
  <c r="AF19" i="14" s="1"/>
  <c r="S13" i="17"/>
  <c r="AG13" i="19" s="1"/>
  <c r="AF13" i="19" s="1"/>
  <c r="R13" i="17"/>
  <c r="AE13" i="19" s="1"/>
  <c r="AD13" i="19" s="1"/>
  <c r="AB19" i="14" s="1"/>
  <c r="Y19" i="14" s="1"/>
  <c r="Q13" i="17"/>
  <c r="AC13" i="19" s="1"/>
  <c r="AB13" i="19" s="1"/>
  <c r="P13" i="17"/>
  <c r="AA13" i="19" s="1"/>
  <c r="O13" i="17"/>
  <c r="Y13" i="19" s="1"/>
  <c r="X13" i="19" s="1"/>
  <c r="N13" i="17"/>
  <c r="W13" i="19" s="1"/>
  <c r="V13" i="19" s="1"/>
  <c r="M13" i="17"/>
  <c r="U13" i="19" s="1"/>
  <c r="T13" i="19" s="1"/>
  <c r="L13" i="17"/>
  <c r="S13" i="19" s="1"/>
  <c r="R13" i="19" s="1"/>
  <c r="K13" i="17"/>
  <c r="Q13" i="19" s="1"/>
  <c r="P13" i="19" s="1"/>
  <c r="J13" i="17"/>
  <c r="O13" i="19" s="1"/>
  <c r="N13" i="19" s="1"/>
  <c r="P19" i="14" s="1"/>
  <c r="I13" i="17"/>
  <c r="M13" i="19" s="1"/>
  <c r="L13" i="19" s="1"/>
  <c r="H13" i="17"/>
  <c r="K13" i="19" s="1"/>
  <c r="J13" i="19" s="1"/>
  <c r="G13" i="17"/>
  <c r="I13" i="19" s="1"/>
  <c r="H13" i="19" s="1"/>
  <c r="K19" i="14" s="1"/>
  <c r="F13" i="17"/>
  <c r="G13" i="19" s="1"/>
  <c r="F13" i="19" s="1"/>
  <c r="E13" i="17"/>
  <c r="E13" i="19" s="1"/>
  <c r="D13" i="19" s="1"/>
  <c r="I19" i="14" s="1"/>
  <c r="G19" i="14" s="1"/>
  <c r="D13" i="17"/>
  <c r="C13" i="19" s="1"/>
  <c r="B13" i="19" s="1"/>
  <c r="H19" i="14" s="1"/>
  <c r="W12" i="17"/>
  <c r="AO12" i="19" s="1"/>
  <c r="AN12" i="19" s="1"/>
  <c r="V12" i="17"/>
  <c r="AM12" i="19" s="1"/>
  <c r="AL12" i="19" s="1"/>
  <c r="U12" i="17"/>
  <c r="AK12" i="19" s="1"/>
  <c r="AJ12" i="19" s="1"/>
  <c r="AG20" i="14" s="1"/>
  <c r="T12" i="17"/>
  <c r="AI12" i="19" s="1"/>
  <c r="AH12" i="19" s="1"/>
  <c r="S12" i="17"/>
  <c r="AG12" i="19" s="1"/>
  <c r="AF12" i="19" s="1"/>
  <c r="R12" i="17"/>
  <c r="AE12" i="19" s="1"/>
  <c r="AD12" i="19" s="1"/>
  <c r="Q12" i="17"/>
  <c r="P12" i="17"/>
  <c r="AA12" i="19" s="1"/>
  <c r="Z12" i="19" s="1"/>
  <c r="O12" i="17"/>
  <c r="Y12" i="19" s="1"/>
  <c r="X12" i="19" s="1"/>
  <c r="N12" i="17"/>
  <c r="W12" i="19" s="1"/>
  <c r="V12" i="19" s="1"/>
  <c r="V20" i="14" s="1"/>
  <c r="M12" i="17"/>
  <c r="U12" i="19" s="1"/>
  <c r="T12" i="19" s="1"/>
  <c r="L12" i="17"/>
  <c r="S12" i="19" s="1"/>
  <c r="R12" i="19" s="1"/>
  <c r="T20" i="14" s="1"/>
  <c r="K12" i="17"/>
  <c r="Q12" i="19" s="1"/>
  <c r="P12" i="19" s="1"/>
  <c r="J12" i="17"/>
  <c r="O12" i="19" s="1"/>
  <c r="N12" i="19" s="1"/>
  <c r="I12" i="17"/>
  <c r="M12" i="19" s="1"/>
  <c r="L12" i="19" s="1"/>
  <c r="H12" i="17"/>
  <c r="K12" i="19" s="1"/>
  <c r="J12" i="19" s="1"/>
  <c r="N20" i="14" s="1"/>
  <c r="G12" i="17"/>
  <c r="I12" i="19" s="1"/>
  <c r="H12" i="19" s="1"/>
  <c r="F12" i="17"/>
  <c r="G12" i="19" s="1"/>
  <c r="F12" i="19" s="1"/>
  <c r="J20" i="14" s="1"/>
  <c r="E12" i="17"/>
  <c r="E12" i="19" s="1"/>
  <c r="D12" i="19" s="1"/>
  <c r="D12" i="17"/>
  <c r="C12" i="19" s="1"/>
  <c r="B12" i="19" s="1"/>
  <c r="W11" i="17"/>
  <c r="AO11" i="19" s="1"/>
  <c r="AN11" i="19" s="1"/>
  <c r="V11" i="17"/>
  <c r="AM11" i="19" s="1"/>
  <c r="AL11" i="19" s="1"/>
  <c r="U11" i="17"/>
  <c r="AK11" i="19" s="1"/>
  <c r="AJ11" i="19" s="1"/>
  <c r="T11" i="17"/>
  <c r="AI11" i="19" s="1"/>
  <c r="AH11" i="19" s="1"/>
  <c r="S11" i="17"/>
  <c r="R11" i="17"/>
  <c r="AE11" i="19" s="1"/>
  <c r="AD11" i="19" s="1"/>
  <c r="Q11" i="17"/>
  <c r="AC11" i="19" s="1"/>
  <c r="AB11" i="19" s="1"/>
  <c r="P11" i="17"/>
  <c r="AA11" i="19" s="1"/>
  <c r="Z11" i="19" s="1"/>
  <c r="O11" i="17"/>
  <c r="Y11" i="19" s="1"/>
  <c r="X11" i="19" s="1"/>
  <c r="N11" i="17"/>
  <c r="W11" i="19" s="1"/>
  <c r="V11" i="19" s="1"/>
  <c r="M11" i="17"/>
  <c r="U11" i="19" s="1"/>
  <c r="T11" i="19" s="1"/>
  <c r="L11" i="17"/>
  <c r="S11" i="19" s="1"/>
  <c r="R11" i="19" s="1"/>
  <c r="K11" i="17"/>
  <c r="Q11" i="19" s="1"/>
  <c r="P11" i="19" s="1"/>
  <c r="J11" i="17"/>
  <c r="O11" i="19" s="1"/>
  <c r="N11" i="19" s="1"/>
  <c r="I11" i="17"/>
  <c r="M11" i="19" s="1"/>
  <c r="L11" i="19" s="1"/>
  <c r="H11" i="17"/>
  <c r="K11" i="19" s="1"/>
  <c r="J11" i="19" s="1"/>
  <c r="G11" i="17"/>
  <c r="I11" i="19" s="1"/>
  <c r="H11" i="19" s="1"/>
  <c r="F11" i="17"/>
  <c r="G11" i="19" s="1"/>
  <c r="F11" i="19" s="1"/>
  <c r="E11" i="17"/>
  <c r="E11" i="19" s="1"/>
  <c r="D11" i="19" s="1"/>
  <c r="I3" i="14" s="1"/>
  <c r="D11" i="17"/>
  <c r="C11" i="19" s="1"/>
  <c r="B11" i="19" s="1"/>
  <c r="H3" i="14" s="1"/>
  <c r="W10" i="17"/>
  <c r="AO10" i="19" s="1"/>
  <c r="AN10" i="19" s="1"/>
  <c r="V10" i="17"/>
  <c r="AM10" i="19" s="1"/>
  <c r="AL10" i="19" s="1"/>
  <c r="U10" i="17"/>
  <c r="AK10" i="19" s="1"/>
  <c r="AJ10" i="19" s="1"/>
  <c r="T10" i="17"/>
  <c r="AI10" i="19" s="1"/>
  <c r="AH10" i="19" s="1"/>
  <c r="S10" i="17"/>
  <c r="AG10" i="19" s="1"/>
  <c r="AF10" i="19" s="1"/>
  <c r="R10" i="17"/>
  <c r="AE10" i="19" s="1"/>
  <c r="AD10" i="19" s="1"/>
  <c r="Q10" i="17"/>
  <c r="P10" i="17"/>
  <c r="AA10" i="19" s="1"/>
  <c r="Z10" i="19" s="1"/>
  <c r="O10" i="17"/>
  <c r="Y10" i="19" s="1"/>
  <c r="X10" i="19" s="1"/>
  <c r="N10" i="17"/>
  <c r="W10" i="19" s="1"/>
  <c r="V10" i="19" s="1"/>
  <c r="M10" i="17"/>
  <c r="U10" i="19" s="1"/>
  <c r="T10" i="19" s="1"/>
  <c r="L10" i="17"/>
  <c r="S10" i="19" s="1"/>
  <c r="R10" i="19" s="1"/>
  <c r="T5" i="14" s="1"/>
  <c r="S5" i="14" s="1"/>
  <c r="K10" i="17"/>
  <c r="Q10" i="19" s="1"/>
  <c r="P10" i="19" s="1"/>
  <c r="J10" i="17"/>
  <c r="O10" i="19" s="1"/>
  <c r="N10" i="19" s="1"/>
  <c r="I10" i="17"/>
  <c r="M10" i="19" s="1"/>
  <c r="L10" i="19" s="1"/>
  <c r="H10" i="17"/>
  <c r="K10" i="19" s="1"/>
  <c r="J10" i="19" s="1"/>
  <c r="G10" i="17"/>
  <c r="I10" i="19" s="1"/>
  <c r="H10" i="19" s="1"/>
  <c r="K5" i="14" s="1"/>
  <c r="F10" i="17"/>
  <c r="G10" i="19" s="1"/>
  <c r="F10" i="19" s="1"/>
  <c r="E10" i="17"/>
  <c r="E10" i="19" s="1"/>
  <c r="D10" i="19" s="1"/>
  <c r="D10" i="17"/>
  <c r="C10" i="19" s="1"/>
  <c r="B10" i="19" s="1"/>
  <c r="W9" i="17"/>
  <c r="AO9" i="19" s="1"/>
  <c r="AN9" i="19" s="1"/>
  <c r="V9" i="17"/>
  <c r="AM9" i="19" s="1"/>
  <c r="AL9" i="19" s="1"/>
  <c r="U9" i="17"/>
  <c r="T9" i="17"/>
  <c r="AI9" i="19" s="1"/>
  <c r="AH9" i="19" s="1"/>
  <c r="S9" i="17"/>
  <c r="AG9" i="19" s="1"/>
  <c r="AF9" i="19" s="1"/>
  <c r="R9" i="17"/>
  <c r="AE9" i="19" s="1"/>
  <c r="AD9" i="19" s="1"/>
  <c r="Q9" i="17"/>
  <c r="AC9" i="19" s="1"/>
  <c r="AB9" i="19" s="1"/>
  <c r="P9" i="17"/>
  <c r="AA9" i="19" s="1"/>
  <c r="Z9" i="19" s="1"/>
  <c r="Z10" i="14" s="1"/>
  <c r="Y10" i="14" s="1"/>
  <c r="O9" i="17"/>
  <c r="Y9" i="19" s="1"/>
  <c r="X9" i="19" s="1"/>
  <c r="N9" i="17"/>
  <c r="W9" i="19" s="1"/>
  <c r="V9" i="19" s="1"/>
  <c r="M9" i="17"/>
  <c r="U9" i="19" s="1"/>
  <c r="T9" i="19" s="1"/>
  <c r="U10" i="14" s="1"/>
  <c r="L9" i="17"/>
  <c r="S9" i="19" s="1"/>
  <c r="R9" i="19" s="1"/>
  <c r="K9" i="17"/>
  <c r="Q9" i="19" s="1"/>
  <c r="J9" i="17"/>
  <c r="O9" i="19" s="1"/>
  <c r="N9" i="19" s="1"/>
  <c r="P10" i="14" s="1"/>
  <c r="I9" i="17"/>
  <c r="M9" i="19" s="1"/>
  <c r="L9" i="19" s="1"/>
  <c r="H9" i="17"/>
  <c r="K9" i="19" s="1"/>
  <c r="J9" i="19" s="1"/>
  <c r="G9" i="17"/>
  <c r="I9" i="19" s="1"/>
  <c r="H9" i="19" s="1"/>
  <c r="F9" i="17"/>
  <c r="G9" i="19" s="1"/>
  <c r="F9" i="19" s="1"/>
  <c r="E9" i="17"/>
  <c r="D9" i="17"/>
  <c r="C9" i="19" s="1"/>
  <c r="B9" i="19" s="1"/>
  <c r="W8" i="17"/>
  <c r="AO8" i="19" s="1"/>
  <c r="AN8" i="19" s="1"/>
  <c r="V8" i="17"/>
  <c r="AM8" i="19" s="1"/>
  <c r="AL8" i="19" s="1"/>
  <c r="U8" i="17"/>
  <c r="AK8" i="19" s="1"/>
  <c r="AJ8" i="19" s="1"/>
  <c r="T8" i="17"/>
  <c r="S8" i="17"/>
  <c r="AG8" i="19" s="1"/>
  <c r="AF8" i="19" s="1"/>
  <c r="R8" i="17"/>
  <c r="AE8" i="19" s="1"/>
  <c r="AD8" i="19" s="1"/>
  <c r="Q8" i="17"/>
  <c r="AC8" i="19" s="1"/>
  <c r="AB8" i="19" s="1"/>
  <c r="P8" i="17"/>
  <c r="AA8" i="19" s="1"/>
  <c r="Z8" i="19" s="1"/>
  <c r="Z4" i="14" s="1"/>
  <c r="Y4" i="14" s="1"/>
  <c r="O8" i="17"/>
  <c r="Y8" i="19" s="1"/>
  <c r="X8" i="19" s="1"/>
  <c r="N8" i="17"/>
  <c r="W8" i="19" s="1"/>
  <c r="V8" i="19" s="1"/>
  <c r="M8" i="17"/>
  <c r="U8" i="19" s="1"/>
  <c r="T8" i="19" s="1"/>
  <c r="L8" i="17"/>
  <c r="S8" i="19" s="1"/>
  <c r="R8" i="19" s="1"/>
  <c r="K8" i="17"/>
  <c r="J8" i="17"/>
  <c r="O8" i="19" s="1"/>
  <c r="N8" i="19" s="1"/>
  <c r="I8" i="17"/>
  <c r="M8" i="19" s="1"/>
  <c r="L8" i="19" s="1"/>
  <c r="H8" i="17"/>
  <c r="K8" i="19" s="1"/>
  <c r="J8" i="19" s="1"/>
  <c r="G8" i="17"/>
  <c r="I8" i="19" s="1"/>
  <c r="H8" i="19" s="1"/>
  <c r="K4" i="14" s="1"/>
  <c r="G4" i="14" s="1"/>
  <c r="F8" i="17"/>
  <c r="G8" i="19" s="1"/>
  <c r="F8" i="19" s="1"/>
  <c r="E8" i="17"/>
  <c r="E8" i="19" s="1"/>
  <c r="D8" i="19" s="1"/>
  <c r="D8" i="17"/>
  <c r="C8" i="19" s="1"/>
  <c r="B8" i="19" s="1"/>
  <c r="W7" i="17"/>
  <c r="AO7" i="19" s="1"/>
  <c r="AN7" i="19" s="1"/>
  <c r="V7" i="17"/>
  <c r="U7" i="17"/>
  <c r="AK7" i="19" s="1"/>
  <c r="AJ7" i="19" s="1"/>
  <c r="AG17" i="14" s="1"/>
  <c r="AD17" i="14" s="1"/>
  <c r="T7" i="17"/>
  <c r="AI7" i="19" s="1"/>
  <c r="AH7" i="19" s="1"/>
  <c r="AF17" i="14" s="1"/>
  <c r="S7" i="17"/>
  <c r="AG7" i="19" s="1"/>
  <c r="AF7" i="19" s="1"/>
  <c r="R7" i="17"/>
  <c r="AE7" i="19" s="1"/>
  <c r="AD7" i="19" s="1"/>
  <c r="AB17" i="14" s="1"/>
  <c r="Q7" i="17"/>
  <c r="P7" i="17"/>
  <c r="AA7" i="19" s="1"/>
  <c r="Z7" i="19" s="1"/>
  <c r="O7" i="17"/>
  <c r="Y7" i="19" s="1"/>
  <c r="X7" i="19" s="1"/>
  <c r="N7" i="17"/>
  <c r="W7" i="19" s="1"/>
  <c r="V7" i="19" s="1"/>
  <c r="M7" i="17"/>
  <c r="U7" i="19" s="1"/>
  <c r="T7" i="19" s="1"/>
  <c r="U17" i="14" s="1"/>
  <c r="S17" i="14" s="1"/>
  <c r="L7" i="17"/>
  <c r="S7" i="19" s="1"/>
  <c r="R7" i="19" s="1"/>
  <c r="K7" i="17"/>
  <c r="Q7" i="19" s="1"/>
  <c r="P7" i="19" s="1"/>
  <c r="J7" i="17"/>
  <c r="O7" i="19" s="1"/>
  <c r="N7" i="19" s="1"/>
  <c r="P17" i="14" s="1"/>
  <c r="I7" i="17"/>
  <c r="H7" i="17"/>
  <c r="G7" i="17"/>
  <c r="I7" i="19" s="1"/>
  <c r="H7" i="19" s="1"/>
  <c r="F7" i="17"/>
  <c r="G7" i="19" s="1"/>
  <c r="F7" i="19" s="1"/>
  <c r="E7" i="17"/>
  <c r="E7" i="19" s="1"/>
  <c r="D7" i="19" s="1"/>
  <c r="I17" i="14" s="1"/>
  <c r="D7" i="17"/>
  <c r="C7" i="19" s="1"/>
  <c r="B7" i="19" s="1"/>
  <c r="H17" i="14" s="1"/>
  <c r="W6" i="17"/>
  <c r="AO6" i="19" s="1"/>
  <c r="AN6" i="19" s="1"/>
  <c r="V6" i="17"/>
  <c r="AM6" i="19" s="1"/>
  <c r="AL6" i="19" s="1"/>
  <c r="U6" i="17"/>
  <c r="AK6" i="19" s="1"/>
  <c r="AJ6" i="19" s="1"/>
  <c r="T6" i="17"/>
  <c r="AI6" i="19" s="1"/>
  <c r="AH6" i="19" s="1"/>
  <c r="S6" i="17"/>
  <c r="R6" i="17"/>
  <c r="AE6" i="19" s="1"/>
  <c r="AD6" i="19" s="1"/>
  <c r="Q6" i="17"/>
  <c r="AC6" i="19" s="1"/>
  <c r="AB6" i="19" s="1"/>
  <c r="P6" i="17"/>
  <c r="AA6" i="19" s="1"/>
  <c r="Z6" i="19" s="1"/>
  <c r="O6" i="17"/>
  <c r="Y6" i="19" s="1"/>
  <c r="X6" i="19" s="1"/>
  <c r="W11" i="14" s="1"/>
  <c r="N6" i="17"/>
  <c r="W6" i="19" s="1"/>
  <c r="V6" i="19" s="1"/>
  <c r="V11" i="14" s="1"/>
  <c r="S11" i="14" s="1"/>
  <c r="M6" i="17"/>
  <c r="U6" i="19" s="1"/>
  <c r="T6" i="19" s="1"/>
  <c r="L6" i="17"/>
  <c r="S6" i="19" s="1"/>
  <c r="R6" i="19" s="1"/>
  <c r="K6" i="17"/>
  <c r="Q6" i="19" s="1"/>
  <c r="P6" i="19" s="1"/>
  <c r="J6" i="17"/>
  <c r="I6" i="17"/>
  <c r="M6" i="19" s="1"/>
  <c r="L6" i="19" s="1"/>
  <c r="O11" i="14" s="1"/>
  <c r="M11" i="14" s="1"/>
  <c r="H6" i="17"/>
  <c r="K6" i="19" s="1"/>
  <c r="J6" i="19" s="1"/>
  <c r="G6" i="17"/>
  <c r="I6" i="19" s="1"/>
  <c r="H6" i="19" s="1"/>
  <c r="F6" i="17"/>
  <c r="G6" i="19" s="1"/>
  <c r="F6" i="19" s="1"/>
  <c r="E6" i="17"/>
  <c r="D6" i="17"/>
  <c r="C6" i="19" s="1"/>
  <c r="B6" i="19" s="1"/>
  <c r="W5" i="17"/>
  <c r="AO5" i="19" s="1"/>
  <c r="AN5" i="19" s="1"/>
  <c r="V5" i="17"/>
  <c r="U5" i="17"/>
  <c r="AK5" i="19" s="1"/>
  <c r="AJ5" i="19" s="1"/>
  <c r="AG14" i="14" s="1"/>
  <c r="AD14" i="14" s="1"/>
  <c r="T5" i="17"/>
  <c r="AI5" i="19" s="1"/>
  <c r="AH5" i="19" s="1"/>
  <c r="S5" i="17"/>
  <c r="AG5" i="19" s="1"/>
  <c r="AF5" i="19" s="1"/>
  <c r="R5" i="17"/>
  <c r="AE5" i="19" s="1"/>
  <c r="AD5" i="19" s="1"/>
  <c r="AB14" i="14" s="1"/>
  <c r="Q5" i="17"/>
  <c r="P5" i="17"/>
  <c r="O5" i="17"/>
  <c r="Y5" i="19" s="1"/>
  <c r="X5" i="19" s="1"/>
  <c r="N5" i="17"/>
  <c r="W5" i="19" s="1"/>
  <c r="V5" i="19" s="1"/>
  <c r="M5" i="17"/>
  <c r="U5" i="19" s="1"/>
  <c r="T5" i="19" s="1"/>
  <c r="U14" i="14" s="1"/>
  <c r="L5" i="17"/>
  <c r="S5" i="19" s="1"/>
  <c r="R5" i="19" s="1"/>
  <c r="T14" i="14" s="1"/>
  <c r="S14" i="14" s="1"/>
  <c r="K5" i="17"/>
  <c r="Q5" i="19" s="1"/>
  <c r="P5" i="19" s="1"/>
  <c r="J5" i="17"/>
  <c r="O5" i="19" s="1"/>
  <c r="N5" i="19" s="1"/>
  <c r="P14" i="14" s="1"/>
  <c r="I5" i="17"/>
  <c r="M5" i="19" s="1"/>
  <c r="L5" i="19" s="1"/>
  <c r="H5" i="17"/>
  <c r="K5" i="19" s="1"/>
  <c r="J5" i="19" s="1"/>
  <c r="N14" i="14" s="1"/>
  <c r="M14" i="14" s="1"/>
  <c r="G5" i="17"/>
  <c r="I5" i="19" s="1"/>
  <c r="H5" i="19" s="1"/>
  <c r="F5" i="17"/>
  <c r="G5" i="19" s="1"/>
  <c r="F5" i="19" s="1"/>
  <c r="E5" i="17"/>
  <c r="E5" i="19" s="1"/>
  <c r="D5" i="19" s="1"/>
  <c r="D5" i="17"/>
  <c r="C5" i="19" s="1"/>
  <c r="B5" i="19" s="1"/>
  <c r="H14" i="14" s="1"/>
  <c r="G14" i="14" s="1"/>
  <c r="W4" i="17"/>
  <c r="AO4" i="19" s="1"/>
  <c r="AN4" i="19" s="1"/>
  <c r="V4" i="17"/>
  <c r="AM4" i="19" s="1"/>
  <c r="AL4" i="19" s="1"/>
  <c r="U4" i="17"/>
  <c r="AK4" i="19" s="1"/>
  <c r="AJ4" i="19" s="1"/>
  <c r="T4" i="17"/>
  <c r="AI4" i="19" s="1"/>
  <c r="AH4" i="19" s="1"/>
  <c r="AF6" i="14" s="1"/>
  <c r="S4" i="17"/>
  <c r="AG4" i="19" s="1"/>
  <c r="AF4" i="19" s="1"/>
  <c r="R4" i="17"/>
  <c r="AE4" i="19" s="1"/>
  <c r="AD4" i="19" s="1"/>
  <c r="Q4" i="17"/>
  <c r="AC4" i="19" s="1"/>
  <c r="AB4" i="19" s="1"/>
  <c r="AA6" i="14" s="1"/>
  <c r="P4" i="17"/>
  <c r="AA4" i="19" s="1"/>
  <c r="O4" i="17"/>
  <c r="Y4" i="19" s="1"/>
  <c r="X4" i="19" s="1"/>
  <c r="N4" i="17"/>
  <c r="W4" i="19" s="1"/>
  <c r="V4" i="19" s="1"/>
  <c r="M4" i="17"/>
  <c r="U4" i="19" s="1"/>
  <c r="T4" i="19" s="1"/>
  <c r="L4" i="17"/>
  <c r="S4" i="19" s="1"/>
  <c r="R4" i="19" s="1"/>
  <c r="T6" i="14" s="1"/>
  <c r="S6" i="14" s="1"/>
  <c r="K4" i="17"/>
  <c r="Q4" i="19" s="1"/>
  <c r="P4" i="19" s="1"/>
  <c r="J4" i="17"/>
  <c r="O4" i="19" s="1"/>
  <c r="N4" i="19" s="1"/>
  <c r="I4" i="17"/>
  <c r="M4" i="19" s="1"/>
  <c r="L4" i="19" s="1"/>
  <c r="H4" i="17"/>
  <c r="K4" i="19" s="1"/>
  <c r="J4" i="19" s="1"/>
  <c r="N6" i="14" s="1"/>
  <c r="M6" i="14" s="1"/>
  <c r="G4" i="17"/>
  <c r="I4" i="19" s="1"/>
  <c r="H4" i="19" s="1"/>
  <c r="F4" i="17"/>
  <c r="G4" i="19" s="1"/>
  <c r="F4" i="19" s="1"/>
  <c r="E4" i="17"/>
  <c r="E4" i="19" s="1"/>
  <c r="D4" i="19" s="1"/>
  <c r="D4" i="17"/>
  <c r="C4" i="19" s="1"/>
  <c r="B4" i="19" s="1"/>
  <c r="H6" i="14" s="1"/>
  <c r="G6" i="14" s="1"/>
  <c r="AS26" i="14"/>
  <c r="AQ26" i="14"/>
  <c r="AO26" i="14"/>
  <c r="AM26" i="14"/>
  <c r="AI26" i="14"/>
  <c r="AH26" i="14"/>
  <c r="AG26" i="14"/>
  <c r="AF26" i="14"/>
  <c r="AE26" i="14"/>
  <c r="AB26" i="14"/>
  <c r="AA26" i="14"/>
  <c r="Z26" i="14"/>
  <c r="Y26" i="14" s="1"/>
  <c r="W26" i="14"/>
  <c r="V26" i="14"/>
  <c r="U26" i="14"/>
  <c r="T26" i="14"/>
  <c r="S26" i="14"/>
  <c r="Q26" i="14"/>
  <c r="P26" i="14"/>
  <c r="O26" i="14"/>
  <c r="K26" i="14"/>
  <c r="J26" i="14"/>
  <c r="I26" i="14"/>
  <c r="H26" i="14"/>
  <c r="G26" i="14" s="1"/>
  <c r="AS25" i="14"/>
  <c r="AQ25" i="14"/>
  <c r="AO25" i="14"/>
  <c r="AM25" i="14"/>
  <c r="AI25" i="14"/>
  <c r="AH25" i="14"/>
  <c r="AG25" i="14"/>
  <c r="AF25" i="14"/>
  <c r="AE25" i="14"/>
  <c r="AD25" i="14"/>
  <c r="AB25" i="14"/>
  <c r="Z25" i="14"/>
  <c r="W25" i="14"/>
  <c r="V25" i="14"/>
  <c r="U25" i="14"/>
  <c r="T25" i="14"/>
  <c r="Q25" i="14"/>
  <c r="P25" i="14"/>
  <c r="O25" i="14"/>
  <c r="N25" i="14"/>
  <c r="M25" i="14" s="1"/>
  <c r="K25" i="14"/>
  <c r="J25" i="14"/>
  <c r="I25" i="14"/>
  <c r="H25" i="14"/>
  <c r="G25" i="14"/>
  <c r="AS24" i="14"/>
  <c r="AQ24" i="14"/>
  <c r="AO24" i="14"/>
  <c r="AM24" i="14"/>
  <c r="AI24" i="14"/>
  <c r="AG24" i="14"/>
  <c r="AF24" i="14"/>
  <c r="AB24" i="14"/>
  <c r="AA24" i="14"/>
  <c r="Z24" i="14"/>
  <c r="Y24" i="14" s="1"/>
  <c r="W24" i="14"/>
  <c r="U24" i="14"/>
  <c r="T24" i="14"/>
  <c r="S24" i="14"/>
  <c r="P24" i="14"/>
  <c r="K24" i="14"/>
  <c r="H24" i="14"/>
  <c r="AS23" i="14"/>
  <c r="AQ23" i="14"/>
  <c r="AO23" i="14"/>
  <c r="AM23" i="14"/>
  <c r="AH23" i="14"/>
  <c r="AG23" i="14"/>
  <c r="AE23" i="14"/>
  <c r="AD23" i="14" s="1"/>
  <c r="AB23" i="14"/>
  <c r="Z23" i="14"/>
  <c r="W23" i="14"/>
  <c r="V23" i="14"/>
  <c r="T23" i="14"/>
  <c r="Q23" i="14"/>
  <c r="O23" i="14"/>
  <c r="N23" i="14"/>
  <c r="K23" i="14"/>
  <c r="J23" i="14"/>
  <c r="I23" i="14"/>
  <c r="G23" i="14"/>
  <c r="AS22" i="14"/>
  <c r="AQ22" i="14"/>
  <c r="AO22" i="14"/>
  <c r="AM22" i="14"/>
  <c r="AI22" i="14"/>
  <c r="AH22" i="14"/>
  <c r="AG22" i="14"/>
  <c r="AF22" i="14"/>
  <c r="AE22" i="14"/>
  <c r="AA22" i="14"/>
  <c r="Z22" i="14"/>
  <c r="Y22" i="14" s="1"/>
  <c r="W22" i="14"/>
  <c r="U22" i="14"/>
  <c r="T22" i="14"/>
  <c r="S22" i="14"/>
  <c r="Q22" i="14"/>
  <c r="P22" i="14"/>
  <c r="K22" i="14"/>
  <c r="J22" i="14"/>
  <c r="I22" i="14"/>
  <c r="H22" i="14"/>
  <c r="AS21" i="14"/>
  <c r="AQ21" i="14"/>
  <c r="AO21" i="14"/>
  <c r="AM21" i="14"/>
  <c r="AI21" i="14"/>
  <c r="AH21" i="14"/>
  <c r="AG21" i="14"/>
  <c r="AF21" i="14"/>
  <c r="AE21" i="14"/>
  <c r="AD21" i="14" s="1"/>
  <c r="AB21" i="14"/>
  <c r="Y21" i="14" s="1"/>
  <c r="AA21" i="14"/>
  <c r="Z21" i="14"/>
  <c r="W21" i="14"/>
  <c r="V21" i="14"/>
  <c r="U21" i="14"/>
  <c r="T21" i="14"/>
  <c r="S21" i="14" s="1"/>
  <c r="Q21" i="14"/>
  <c r="O21" i="14"/>
  <c r="N21" i="14"/>
  <c r="M21" i="14" s="1"/>
  <c r="K21" i="14"/>
  <c r="I21" i="14"/>
  <c r="H21" i="14"/>
  <c r="G21" i="14"/>
  <c r="AS20" i="14"/>
  <c r="AQ20" i="14"/>
  <c r="AO20" i="14"/>
  <c r="AM20" i="14"/>
  <c r="AI20" i="14"/>
  <c r="AH20" i="14"/>
  <c r="AF20" i="14"/>
  <c r="AE20" i="14"/>
  <c r="AB20" i="14"/>
  <c r="AA20" i="14"/>
  <c r="Z20" i="14"/>
  <c r="W20" i="14"/>
  <c r="U20" i="14"/>
  <c r="S20" i="14" s="1"/>
  <c r="Q20" i="14"/>
  <c r="P20" i="14"/>
  <c r="M20" i="14" s="1"/>
  <c r="O20" i="14"/>
  <c r="K20" i="14"/>
  <c r="I20" i="14"/>
  <c r="H20" i="14"/>
  <c r="AS19" i="14"/>
  <c r="AQ19" i="14"/>
  <c r="AO19" i="14"/>
  <c r="AM19" i="14"/>
  <c r="AI19" i="14"/>
  <c r="AH19" i="14"/>
  <c r="AG19" i="14"/>
  <c r="AE19" i="14"/>
  <c r="AD19" i="14" s="1"/>
  <c r="AA19" i="14"/>
  <c r="W19" i="14"/>
  <c r="V19" i="14"/>
  <c r="U19" i="14"/>
  <c r="T19" i="14"/>
  <c r="Q19" i="14"/>
  <c r="O19" i="14"/>
  <c r="N19" i="14"/>
  <c r="J19" i="14"/>
  <c r="AS18" i="14"/>
  <c r="AQ18" i="14"/>
  <c r="AO18" i="14"/>
  <c r="AM18" i="14"/>
  <c r="AI18" i="14"/>
  <c r="AH18" i="14"/>
  <c r="AG18" i="14"/>
  <c r="AF18" i="14"/>
  <c r="AE18" i="14"/>
  <c r="AB18" i="14"/>
  <c r="AA18" i="14"/>
  <c r="Z18" i="14"/>
  <c r="W18" i="14"/>
  <c r="U18" i="14"/>
  <c r="S18" i="14" s="1"/>
  <c r="T18" i="14"/>
  <c r="Q18" i="14"/>
  <c r="P18" i="14"/>
  <c r="O18" i="14"/>
  <c r="N18" i="14"/>
  <c r="M18" i="14"/>
  <c r="K18" i="14"/>
  <c r="J18" i="14"/>
  <c r="I18" i="14"/>
  <c r="H18" i="14"/>
  <c r="G18" i="14" s="1"/>
  <c r="AS17" i="14"/>
  <c r="AQ17" i="14"/>
  <c r="AO17" i="14"/>
  <c r="AM17" i="14"/>
  <c r="AI17" i="14"/>
  <c r="AH17" i="14"/>
  <c r="AE17" i="14"/>
  <c r="AA17" i="14"/>
  <c r="Z17" i="14"/>
  <c r="Y17" i="14" s="1"/>
  <c r="W17" i="14"/>
  <c r="V17" i="14"/>
  <c r="T17" i="14"/>
  <c r="Q17" i="14"/>
  <c r="O17" i="14"/>
  <c r="N17" i="14"/>
  <c r="K17" i="14"/>
  <c r="J17" i="14"/>
  <c r="AS16" i="14"/>
  <c r="AQ16" i="14"/>
  <c r="AO16" i="14"/>
  <c r="AM16" i="14"/>
  <c r="AI16" i="14"/>
  <c r="AH16" i="14"/>
  <c r="AG16" i="14"/>
  <c r="AF16" i="14"/>
  <c r="AE16" i="14"/>
  <c r="AD16" i="14" s="1"/>
  <c r="AA16" i="14"/>
  <c r="Z16" i="14"/>
  <c r="W16" i="14"/>
  <c r="V16" i="14"/>
  <c r="U16" i="14"/>
  <c r="S16" i="14" s="1"/>
  <c r="Q16" i="14"/>
  <c r="P16" i="14"/>
  <c r="O16" i="14"/>
  <c r="N16" i="14"/>
  <c r="M16" i="14" s="1"/>
  <c r="K16" i="14"/>
  <c r="G16" i="14" s="1"/>
  <c r="J16" i="14"/>
  <c r="H16" i="14"/>
  <c r="AS15" i="14"/>
  <c r="AQ15" i="14"/>
  <c r="AO15" i="14"/>
  <c r="AM15" i="14"/>
  <c r="AI15" i="14"/>
  <c r="AH15" i="14"/>
  <c r="AG15" i="14"/>
  <c r="AD15" i="14" s="1"/>
  <c r="AF15" i="14"/>
  <c r="AE15" i="14"/>
  <c r="AB15" i="14"/>
  <c r="Y15" i="14" s="1"/>
  <c r="AA15" i="14"/>
  <c r="Z15" i="14"/>
  <c r="W15" i="14"/>
  <c r="V15" i="14"/>
  <c r="U15" i="14"/>
  <c r="T15" i="14"/>
  <c r="S15" i="14"/>
  <c r="Q15" i="14"/>
  <c r="P15" i="14"/>
  <c r="O15" i="14"/>
  <c r="N15" i="14"/>
  <c r="M15" i="14"/>
  <c r="K15" i="14"/>
  <c r="G15" i="14" s="1"/>
  <c r="J15" i="14"/>
  <c r="I15" i="14"/>
  <c r="AS14" i="14"/>
  <c r="AQ14" i="14"/>
  <c r="AO14" i="14"/>
  <c r="AM14" i="14"/>
  <c r="AI14" i="14"/>
  <c r="AH14" i="14"/>
  <c r="AF14" i="14"/>
  <c r="AE14" i="14"/>
  <c r="AA14" i="14"/>
  <c r="Z14" i="14"/>
  <c r="Y14" i="14" s="1"/>
  <c r="W14" i="14"/>
  <c r="V14" i="14"/>
  <c r="Q14" i="14"/>
  <c r="O14" i="14"/>
  <c r="K14" i="14"/>
  <c r="J14" i="14"/>
  <c r="I14" i="14"/>
  <c r="AS13" i="14"/>
  <c r="AQ13" i="14"/>
  <c r="AO13" i="14"/>
  <c r="AM13" i="14"/>
  <c r="AI13" i="14"/>
  <c r="AH13" i="14"/>
  <c r="AG13" i="14"/>
  <c r="AF13" i="14"/>
  <c r="AE13" i="14"/>
  <c r="AD13" i="14" s="1"/>
  <c r="AB13" i="14"/>
  <c r="AA13" i="14"/>
  <c r="Z13" i="14"/>
  <c r="Y13" i="14" s="1"/>
  <c r="W13" i="14"/>
  <c r="V13" i="14"/>
  <c r="U13" i="14"/>
  <c r="T13" i="14"/>
  <c r="S13" i="14"/>
  <c r="Q13" i="14"/>
  <c r="P13" i="14"/>
  <c r="O13" i="14"/>
  <c r="M13" i="14" s="1"/>
  <c r="N13" i="14"/>
  <c r="K13" i="14"/>
  <c r="J13" i="14"/>
  <c r="I13" i="14"/>
  <c r="H13" i="14"/>
  <c r="G13" i="14" s="1"/>
  <c r="AS12" i="14"/>
  <c r="AQ12" i="14"/>
  <c r="AO12" i="14"/>
  <c r="AM12" i="14"/>
  <c r="AI12" i="14"/>
  <c r="AH12" i="14"/>
  <c r="AG12" i="14"/>
  <c r="AF12" i="14"/>
  <c r="AE12" i="14"/>
  <c r="AD12" i="14" s="1"/>
  <c r="AB12" i="14"/>
  <c r="AA12" i="14"/>
  <c r="Y12" i="14" s="1"/>
  <c r="Z12" i="14"/>
  <c r="W12" i="14"/>
  <c r="V12" i="14"/>
  <c r="U12" i="14"/>
  <c r="T12" i="14"/>
  <c r="S12" i="14" s="1"/>
  <c r="Q12" i="14"/>
  <c r="P12" i="14"/>
  <c r="O12" i="14"/>
  <c r="N12" i="14"/>
  <c r="M12" i="14" s="1"/>
  <c r="K12" i="14"/>
  <c r="J12" i="14"/>
  <c r="I12" i="14"/>
  <c r="H12" i="14"/>
  <c r="G12" i="14"/>
  <c r="AS11" i="14"/>
  <c r="AQ11" i="14"/>
  <c r="AO11" i="14"/>
  <c r="AM11" i="14"/>
  <c r="AI11" i="14"/>
  <c r="AH11" i="14"/>
  <c r="AG11" i="14"/>
  <c r="AF11" i="14"/>
  <c r="AE11" i="14"/>
  <c r="AD11" i="14" s="1"/>
  <c r="AB11" i="14"/>
  <c r="AA11" i="14"/>
  <c r="Z11" i="14"/>
  <c r="Y11" i="14" s="1"/>
  <c r="U11" i="14"/>
  <c r="T11" i="14"/>
  <c r="Q11" i="14"/>
  <c r="P11" i="14"/>
  <c r="N11" i="14"/>
  <c r="K11" i="14"/>
  <c r="J11" i="14"/>
  <c r="I11" i="14"/>
  <c r="H11" i="14"/>
  <c r="G11" i="14" s="1"/>
  <c r="AS10" i="14"/>
  <c r="AQ10" i="14"/>
  <c r="AO10" i="14"/>
  <c r="AM10" i="14"/>
  <c r="AI10" i="14"/>
  <c r="AH10" i="14"/>
  <c r="AG10" i="14"/>
  <c r="AF10" i="14"/>
  <c r="AE10" i="14"/>
  <c r="AD10" i="14" s="1"/>
  <c r="AB10" i="14"/>
  <c r="AA10" i="14"/>
  <c r="W10" i="14"/>
  <c r="V10" i="14"/>
  <c r="T10" i="14"/>
  <c r="O10" i="14"/>
  <c r="N10" i="14"/>
  <c r="M10" i="14" s="1"/>
  <c r="K10" i="14"/>
  <c r="J10" i="14"/>
  <c r="I10" i="14"/>
  <c r="H10" i="14"/>
  <c r="G10" i="14"/>
  <c r="AS9" i="14"/>
  <c r="AQ9" i="14"/>
  <c r="AO9" i="14"/>
  <c r="AM9" i="14"/>
  <c r="AI9" i="14"/>
  <c r="AH9" i="14"/>
  <c r="AG9" i="14"/>
  <c r="AF9" i="14"/>
  <c r="AD9" i="14" s="1"/>
  <c r="AE9" i="14"/>
  <c r="AB9" i="14"/>
  <c r="AA9" i="14"/>
  <c r="Z9" i="14"/>
  <c r="Y9" i="14" s="1"/>
  <c r="W9" i="14"/>
  <c r="V9" i="14"/>
  <c r="U9" i="14"/>
  <c r="T9" i="14"/>
  <c r="S9" i="14"/>
  <c r="Q9" i="14"/>
  <c r="P9" i="14"/>
  <c r="O9" i="14"/>
  <c r="N9" i="14"/>
  <c r="M9" i="14" s="1"/>
  <c r="K9" i="14"/>
  <c r="J9" i="14"/>
  <c r="I9" i="14"/>
  <c r="H9" i="14"/>
  <c r="G9" i="14" s="1"/>
  <c r="AS8" i="14"/>
  <c r="AQ8" i="14"/>
  <c r="AO8" i="14"/>
  <c r="AM8" i="14"/>
  <c r="AI8" i="14"/>
  <c r="AH8" i="14"/>
  <c r="AG8" i="14"/>
  <c r="AF8" i="14"/>
  <c r="AE8" i="14"/>
  <c r="AD8" i="14" s="1"/>
  <c r="AB8" i="14"/>
  <c r="AA8" i="14"/>
  <c r="Z8" i="14"/>
  <c r="Y8" i="14" s="1"/>
  <c r="W8" i="14"/>
  <c r="U8" i="14"/>
  <c r="T8" i="14"/>
  <c r="Q8" i="14"/>
  <c r="P8" i="14"/>
  <c r="O8" i="14"/>
  <c r="N8" i="14"/>
  <c r="M8" i="14" s="1"/>
  <c r="K8" i="14"/>
  <c r="J8" i="14"/>
  <c r="I8" i="14"/>
  <c r="H8" i="14"/>
  <c r="G8" i="14"/>
  <c r="AS7" i="14"/>
  <c r="AQ7" i="14"/>
  <c r="AO7" i="14"/>
  <c r="AM7" i="14"/>
  <c r="AI7" i="14"/>
  <c r="AH7" i="14"/>
  <c r="AF7" i="14"/>
  <c r="AE7" i="14"/>
  <c r="AB7" i="14"/>
  <c r="AA7" i="14"/>
  <c r="Z7" i="14"/>
  <c r="Y7" i="14" s="1"/>
  <c r="W7" i="14"/>
  <c r="V7" i="14"/>
  <c r="U7" i="14"/>
  <c r="T7" i="14"/>
  <c r="S7" i="14"/>
  <c r="Q7" i="14"/>
  <c r="P7" i="14"/>
  <c r="O7" i="14"/>
  <c r="N7" i="14"/>
  <c r="M7" i="14" s="1"/>
  <c r="K7" i="14"/>
  <c r="J7" i="14"/>
  <c r="I7" i="14"/>
  <c r="H7" i="14"/>
  <c r="G7" i="14" s="1"/>
  <c r="AS6" i="14"/>
  <c r="AQ6" i="14"/>
  <c r="AO6" i="14"/>
  <c r="AM6" i="14"/>
  <c r="AI6" i="14"/>
  <c r="AH6" i="14"/>
  <c r="AG6" i="14"/>
  <c r="AE6" i="14"/>
  <c r="AB6" i="14"/>
  <c r="Z6" i="14"/>
  <c r="Y6" i="14" s="1"/>
  <c r="W6" i="14"/>
  <c r="V6" i="14"/>
  <c r="U6" i="14"/>
  <c r="Q6" i="14"/>
  <c r="P6" i="14"/>
  <c r="O6" i="14"/>
  <c r="K6" i="14"/>
  <c r="J6" i="14"/>
  <c r="I6" i="14"/>
  <c r="AS5" i="14"/>
  <c r="AQ5" i="14"/>
  <c r="AO5" i="14"/>
  <c r="AM5" i="14"/>
  <c r="AI5" i="14"/>
  <c r="AD5" i="14" s="1"/>
  <c r="AH5" i="14"/>
  <c r="AG5" i="14"/>
  <c r="AF5" i="14"/>
  <c r="AE5" i="14"/>
  <c r="AB5" i="14"/>
  <c r="AA5" i="14"/>
  <c r="Z5" i="14"/>
  <c r="Y5" i="14" s="1"/>
  <c r="W5" i="14"/>
  <c r="V5" i="14"/>
  <c r="U5" i="14"/>
  <c r="Q5" i="14"/>
  <c r="P5" i="14"/>
  <c r="O5" i="14"/>
  <c r="N5" i="14"/>
  <c r="M5" i="14" s="1"/>
  <c r="J5" i="14"/>
  <c r="I5" i="14"/>
  <c r="H5" i="14"/>
  <c r="G5" i="14" s="1"/>
  <c r="AS4" i="14"/>
  <c r="AQ4" i="14"/>
  <c r="AO4" i="14"/>
  <c r="AM4" i="14"/>
  <c r="AI4" i="14"/>
  <c r="AH4" i="14"/>
  <c r="AG4" i="14"/>
  <c r="AF4" i="14"/>
  <c r="AE4" i="14"/>
  <c r="AD4" i="14" s="1"/>
  <c r="AB4" i="14"/>
  <c r="AA4" i="14"/>
  <c r="W4" i="14"/>
  <c r="S4" i="14" s="1"/>
  <c r="V4" i="14"/>
  <c r="U4" i="14"/>
  <c r="T4" i="14"/>
  <c r="Q4" i="14"/>
  <c r="P4" i="14"/>
  <c r="O4" i="14"/>
  <c r="N4" i="14"/>
  <c r="M4" i="14" s="1"/>
  <c r="J4" i="14"/>
  <c r="I4" i="14"/>
  <c r="H4" i="14"/>
  <c r="AS3" i="14"/>
  <c r="AQ3" i="14"/>
  <c r="AO3" i="14"/>
  <c r="AM3" i="14"/>
  <c r="AI3" i="14"/>
  <c r="AD3" i="14" s="1"/>
  <c r="AH3" i="14"/>
  <c r="AG3" i="14"/>
  <c r="AF3" i="14"/>
  <c r="AE3" i="14"/>
  <c r="AB3" i="14"/>
  <c r="AA3" i="14"/>
  <c r="Z3" i="14"/>
  <c r="W3" i="14"/>
  <c r="V3" i="14"/>
  <c r="U3" i="14"/>
  <c r="T3" i="14"/>
  <c r="S3" i="14"/>
  <c r="Q3" i="14"/>
  <c r="P3" i="14"/>
  <c r="O3" i="14"/>
  <c r="N3" i="14"/>
  <c r="M3" i="14" s="1"/>
  <c r="K3" i="14"/>
  <c r="J3" i="14"/>
  <c r="E13" i="14" l="1"/>
  <c r="Y3" i="14"/>
  <c r="E4" i="14"/>
  <c r="E14" i="14"/>
  <c r="G17" i="14"/>
  <c r="G3" i="14"/>
  <c r="AQ30" i="14"/>
  <c r="AQ29" i="14"/>
  <c r="AP3" i="14" s="1"/>
  <c r="AP20" i="14"/>
  <c r="AD6" i="14"/>
  <c r="E7" i="14"/>
  <c r="E9" i="14"/>
  <c r="S10" i="14"/>
  <c r="E15" i="14"/>
  <c r="E11" i="14"/>
  <c r="E5" i="14"/>
  <c r="AP9" i="14"/>
  <c r="AP24" i="14"/>
  <c r="S8" i="14"/>
  <c r="S30" i="14" s="1"/>
  <c r="AP11" i="14"/>
  <c r="AP12" i="14"/>
  <c r="AP5" i="14"/>
  <c r="AP13" i="14"/>
  <c r="AP17" i="14"/>
  <c r="AP22" i="14"/>
  <c r="E6" i="14"/>
  <c r="M19" i="14"/>
  <c r="AP21" i="14"/>
  <c r="S23" i="14"/>
  <c r="E21" i="14"/>
  <c r="AS30" i="14"/>
  <c r="AS29" i="14"/>
  <c r="AR11" i="14" s="1"/>
  <c r="G20" i="14"/>
  <c r="E26" i="14"/>
  <c r="AD24" i="14"/>
  <c r="Y18" i="14"/>
  <c r="AD20" i="14"/>
  <c r="AD30" i="14" s="1"/>
  <c r="G24" i="14"/>
  <c r="AD26" i="14"/>
  <c r="M22" i="14"/>
  <c r="Y16" i="14"/>
  <c r="E16" i="14" s="1"/>
  <c r="S19" i="14"/>
  <c r="AP19" i="14"/>
  <c r="AD22" i="14"/>
  <c r="E25" i="14"/>
  <c r="Y23" i="14"/>
  <c r="AM30" i="14"/>
  <c r="AM29" i="14"/>
  <c r="AL22" i="14" s="1"/>
  <c r="AK22" i="14" s="1"/>
  <c r="AN25" i="14"/>
  <c r="AO30" i="14"/>
  <c r="AO29" i="14"/>
  <c r="AN19" i="14" s="1"/>
  <c r="E8" i="14"/>
  <c r="E10" i="14"/>
  <c r="E12" i="14"/>
  <c r="M17" i="14"/>
  <c r="M30" i="14" s="1"/>
  <c r="G22" i="14"/>
  <c r="M23" i="14"/>
  <c r="AP23" i="14"/>
  <c r="S25" i="14"/>
  <c r="AP25" i="14"/>
  <c r="AR14" i="14"/>
  <c r="AD18" i="14"/>
  <c r="Y20" i="14"/>
  <c r="M24" i="14"/>
  <c r="AR22" i="14" l="1"/>
  <c r="AR16" i="14"/>
  <c r="M29" i="14"/>
  <c r="Y30" i="14"/>
  <c r="Y29" i="14"/>
  <c r="X23" i="14" s="1"/>
  <c r="L23" i="14"/>
  <c r="E22" i="14"/>
  <c r="AR20" i="14"/>
  <c r="AR26" i="14"/>
  <c r="X16" i="14"/>
  <c r="AL11" i="14"/>
  <c r="S29" i="14"/>
  <c r="AN18" i="14"/>
  <c r="AN11" i="14"/>
  <c r="AN7" i="14"/>
  <c r="AN5" i="14"/>
  <c r="AN24" i="14"/>
  <c r="AN9" i="14"/>
  <c r="AN3" i="14"/>
  <c r="AN22" i="14"/>
  <c r="AN26" i="14"/>
  <c r="AN20" i="14"/>
  <c r="AN16" i="14"/>
  <c r="AR25" i="14"/>
  <c r="AR23" i="14"/>
  <c r="AR10" i="14"/>
  <c r="AR19" i="14"/>
  <c r="AR17" i="14"/>
  <c r="AR12" i="14"/>
  <c r="AR6" i="14"/>
  <c r="AR4" i="14"/>
  <c r="AR8" i="14"/>
  <c r="AR21" i="14"/>
  <c r="AR13" i="14"/>
  <c r="AL18" i="14"/>
  <c r="AK18" i="14" s="1"/>
  <c r="AN15" i="14"/>
  <c r="AR24" i="14"/>
  <c r="AN21" i="14"/>
  <c r="AL8" i="14"/>
  <c r="AN10" i="14"/>
  <c r="AL14" i="14"/>
  <c r="AL12" i="14"/>
  <c r="AL10" i="14"/>
  <c r="AK10" i="14" s="1"/>
  <c r="AL23" i="14"/>
  <c r="AK23" i="14" s="1"/>
  <c r="L17" i="14"/>
  <c r="L22" i="14"/>
  <c r="R23" i="14"/>
  <c r="AL6" i="14"/>
  <c r="AR7" i="14"/>
  <c r="G30" i="14"/>
  <c r="G29" i="14"/>
  <c r="E3" i="14"/>
  <c r="AN8" i="14"/>
  <c r="AL21" i="14"/>
  <c r="AK21" i="14" s="1"/>
  <c r="AN23" i="14"/>
  <c r="AL24" i="14"/>
  <c r="AK24" i="14" s="1"/>
  <c r="E20" i="14"/>
  <c r="E23" i="14"/>
  <c r="AL20" i="14"/>
  <c r="AK20" i="14" s="1"/>
  <c r="AR5" i="14"/>
  <c r="AL4" i="14"/>
  <c r="AP7" i="14"/>
  <c r="R10" i="14"/>
  <c r="AN4" i="14"/>
  <c r="AL13" i="14"/>
  <c r="R8" i="14"/>
  <c r="R25" i="14"/>
  <c r="AN13" i="14"/>
  <c r="AC22" i="14"/>
  <c r="E24" i="14"/>
  <c r="AR18" i="14"/>
  <c r="AR9" i="14"/>
  <c r="E19" i="14"/>
  <c r="AP26" i="14"/>
  <c r="AP14" i="14"/>
  <c r="AP15" i="14"/>
  <c r="AP10" i="14"/>
  <c r="AP8" i="14"/>
  <c r="AP6" i="14"/>
  <c r="AP16" i="14"/>
  <c r="AP18" i="14"/>
  <c r="E17" i="14"/>
  <c r="AR15" i="14"/>
  <c r="AL26" i="14"/>
  <c r="AK26" i="14" s="1"/>
  <c r="AL25" i="14"/>
  <c r="AK25" i="14" s="1"/>
  <c r="AL9" i="14"/>
  <c r="AK9" i="14" s="1"/>
  <c r="AL7" i="14"/>
  <c r="AK7" i="14" s="1"/>
  <c r="AL5" i="14"/>
  <c r="AL3" i="14"/>
  <c r="AL15" i="14"/>
  <c r="AK15" i="14" s="1"/>
  <c r="AL17" i="14"/>
  <c r="AK17" i="14" s="1"/>
  <c r="AN17" i="14"/>
  <c r="AD29" i="14"/>
  <c r="AC6" i="14" s="1"/>
  <c r="AN14" i="14"/>
  <c r="AN12" i="14"/>
  <c r="AL16" i="14"/>
  <c r="AK16" i="14" s="1"/>
  <c r="E18" i="14"/>
  <c r="AN6" i="14"/>
  <c r="AL19" i="14"/>
  <c r="AK19" i="14" s="1"/>
  <c r="L24" i="14"/>
  <c r="AR3" i="14"/>
  <c r="AP4" i="14"/>
  <c r="AP30" i="14" s="1"/>
  <c r="X3" i="14" l="1"/>
  <c r="F23" i="14"/>
  <c r="F18" i="14"/>
  <c r="F5" i="14"/>
  <c r="F25" i="14"/>
  <c r="F4" i="14"/>
  <c r="F19" i="14"/>
  <c r="F7" i="14"/>
  <c r="F26" i="14"/>
  <c r="F11" i="14"/>
  <c r="F8" i="14"/>
  <c r="F15" i="14"/>
  <c r="F10" i="14"/>
  <c r="F16" i="14"/>
  <c r="F12" i="14"/>
  <c r="F6" i="14"/>
  <c r="F13" i="14"/>
  <c r="F14" i="14"/>
  <c r="F9" i="14"/>
  <c r="F21" i="14"/>
  <c r="X19" i="14"/>
  <c r="X14" i="14"/>
  <c r="X7" i="14"/>
  <c r="X6" i="14"/>
  <c r="X17" i="14"/>
  <c r="X4" i="14"/>
  <c r="X5" i="14"/>
  <c r="X13" i="14"/>
  <c r="X8" i="14"/>
  <c r="X9" i="14"/>
  <c r="X26" i="14"/>
  <c r="X11" i="14"/>
  <c r="X21" i="14"/>
  <c r="X12" i="14"/>
  <c r="X15" i="14"/>
  <c r="X22" i="14"/>
  <c r="X24" i="14"/>
  <c r="X25" i="14"/>
  <c r="X10" i="14"/>
  <c r="AK12" i="14"/>
  <c r="D23" i="14"/>
  <c r="AK6" i="14"/>
  <c r="R26" i="14"/>
  <c r="R13" i="14"/>
  <c r="R14" i="14"/>
  <c r="R17" i="14"/>
  <c r="R9" i="14"/>
  <c r="R5" i="14"/>
  <c r="R4" i="14"/>
  <c r="R22" i="14"/>
  <c r="R21" i="14"/>
  <c r="R18" i="14"/>
  <c r="R7" i="14"/>
  <c r="R24" i="14"/>
  <c r="R20" i="14"/>
  <c r="R11" i="14"/>
  <c r="R15" i="14"/>
  <c r="R6" i="14"/>
  <c r="R12" i="14"/>
  <c r="R3" i="14"/>
  <c r="R16" i="14"/>
  <c r="F22" i="14"/>
  <c r="L16" i="14"/>
  <c r="L3" i="14"/>
  <c r="L25" i="14"/>
  <c r="L10" i="14"/>
  <c r="L11" i="14"/>
  <c r="L4" i="14"/>
  <c r="L21" i="14"/>
  <c r="L13" i="14"/>
  <c r="L5" i="14"/>
  <c r="L18" i="14"/>
  <c r="L8" i="14"/>
  <c r="L7" i="14"/>
  <c r="L12" i="14"/>
  <c r="L20" i="14"/>
  <c r="L15" i="14"/>
  <c r="L9" i="14"/>
  <c r="L6" i="14"/>
  <c r="L26" i="14"/>
  <c r="L14" i="14"/>
  <c r="AL30" i="14"/>
  <c r="AL29" i="14"/>
  <c r="AK3" i="14"/>
  <c r="AR30" i="14"/>
  <c r="AR29" i="14"/>
  <c r="AC4" i="14"/>
  <c r="AC14" i="14"/>
  <c r="AC15" i="14"/>
  <c r="AC5" i="14"/>
  <c r="AC17" i="14"/>
  <c r="AC16" i="14"/>
  <c r="AC3" i="14"/>
  <c r="AC19" i="14"/>
  <c r="AC8" i="14"/>
  <c r="AC11" i="14"/>
  <c r="AC7" i="14"/>
  <c r="AC9" i="14"/>
  <c r="AC25" i="14"/>
  <c r="AC23" i="14"/>
  <c r="AC10" i="14"/>
  <c r="AC21" i="14"/>
  <c r="AC12" i="14"/>
  <c r="AC13" i="14"/>
  <c r="AC20" i="14"/>
  <c r="AK13" i="14"/>
  <c r="AK14" i="14"/>
  <c r="AC18" i="14"/>
  <c r="AN29" i="14"/>
  <c r="AN30" i="14"/>
  <c r="AK11" i="14"/>
  <c r="X20" i="14"/>
  <c r="AP29" i="14"/>
  <c r="AK5" i="14"/>
  <c r="AK4" i="14"/>
  <c r="D24" i="14"/>
  <c r="F20" i="14"/>
  <c r="E30" i="14"/>
  <c r="E29" i="14"/>
  <c r="D22" i="14" s="1"/>
  <c r="D3" i="14"/>
  <c r="L19" i="14"/>
  <c r="D18" i="14"/>
  <c r="F17" i="14"/>
  <c r="F24" i="14"/>
  <c r="AC26" i="14"/>
  <c r="F3" i="14"/>
  <c r="AK8" i="14"/>
  <c r="AC24" i="14"/>
  <c r="R19" i="14"/>
  <c r="X18" i="14"/>
  <c r="F30" i="14" l="1"/>
  <c r="F29" i="14"/>
  <c r="AC30" i="14"/>
  <c r="AC29" i="14"/>
  <c r="R30" i="14"/>
  <c r="R29" i="14"/>
  <c r="AK30" i="14"/>
  <c r="AK29" i="14"/>
  <c r="AJ11" i="14" s="1"/>
  <c r="C11" i="14" s="1"/>
  <c r="D25" i="14"/>
  <c r="D13" i="14"/>
  <c r="D14" i="14"/>
  <c r="D6" i="14"/>
  <c r="D21" i="14"/>
  <c r="D15" i="14"/>
  <c r="D4" i="14"/>
  <c r="D30" i="14" s="1"/>
  <c r="D9" i="14"/>
  <c r="D16" i="14"/>
  <c r="D11" i="14"/>
  <c r="D5" i="14"/>
  <c r="D8" i="14"/>
  <c r="D7" i="14"/>
  <c r="D26" i="14"/>
  <c r="D12" i="14"/>
  <c r="D10" i="14"/>
  <c r="D19" i="14"/>
  <c r="D17" i="14"/>
  <c r="L30" i="14"/>
  <c r="L29" i="14"/>
  <c r="X29" i="14"/>
  <c r="X30" i="14"/>
  <c r="D20" i="14"/>
  <c r="AJ13" i="14" l="1"/>
  <c r="C13" i="14" s="1"/>
  <c r="AJ8" i="14"/>
  <c r="C8" i="14" s="1"/>
  <c r="D29" i="14"/>
  <c r="AJ12" i="14"/>
  <c r="C12" i="14" s="1"/>
  <c r="AJ14" i="14"/>
  <c r="C14" i="14" s="1"/>
  <c r="AJ22" i="14"/>
  <c r="C22" i="14" s="1"/>
  <c r="AJ23" i="14"/>
  <c r="C23" i="14" s="1"/>
  <c r="AJ21" i="14"/>
  <c r="C21" i="14" s="1"/>
  <c r="AJ24" i="14"/>
  <c r="C24" i="14" s="1"/>
  <c r="AJ25" i="14"/>
  <c r="C25" i="14" s="1"/>
  <c r="AJ17" i="14"/>
  <c r="C17" i="14" s="1"/>
  <c r="AJ16" i="14"/>
  <c r="C16" i="14" s="1"/>
  <c r="AJ20" i="14"/>
  <c r="C20" i="14" s="1"/>
  <c r="AJ15" i="14"/>
  <c r="C15" i="14" s="1"/>
  <c r="AJ18" i="14"/>
  <c r="C18" i="14" s="1"/>
  <c r="AJ19" i="14"/>
  <c r="C19" i="14" s="1"/>
  <c r="AJ9" i="14"/>
  <c r="C9" i="14" s="1"/>
  <c r="AJ7" i="14"/>
  <c r="C7" i="14" s="1"/>
  <c r="AJ26" i="14"/>
  <c r="C26" i="14" s="1"/>
  <c r="AJ10" i="14"/>
  <c r="C10" i="14" s="1"/>
  <c r="AJ4" i="14"/>
  <c r="C4" i="14" s="1"/>
  <c r="AJ3" i="14"/>
  <c r="AJ5" i="14"/>
  <c r="C5" i="14" s="1"/>
  <c r="AJ6" i="14"/>
  <c r="C6" i="14" s="1"/>
  <c r="AJ30" i="14" l="1"/>
  <c r="AJ29" i="14"/>
  <c r="C3" i="14"/>
  <c r="C30" i="14" l="1"/>
  <c r="C29" i="14"/>
  <c r="B11" i="14" l="1"/>
  <c r="B16" i="14"/>
  <c r="B18" i="14"/>
  <c r="B23" i="14"/>
  <c r="B9" i="14"/>
  <c r="B22" i="14"/>
  <c r="B12" i="14"/>
  <c r="B6" i="14"/>
  <c r="B15" i="14"/>
  <c r="B26" i="14"/>
  <c r="B14" i="14"/>
  <c r="B13" i="14"/>
  <c r="B25" i="14"/>
  <c r="B21" i="14"/>
  <c r="B7" i="14"/>
  <c r="B10" i="14"/>
  <c r="B19" i="14"/>
  <c r="B4" i="14"/>
  <c r="B17" i="14"/>
  <c r="B5" i="14"/>
  <c r="B20" i="14"/>
  <c r="B8" i="14"/>
  <c r="B24" i="14"/>
  <c r="B3" i="14"/>
  <c r="B30" i="14" l="1"/>
  <c r="B29" i="14"/>
  <c r="G27" i="8" l="1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O9" i="5" s="1"/>
  <c r="G11" i="8"/>
  <c r="G10" i="8"/>
  <c r="G9" i="8"/>
  <c r="G8" i="8"/>
  <c r="G7" i="8"/>
  <c r="G6" i="8"/>
  <c r="G5" i="8"/>
  <c r="G4" i="8"/>
  <c r="O13" i="5" s="1"/>
  <c r="H27" i="7"/>
  <c r="G27" i="7"/>
  <c r="H26" i="7"/>
  <c r="G26" i="7"/>
  <c r="G25" i="7"/>
  <c r="H25" i="7" s="1"/>
  <c r="G24" i="7"/>
  <c r="H24" i="7" s="1"/>
  <c r="N10" i="5" s="1"/>
  <c r="H23" i="7"/>
  <c r="G23" i="7"/>
  <c r="H22" i="7"/>
  <c r="G22" i="7"/>
  <c r="G21" i="7"/>
  <c r="H21" i="7" s="1"/>
  <c r="N17" i="5" s="1"/>
  <c r="G20" i="7"/>
  <c r="H20" i="7" s="1"/>
  <c r="H19" i="7"/>
  <c r="G19" i="7"/>
  <c r="H18" i="7"/>
  <c r="G18" i="7"/>
  <c r="G17" i="7"/>
  <c r="H17" i="7" s="1"/>
  <c r="N5" i="5" s="1"/>
  <c r="G16" i="7"/>
  <c r="H16" i="7" s="1"/>
  <c r="H15" i="7"/>
  <c r="G15" i="7"/>
  <c r="H14" i="7"/>
  <c r="G14" i="7"/>
  <c r="G13" i="7"/>
  <c r="H13" i="7" s="1"/>
  <c r="N14" i="5" s="1"/>
  <c r="G12" i="7"/>
  <c r="H12" i="7" s="1"/>
  <c r="N9" i="5" s="1"/>
  <c r="H11" i="7"/>
  <c r="G11" i="7"/>
  <c r="H10" i="7"/>
  <c r="G10" i="7"/>
  <c r="G9" i="7"/>
  <c r="H9" i="7" s="1"/>
  <c r="G8" i="7"/>
  <c r="H8" i="7" s="1"/>
  <c r="H7" i="7"/>
  <c r="G7" i="7"/>
  <c r="H6" i="7"/>
  <c r="G6" i="7"/>
  <c r="G5" i="7"/>
  <c r="H5" i="7" s="1"/>
  <c r="G4" i="7"/>
  <c r="H4" i="7" s="1"/>
  <c r="N13" i="5" s="1"/>
  <c r="H23" i="6"/>
  <c r="G23" i="6"/>
  <c r="F23" i="6"/>
  <c r="H18" i="6"/>
  <c r="J15" i="6"/>
  <c r="I14" i="6"/>
  <c r="J11" i="6"/>
  <c r="I11" i="6"/>
  <c r="L8" i="5" s="1"/>
  <c r="K8" i="5" s="1"/>
  <c r="J6" i="6"/>
  <c r="F6" i="6"/>
  <c r="E6" i="6"/>
  <c r="O18" i="5"/>
  <c r="N18" i="5"/>
  <c r="M18" i="5"/>
  <c r="L18" i="5"/>
  <c r="K18" i="5" s="1"/>
  <c r="J18" i="5"/>
  <c r="I18" i="5"/>
  <c r="H18" i="5" s="1"/>
  <c r="G18" i="5"/>
  <c r="F18" i="5"/>
  <c r="E18" i="5" s="1"/>
  <c r="D18" i="5" s="1"/>
  <c r="O17" i="5"/>
  <c r="M17" i="5"/>
  <c r="L17" i="5"/>
  <c r="K17" i="5" s="1"/>
  <c r="J17" i="5"/>
  <c r="I17" i="5"/>
  <c r="H17" i="5" s="1"/>
  <c r="G17" i="5"/>
  <c r="F17" i="5"/>
  <c r="E17" i="5" s="1"/>
  <c r="O16" i="5"/>
  <c r="N16" i="5"/>
  <c r="M16" i="5"/>
  <c r="L16" i="5"/>
  <c r="K16" i="5" s="1"/>
  <c r="J16" i="5"/>
  <c r="I16" i="5"/>
  <c r="H16" i="5" s="1"/>
  <c r="G16" i="5"/>
  <c r="F16" i="5"/>
  <c r="E16" i="5" s="1"/>
  <c r="O15" i="5"/>
  <c r="N15" i="5"/>
  <c r="M15" i="5"/>
  <c r="L15" i="5"/>
  <c r="K15" i="5" s="1"/>
  <c r="J15" i="5"/>
  <c r="I15" i="5"/>
  <c r="H15" i="5" s="1"/>
  <c r="G15" i="5"/>
  <c r="F15" i="5"/>
  <c r="E15" i="5" s="1"/>
  <c r="O14" i="5"/>
  <c r="M14" i="5"/>
  <c r="L14" i="5"/>
  <c r="K14" i="5"/>
  <c r="J14" i="5"/>
  <c r="I14" i="5"/>
  <c r="H14" i="5" s="1"/>
  <c r="G14" i="5"/>
  <c r="F14" i="5"/>
  <c r="E14" i="5" s="1"/>
  <c r="M13" i="5"/>
  <c r="L13" i="5"/>
  <c r="K13" i="5"/>
  <c r="J13" i="5"/>
  <c r="I13" i="5"/>
  <c r="H13" i="5"/>
  <c r="G13" i="5"/>
  <c r="F13" i="5"/>
  <c r="E13" i="5" s="1"/>
  <c r="O12" i="5"/>
  <c r="N12" i="5"/>
  <c r="M12" i="5"/>
  <c r="K12" i="5" s="1"/>
  <c r="L12" i="5"/>
  <c r="J12" i="5"/>
  <c r="I12" i="5"/>
  <c r="H12" i="5"/>
  <c r="G12" i="5"/>
  <c r="F12" i="5"/>
  <c r="E12" i="5"/>
  <c r="D12" i="5" s="1"/>
  <c r="O11" i="5"/>
  <c r="N11" i="5"/>
  <c r="M11" i="5"/>
  <c r="L11" i="5"/>
  <c r="K11" i="5" s="1"/>
  <c r="J11" i="5"/>
  <c r="I11" i="5"/>
  <c r="H11" i="5" s="1"/>
  <c r="G11" i="5"/>
  <c r="E11" i="5" s="1"/>
  <c r="F11" i="5"/>
  <c r="O10" i="5"/>
  <c r="M10" i="5"/>
  <c r="L10" i="5"/>
  <c r="K10" i="5" s="1"/>
  <c r="J10" i="5"/>
  <c r="I10" i="5"/>
  <c r="H10" i="5" s="1"/>
  <c r="G10" i="5"/>
  <c r="F10" i="5"/>
  <c r="E10" i="5" s="1"/>
  <c r="M9" i="5"/>
  <c r="L9" i="5"/>
  <c r="K9" i="5" s="1"/>
  <c r="J9" i="5"/>
  <c r="I9" i="5"/>
  <c r="H9" i="5" s="1"/>
  <c r="G9" i="5"/>
  <c r="F9" i="5"/>
  <c r="E9" i="5" s="1"/>
  <c r="O8" i="5"/>
  <c r="N8" i="5"/>
  <c r="M8" i="5"/>
  <c r="J8" i="5"/>
  <c r="I8" i="5"/>
  <c r="H8" i="5" s="1"/>
  <c r="G8" i="5"/>
  <c r="F8" i="5"/>
  <c r="E8" i="5" s="1"/>
  <c r="D8" i="5" s="1"/>
  <c r="O7" i="5"/>
  <c r="N7" i="5"/>
  <c r="M7" i="5"/>
  <c r="L7" i="5"/>
  <c r="K7" i="5"/>
  <c r="J7" i="5"/>
  <c r="I7" i="5"/>
  <c r="H7" i="5" s="1"/>
  <c r="G7" i="5"/>
  <c r="F7" i="5"/>
  <c r="E7" i="5" s="1"/>
  <c r="O6" i="5"/>
  <c r="N6" i="5"/>
  <c r="M6" i="5"/>
  <c r="L6" i="5"/>
  <c r="K6" i="5"/>
  <c r="J6" i="5"/>
  <c r="I6" i="5"/>
  <c r="H6" i="5"/>
  <c r="G6" i="5"/>
  <c r="F6" i="5"/>
  <c r="E6" i="5" s="1"/>
  <c r="D6" i="5" s="1"/>
  <c r="O5" i="5"/>
  <c r="M5" i="5"/>
  <c r="L5" i="5"/>
  <c r="K5" i="5"/>
  <c r="J5" i="5"/>
  <c r="I5" i="5"/>
  <c r="H5" i="5"/>
  <c r="G5" i="5"/>
  <c r="F5" i="5"/>
  <c r="E5" i="5" s="1"/>
  <c r="D5" i="5" s="1"/>
  <c r="O4" i="5"/>
  <c r="N4" i="5"/>
  <c r="M4" i="5"/>
  <c r="L4" i="5"/>
  <c r="K4" i="5" s="1"/>
  <c r="J4" i="5"/>
  <c r="I4" i="5"/>
  <c r="H4" i="5"/>
  <c r="G4" i="5"/>
  <c r="F4" i="5"/>
  <c r="E4" i="5"/>
  <c r="D10" i="5" l="1"/>
  <c r="D11" i="5"/>
  <c r="D13" i="5"/>
  <c r="D14" i="5"/>
  <c r="D15" i="5"/>
  <c r="D16" i="5"/>
  <c r="D17" i="5"/>
  <c r="D7" i="5"/>
  <c r="D9" i="5"/>
  <c r="D4" i="5"/>
  <c r="D22" i="5" l="1"/>
  <c r="D21" i="5"/>
  <c r="C13" i="5" s="1"/>
  <c r="C15" i="5" l="1"/>
  <c r="C14" i="5"/>
  <c r="C16" i="5"/>
  <c r="C11" i="5"/>
  <c r="C7" i="5"/>
  <c r="C9" i="5"/>
  <c r="C6" i="5"/>
  <c r="C12" i="5"/>
  <c r="C18" i="5"/>
  <c r="C8" i="5"/>
  <c r="C5" i="5"/>
  <c r="C17" i="5"/>
  <c r="C10" i="5"/>
  <c r="C4" i="5"/>
  <c r="C22" i="5" l="1"/>
  <c r="C21" i="5"/>
  <c r="B16" i="4" l="1"/>
  <c r="E15" i="4"/>
  <c r="C15" i="4"/>
  <c r="B15" i="4"/>
  <c r="B14" i="4"/>
  <c r="C13" i="4"/>
  <c r="B13" i="4"/>
  <c r="E12" i="4"/>
  <c r="C12" i="4"/>
  <c r="B12" i="4"/>
  <c r="C11" i="4"/>
  <c r="B11" i="4"/>
  <c r="E10" i="4"/>
  <c r="C10" i="4"/>
  <c r="B10" i="4"/>
  <c r="E9" i="4"/>
  <c r="C9" i="4"/>
  <c r="B9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J25" i="3" l="1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C21" i="3"/>
  <c r="J20" i="3"/>
  <c r="C20" i="3" s="1"/>
  <c r="H20" i="3"/>
  <c r="F20" i="3"/>
  <c r="D20" i="3"/>
  <c r="J19" i="3"/>
  <c r="C19" i="3" s="1"/>
  <c r="H19" i="3"/>
  <c r="F19" i="3"/>
  <c r="D19" i="3"/>
  <c r="J18" i="3"/>
  <c r="H18" i="3"/>
  <c r="F18" i="3"/>
  <c r="D18" i="3"/>
  <c r="C18" i="3" s="1"/>
  <c r="J17" i="3"/>
  <c r="H17" i="3"/>
  <c r="F17" i="3"/>
  <c r="D17" i="3"/>
  <c r="C17" i="3"/>
  <c r="J16" i="3"/>
  <c r="H16" i="3"/>
  <c r="F16" i="3"/>
  <c r="D16" i="3"/>
  <c r="C16" i="3" s="1"/>
  <c r="J15" i="3"/>
  <c r="H15" i="3"/>
  <c r="F15" i="3"/>
  <c r="C15" i="3" s="1"/>
  <c r="D15" i="3"/>
  <c r="J14" i="3"/>
  <c r="H14" i="3"/>
  <c r="F14" i="3"/>
  <c r="D14" i="3"/>
  <c r="C14" i="3" s="1"/>
  <c r="J13" i="3"/>
  <c r="H13" i="3"/>
  <c r="F13" i="3"/>
  <c r="D13" i="3"/>
  <c r="C13" i="3"/>
  <c r="J12" i="3"/>
  <c r="H12" i="3"/>
  <c r="F12" i="3"/>
  <c r="D12" i="3"/>
  <c r="J11" i="3"/>
  <c r="H11" i="3"/>
  <c r="F11" i="3"/>
  <c r="D11" i="3"/>
  <c r="C11" i="3" s="1"/>
  <c r="J10" i="3"/>
  <c r="H10" i="3"/>
  <c r="F10" i="3"/>
  <c r="D10" i="3"/>
  <c r="C10" i="3"/>
  <c r="J9" i="3"/>
  <c r="H9" i="3"/>
  <c r="F9" i="3"/>
  <c r="D9" i="3"/>
  <c r="J8" i="3"/>
  <c r="H8" i="3"/>
  <c r="F8" i="3"/>
  <c r="D8" i="3"/>
  <c r="C8" i="3" s="1"/>
  <c r="J7" i="3"/>
  <c r="H7" i="3"/>
  <c r="F7" i="3"/>
  <c r="D7" i="3"/>
  <c r="C7" i="3"/>
  <c r="J6" i="3"/>
  <c r="H6" i="3"/>
  <c r="F6" i="3"/>
  <c r="D6" i="3"/>
  <c r="C6" i="3"/>
  <c r="J5" i="3"/>
  <c r="H5" i="3"/>
  <c r="C5" i="3" s="1"/>
  <c r="F5" i="3"/>
  <c r="D5" i="3"/>
  <c r="J4" i="3"/>
  <c r="H4" i="3"/>
  <c r="F4" i="3"/>
  <c r="D4" i="3"/>
  <c r="C4" i="3" s="1"/>
  <c r="B3" i="3"/>
  <c r="C28" i="3" l="1"/>
  <c r="B18" i="3" s="1"/>
  <c r="C27" i="3"/>
  <c r="B15" i="3" s="1"/>
  <c r="B19" i="3" l="1"/>
  <c r="B11" i="3"/>
  <c r="B7" i="3"/>
  <c r="B10" i="3"/>
  <c r="B16" i="3"/>
  <c r="B8" i="3"/>
  <c r="B14" i="3"/>
  <c r="B5" i="3"/>
  <c r="B4" i="3"/>
  <c r="B6" i="3"/>
  <c r="B17" i="3"/>
  <c r="B12" i="3"/>
  <c r="B21" i="3"/>
  <c r="B13" i="3"/>
  <c r="B20" i="3"/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F4" i="2"/>
  <c r="F3" i="2"/>
  <c r="B16" i="2"/>
  <c r="C16" i="2"/>
  <c r="D16" i="2"/>
  <c r="E16" i="2"/>
  <c r="E5" i="2"/>
  <c r="D5" i="2"/>
  <c r="C5" i="2"/>
  <c r="B5" i="2"/>
  <c r="E12" i="2"/>
  <c r="D12" i="2"/>
  <c r="C12" i="2"/>
  <c r="B12" i="2"/>
  <c r="E13" i="2"/>
  <c r="D13" i="2"/>
  <c r="C13" i="2"/>
  <c r="B13" i="2"/>
  <c r="E24" i="2"/>
  <c r="D24" i="2"/>
  <c r="C24" i="2"/>
  <c r="B24" i="2"/>
  <c r="E10" i="2"/>
  <c r="D10" i="2"/>
  <c r="C10" i="2"/>
  <c r="B10" i="2"/>
  <c r="E25" i="2"/>
  <c r="D25" i="2"/>
  <c r="C25" i="2"/>
  <c r="B25" i="2"/>
  <c r="E22" i="2"/>
  <c r="D22" i="2"/>
  <c r="C22" i="2"/>
  <c r="B22" i="2"/>
  <c r="E4" i="2"/>
  <c r="D4" i="2"/>
  <c r="C4" i="2"/>
  <c r="B4" i="2"/>
  <c r="B19" i="2"/>
  <c r="C19" i="2"/>
  <c r="E21" i="2"/>
  <c r="D21" i="2"/>
  <c r="C21" i="2"/>
  <c r="B21" i="2"/>
  <c r="E14" i="2"/>
  <c r="D14" i="2"/>
  <c r="C14" i="2"/>
  <c r="B14" i="2"/>
  <c r="F29" i="2"/>
  <c r="C28" i="2"/>
  <c r="C29" i="2"/>
  <c r="E9" i="2"/>
  <c r="D9" i="2"/>
  <c r="C9" i="2"/>
  <c r="B9" i="2"/>
  <c r="B28" i="2"/>
  <c r="D3" i="2"/>
  <c r="C3" i="2"/>
  <c r="B3" i="2"/>
  <c r="B29" i="2"/>
  <c r="E29" i="2"/>
  <c r="E3" i="2"/>
  <c r="E28" i="2"/>
  <c r="E17" i="2"/>
  <c r="D17" i="2"/>
  <c r="C17" i="2"/>
  <c r="B17" i="2"/>
  <c r="E8" i="2"/>
  <c r="D8" i="2"/>
  <c r="C8" i="2"/>
  <c r="B8" i="2"/>
  <c r="E20" i="2"/>
  <c r="D20" i="2"/>
  <c r="C20" i="2"/>
  <c r="B20" i="2"/>
  <c r="E11" i="2"/>
  <c r="D11" i="2"/>
  <c r="C11" i="2"/>
  <c r="B11" i="2"/>
  <c r="E23" i="2"/>
  <c r="D23" i="2"/>
  <c r="C23" i="2"/>
  <c r="B23" i="2"/>
  <c r="E7" i="2"/>
  <c r="D7" i="2"/>
  <c r="C7" i="2"/>
  <c r="B7" i="2"/>
  <c r="E6" i="2"/>
  <c r="D6" i="2"/>
  <c r="C6" i="2"/>
  <c r="B6" i="2"/>
  <c r="E18" i="2"/>
  <c r="D18" i="2"/>
  <c r="C18" i="2"/>
  <c r="B18" i="2"/>
  <c r="E19" i="2"/>
  <c r="D19" i="2"/>
  <c r="F12" i="2"/>
  <c r="F28" i="2"/>
  <c r="E15" i="2"/>
  <c r="D15" i="2"/>
  <c r="C15" i="2"/>
  <c r="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</author>
  </authors>
  <commentList>
    <comment ref="E2" authorId="0" shapeId="0" xr:uid="{43632EBD-6BE6-4A6D-9444-FC69BD773EFE}">
      <text>
        <r>
          <rPr>
            <b/>
            <sz val="9"/>
            <color indexed="81"/>
            <rFont val="宋体"/>
            <family val="3"/>
            <charset val="134"/>
          </rPr>
          <t>Share of Brand Keywords in the Top 3 of Baidu Search Engine Results.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" authorId="0" shapeId="0" xr:uid="{66C2E068-3D30-416D-93EB-09752E2D22BF}">
      <text>
        <r>
          <rPr>
            <b/>
            <sz val="9"/>
            <color indexed="81"/>
            <rFont val="宋体"/>
            <family val="3"/>
            <charset val="134"/>
          </rPr>
          <t>Share of Product Keywords in the 1st page of Baidu Search Engine Results.</t>
        </r>
      </text>
    </comment>
    <comment ref="I2" authorId="0" shapeId="0" xr:uid="{9FDF7FD9-18C1-4516-A2E3-9AF135A49683}">
      <text>
        <r>
          <rPr>
            <b/>
            <sz val="9"/>
            <color indexed="81"/>
            <rFont val="宋体"/>
            <family val="3"/>
            <charset val="134"/>
          </rPr>
          <t>Share of Generic Keywords in the 1st page of Baidu Search Engine Results.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</author>
  </authors>
  <commentList>
    <comment ref="E2" authorId="0" shapeId="0" xr:uid="{6176358B-EBFE-465A-AD82-0B2429C3624D}">
      <text>
        <r>
          <rPr>
            <sz val="9"/>
            <color indexed="81"/>
            <rFont val="宋体"/>
            <family val="3"/>
            <charset val="134"/>
          </rPr>
          <t xml:space="preserve">Sum of brand and product keywords search volume in Baidu search engine.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C23" authorId="0" shapeId="0" xr:uid="{EE01E7C6-D606-430A-99D2-C5EE22AA46B5}">
      <text>
        <r>
          <rPr>
            <sz val="9"/>
            <rFont val="宋体"/>
            <family val="3"/>
            <charset val="134"/>
          </rPr>
          <t>personalization type:
1.Carve word
2.Choose packing box
3.Write greeting card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3" authorId="0" shapeId="0" xr:uid="{FF74C432-2193-4E06-93F6-129B5550ACED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G3" authorId="0" shapeId="0" xr:uid="{4FB0DBF2-7466-4E13-8904-C0DC78630881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I3" authorId="0" shapeId="0" xr:uid="{80AFA3B7-548D-4C28-9AD2-3F3510C6A36C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U3" authorId="0" shapeId="0" xr:uid="{D0BD048A-F9AB-48BE-AAA0-30AAECEB285F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W3" authorId="0" shapeId="0" xr:uid="{F0FB38CD-C4E8-4B2B-86CF-0BC1DF6FC34B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Y3" authorId="0" shapeId="0" xr:uid="{52441145-FB3A-4D60-B099-AB25D1489A7B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AA3" authorId="0" shapeId="0" xr:uid="{8E865ED2-49C3-44AB-905C-8893F4B8A82C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AC3" authorId="0" shapeId="0" xr:uid="{C2EED7AD-1E59-4BF6-AECC-1DE1D7F89FBF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AE3" authorId="0" shapeId="0" xr:uid="{2A075B61-0837-48C9-8DEE-C9801899FDAA}">
      <text>
        <r>
          <rPr>
            <sz val="9"/>
            <rFont val="宋体"/>
            <family val="3"/>
            <charset val="134"/>
          </rPr>
          <t xml:space="preserve">the times of various activities in the period
</t>
        </r>
      </text>
    </comment>
    <comment ref="AO3" authorId="0" shapeId="0" xr:uid="{92C29194-7237-420B-821D-A484126B12FE}">
      <text>
        <r>
          <rPr>
            <sz val="9"/>
            <rFont val="宋体"/>
            <family val="3"/>
            <charset val="134"/>
          </rPr>
          <t>the number of personalized function online</t>
        </r>
      </text>
    </comment>
  </commentList>
</comments>
</file>

<file path=xl/sharedStrings.xml><?xml version="1.0" encoding="utf-8"?>
<sst xmlns="http://schemas.openxmlformats.org/spreadsheetml/2006/main" count="1530" uniqueCount="276">
  <si>
    <t>Brands</t>
  </si>
  <si>
    <t>Website &amp; WeChat Index</t>
  </si>
  <si>
    <t>DCX Official Site Score calculation</t>
  </si>
  <si>
    <t>Website Index</t>
  </si>
  <si>
    <t>SEO Score</t>
  </si>
  <si>
    <t>Owned Website Score</t>
  </si>
  <si>
    <t>WeChat Index</t>
  </si>
  <si>
    <t>WeChat Feature Index</t>
  </si>
  <si>
    <t>EC score</t>
  </si>
  <si>
    <t>CRM score</t>
  </si>
  <si>
    <t>Engagement score</t>
  </si>
  <si>
    <t>Social score</t>
  </si>
  <si>
    <t>Service score</t>
  </si>
  <si>
    <t>WeChat EC Index</t>
  </si>
  <si>
    <t>GMV score</t>
  </si>
  <si>
    <t>UV score</t>
  </si>
  <si>
    <t>Basket size score</t>
  </si>
  <si>
    <t>Conversion rate score</t>
  </si>
  <si>
    <t>LANCÔME</t>
  </si>
  <si>
    <t>YVES SAINT LAURENT</t>
  </si>
  <si>
    <t>KIEHL'S</t>
  </si>
  <si>
    <t>L'OREAL PARIS ALL</t>
  </si>
  <si>
    <t>NA</t>
  </si>
  <si>
    <t>GIORGIO ARMANI</t>
  </si>
  <si>
    <t>MAYBELLINE</t>
  </si>
  <si>
    <t>3CE</t>
  </si>
  <si>
    <t>HELENA RUBINSTEIN</t>
  </si>
  <si>
    <t>YUE SAI</t>
  </si>
  <si>
    <t>SHU UEMURA</t>
  </si>
  <si>
    <t>BIOTHERM</t>
  </si>
  <si>
    <t>SAINT-GERVAIS MONT-BLANC</t>
  </si>
  <si>
    <t>SKINCEUTICALS</t>
  </si>
  <si>
    <t>VICHY</t>
  </si>
  <si>
    <t>KERASTASE</t>
  </si>
  <si>
    <t>LA ROCHE-POSAY</t>
  </si>
  <si>
    <t>MY BEAUTY BOX</t>
  </si>
  <si>
    <t>ATELIER COLOGNE</t>
  </si>
  <si>
    <t>L'OREAL PROFESSIONNEL</t>
  </si>
  <si>
    <t>CERAVE</t>
  </si>
  <si>
    <t>L'OREAL CHINA</t>
  </si>
  <si>
    <t>L'OREAL PARIS MEX</t>
  </si>
  <si>
    <t>MAGIC</t>
  </si>
  <si>
    <t>avg</t>
  </si>
  <si>
    <t>std deviation</t>
  </si>
  <si>
    <t xml:space="preserve"> </t>
  </si>
  <si>
    <t>i</t>
  </si>
  <si>
    <t>DCX
Owned Website Score</t>
  </si>
  <si>
    <t>Owned Website Calculation</t>
  </si>
  <si>
    <t xml:space="preserve">Page/Session
</t>
    <phoneticPr fontId="18" type="noConversion"/>
  </si>
  <si>
    <t xml:space="preserve">% PDP View
</t>
    <phoneticPr fontId="18" type="noConversion"/>
  </si>
  <si>
    <t>% Add to Cart/ % Checkout (EC)</t>
    <phoneticPr fontId="18" type="noConversion"/>
  </si>
  <si>
    <t>% E-retailer Click(Non-EC)</t>
    <phoneticPr fontId="18" type="noConversion"/>
  </si>
  <si>
    <t>Recommendation</t>
  </si>
  <si>
    <t>Best Practices</t>
  </si>
  <si>
    <t>n/a</t>
  </si>
  <si>
    <t>L'OREAL PARIS ALL</t>
    <phoneticPr fontId="22" type="noConversion"/>
  </si>
  <si>
    <t>CLARISONIC</t>
  </si>
  <si>
    <t>ROGER &amp; GALLET</t>
    <phoneticPr fontId="22" type="noConversion"/>
  </si>
  <si>
    <t>HOUSE 99</t>
  </si>
  <si>
    <t>SAINT-GERVAIS MONT-BLANC</t>
    <phoneticPr fontId="22" type="noConversion"/>
  </si>
  <si>
    <t>Excl. Media</t>
    <phoneticPr fontId="5" type="noConversion"/>
  </si>
  <si>
    <t>Page/ Session</t>
    <phoneticPr fontId="18" type="noConversion"/>
  </si>
  <si>
    <t>% PDP View</t>
    <phoneticPr fontId="18" type="noConversion"/>
  </si>
  <si>
    <t xml:space="preserve">% Add to Cart or Checkout </t>
    <phoneticPr fontId="18" type="noConversion"/>
  </si>
  <si>
    <t xml:space="preserve"> E-Conversion Rate</t>
    <phoneticPr fontId="18" type="noConversion"/>
  </si>
  <si>
    <t>Total Sessions</t>
    <phoneticPr fontId="5" type="noConversion"/>
  </si>
  <si>
    <t>Total pageviews</t>
    <phoneticPr fontId="5" type="noConversion"/>
  </si>
  <si>
    <t>PDP pageviews</t>
    <phoneticPr fontId="5" type="noConversion"/>
  </si>
  <si>
    <t>Add to cart sessions</t>
    <phoneticPr fontId="5" type="noConversion"/>
  </si>
  <si>
    <t>Checkout sessions</t>
    <phoneticPr fontId="5" type="noConversion"/>
  </si>
  <si>
    <t xml:space="preserve"> E-Conversion Rate</t>
    <phoneticPr fontId="5" type="noConversion"/>
  </si>
  <si>
    <t>Returning visitors%</t>
    <phoneticPr fontId="5" type="noConversion"/>
  </si>
  <si>
    <t>E-retailer Clicks</t>
    <phoneticPr fontId="5" type="noConversion"/>
  </si>
  <si>
    <t>NA</t>
    <phoneticPr fontId="5" type="noConversion"/>
  </si>
  <si>
    <t>BIOTHERM</t>
    <phoneticPr fontId="18" type="noConversion"/>
  </si>
  <si>
    <t>E-ratailer Rate</t>
    <phoneticPr fontId="18" type="noConversion"/>
  </si>
  <si>
    <t>SAINT-GERVAIS MONT-BLANC</t>
    <phoneticPr fontId="5" type="noConversion"/>
  </si>
  <si>
    <t>LA ROCHE-POSAY</t>
    <phoneticPr fontId="5" type="noConversion"/>
  </si>
  <si>
    <t>Brands</t>
    <phoneticPr fontId="18" type="noConversion"/>
  </si>
  <si>
    <t xml:space="preserve"> Search Performance Score Index</t>
    <phoneticPr fontId="18" type="noConversion"/>
  </si>
  <si>
    <t xml:space="preserve"> Search Performance Score</t>
    <phoneticPr fontId="18" type="noConversion"/>
  </si>
  <si>
    <t>Brand  Keywords Ranking Score 30%</t>
    <phoneticPr fontId="18" type="noConversion"/>
  </si>
  <si>
    <t>PC
7.5%</t>
    <phoneticPr fontId="18" type="noConversion"/>
  </si>
  <si>
    <t>MOB
22.5%</t>
    <phoneticPr fontId="18" type="noConversion"/>
  </si>
  <si>
    <t>Product Keywords Ranking Score 30%</t>
    <phoneticPr fontId="18" type="noConversion"/>
  </si>
  <si>
    <t>Generic Keywords Ranking Score 15%</t>
    <phoneticPr fontId="18" type="noConversion"/>
  </si>
  <si>
    <t>PC
3.75%</t>
    <phoneticPr fontId="18" type="noConversion"/>
  </si>
  <si>
    <t>MOB
11.25%</t>
    <phoneticPr fontId="18" type="noConversion"/>
  </si>
  <si>
    <t>Search Volume Score 15%</t>
    <phoneticPr fontId="18" type="noConversion"/>
  </si>
  <si>
    <t>Brand Zone
Score 10%</t>
    <phoneticPr fontId="18" type="noConversion"/>
  </si>
  <si>
    <t>LANCÔME</t>
    <phoneticPr fontId="5" type="noConversion"/>
  </si>
  <si>
    <t>YVES SAINT LAURENT</t>
    <phoneticPr fontId="5" type="noConversion"/>
  </si>
  <si>
    <t>GIORGIO ARMANI</t>
    <phoneticPr fontId="5" type="noConversion"/>
  </si>
  <si>
    <t>YUE SAI</t>
    <phoneticPr fontId="5" type="noConversion"/>
  </si>
  <si>
    <t>BIOTHERM</t>
    <phoneticPr fontId="5" type="noConversion"/>
  </si>
  <si>
    <t>KIEHL'S</t>
    <phoneticPr fontId="18" type="noConversion"/>
  </si>
  <si>
    <t>L'OREAL CHINA</t>
    <phoneticPr fontId="5" type="noConversion"/>
  </si>
  <si>
    <t>MAYBELLINE</t>
    <phoneticPr fontId="5" type="noConversion"/>
  </si>
  <si>
    <t>SHU UEMURA</t>
    <phoneticPr fontId="5" type="noConversion"/>
  </si>
  <si>
    <t>HELENA RUBINSTEIN</t>
    <phoneticPr fontId="5" type="noConversion"/>
  </si>
  <si>
    <t>SKINCEUTICALS</t>
    <phoneticPr fontId="5" type="noConversion"/>
  </si>
  <si>
    <t>CERAVE</t>
    <phoneticPr fontId="18" type="noConversion"/>
  </si>
  <si>
    <t>average</t>
  </si>
  <si>
    <t>standard deviation</t>
  </si>
  <si>
    <r>
      <rPr>
        <b/>
        <sz val="14"/>
        <color theme="1"/>
        <rFont val="Candara"/>
        <family val="2"/>
      </rPr>
      <t>Keywords Ranking Score</t>
    </r>
    <r>
      <rPr>
        <b/>
        <sz val="14"/>
        <color theme="1"/>
        <rFont val="宋体"/>
        <family val="3"/>
        <charset val="134"/>
      </rPr>
      <t>（</t>
    </r>
    <r>
      <rPr>
        <b/>
        <sz val="14"/>
        <color theme="1"/>
        <rFont val="Candara"/>
        <family val="2"/>
      </rPr>
      <t>75%</t>
    </r>
    <r>
      <rPr>
        <b/>
        <sz val="14"/>
        <color theme="1"/>
        <rFont val="宋体"/>
        <family val="3"/>
        <charset val="134"/>
      </rPr>
      <t>）</t>
    </r>
    <r>
      <rPr>
        <b/>
        <sz val="14"/>
        <color theme="1"/>
        <rFont val="Candara"/>
        <family val="2"/>
      </rPr>
      <t xml:space="preserve"> </t>
    </r>
    <r>
      <rPr>
        <sz val="10"/>
        <color theme="1"/>
        <rFont val="Candara"/>
        <family val="2"/>
      </rPr>
      <t xml:space="preserve">
Count Date:  2020 November</t>
    </r>
    <phoneticPr fontId="18" type="noConversion"/>
  </si>
  <si>
    <t>No</t>
    <phoneticPr fontId="18" type="noConversion"/>
  </si>
  <si>
    <t>Division</t>
    <phoneticPr fontId="18" type="noConversion"/>
  </si>
  <si>
    <t>Brand  Keywords</t>
    <phoneticPr fontId="18" type="noConversion"/>
  </si>
  <si>
    <t xml:space="preserve"> Product Keywords</t>
    <phoneticPr fontId="18" type="noConversion"/>
  </si>
  <si>
    <t>Generic Keywords</t>
    <phoneticPr fontId="18" type="noConversion"/>
  </si>
  <si>
    <t>PC 10%</t>
    <phoneticPr fontId="18" type="noConversion"/>
  </si>
  <si>
    <t>MOB 30%</t>
    <phoneticPr fontId="18" type="noConversion"/>
  </si>
  <si>
    <t>PC 5%</t>
    <phoneticPr fontId="18" type="noConversion"/>
  </si>
  <si>
    <t>MOB 15%</t>
    <phoneticPr fontId="18" type="noConversion"/>
  </si>
  <si>
    <t>CPD</t>
    <phoneticPr fontId="5" type="noConversion"/>
  </si>
  <si>
    <t>L'OREAL PARIS MEX</t>
    <phoneticPr fontId="5" type="noConversion"/>
  </si>
  <si>
    <t>N/A</t>
  </si>
  <si>
    <t>Keywords Ranking Score Definition:</t>
    <phoneticPr fontId="18" type="noConversion"/>
  </si>
  <si>
    <t>Scoring is based on the percentage of Keywords ranking in Top of Baidu Search Engine Results</t>
    <phoneticPr fontId="18" type="noConversion"/>
  </si>
  <si>
    <t>ULTRA DOUX</t>
    <phoneticPr fontId="5" type="noConversion"/>
  </si>
  <si>
    <t>Keywords Type</t>
    <phoneticPr fontId="18" type="noConversion"/>
  </si>
  <si>
    <t>Performance Dimension</t>
    <phoneticPr fontId="18" type="noConversion"/>
  </si>
  <si>
    <t>Device</t>
    <phoneticPr fontId="18" type="noConversion"/>
  </si>
  <si>
    <t>Score Weight</t>
    <phoneticPr fontId="18" type="noConversion"/>
  </si>
  <si>
    <t>Luxe</t>
    <phoneticPr fontId="5" type="noConversion"/>
  </si>
  <si>
    <t>Brand Keywords</t>
    <phoneticPr fontId="18" type="noConversion"/>
  </si>
  <si>
    <t>Top 3</t>
    <phoneticPr fontId="18" type="noConversion"/>
  </si>
  <si>
    <t>PC</t>
    <phoneticPr fontId="18" type="noConversion"/>
  </si>
  <si>
    <t>MOB</t>
    <phoneticPr fontId="18" type="noConversion"/>
  </si>
  <si>
    <t>KIEHL'S</t>
    <phoneticPr fontId="5" type="noConversion"/>
  </si>
  <si>
    <t>Product Keywords</t>
    <phoneticPr fontId="18" type="noConversion"/>
  </si>
  <si>
    <t>Top 10</t>
    <phoneticPr fontId="18" type="noConversion"/>
  </si>
  <si>
    <t>CLARISONIC</t>
    <phoneticPr fontId="5" type="noConversion"/>
  </si>
  <si>
    <t>ROGER &amp; GALLET</t>
  </si>
  <si>
    <t>ACD</t>
    <phoneticPr fontId="5" type="noConversion"/>
  </si>
  <si>
    <t>VICHY</t>
    <phoneticPr fontId="5" type="noConversion"/>
  </si>
  <si>
    <t>PPD</t>
    <phoneticPr fontId="5" type="noConversion"/>
  </si>
  <si>
    <t>KERASTASE</t>
    <phoneticPr fontId="5" type="noConversion"/>
  </si>
  <si>
    <t>L'OREAL PROFESSIONNEL</t>
    <phoneticPr fontId="5" type="noConversion"/>
  </si>
  <si>
    <t>CORP</t>
    <phoneticPr fontId="5" type="noConversion"/>
  </si>
  <si>
    <r>
      <rPr>
        <b/>
        <sz val="14"/>
        <color theme="1"/>
        <rFont val="Candara"/>
        <family val="2"/>
      </rPr>
      <t>Keywords Search Volume</t>
    </r>
    <r>
      <rPr>
        <b/>
        <sz val="14"/>
        <color theme="1"/>
        <rFont val="宋体"/>
        <family val="3"/>
        <charset val="134"/>
      </rPr>
      <t>（</t>
    </r>
    <r>
      <rPr>
        <b/>
        <sz val="14"/>
        <color theme="1"/>
        <rFont val="Candara"/>
        <family val="2"/>
      </rPr>
      <t>15%</t>
    </r>
    <r>
      <rPr>
        <b/>
        <sz val="14"/>
        <color theme="1"/>
        <rFont val="宋体"/>
        <family val="3"/>
        <charset val="134"/>
      </rPr>
      <t>）</t>
    </r>
    <r>
      <rPr>
        <b/>
        <sz val="14"/>
        <color theme="1"/>
        <rFont val="Candara"/>
        <family val="2"/>
      </rPr>
      <t xml:space="preserve"> </t>
    </r>
    <r>
      <rPr>
        <sz val="10"/>
        <color theme="1"/>
        <rFont val="Candara"/>
        <family val="2"/>
      </rPr>
      <t xml:space="preserve">
Count Date:  2020 November</t>
    </r>
    <phoneticPr fontId="18" type="noConversion"/>
  </si>
  <si>
    <t>Search Volume</t>
    <phoneticPr fontId="18" type="noConversion"/>
  </si>
  <si>
    <t xml:space="preserve">PC </t>
    <phoneticPr fontId="18" type="noConversion"/>
  </si>
  <si>
    <t>Total</t>
    <phoneticPr fontId="18" type="noConversion"/>
  </si>
  <si>
    <t>Score</t>
    <phoneticPr fontId="18" type="noConversion"/>
  </si>
  <si>
    <t>Keywords Search Volume Score Definition:</t>
    <phoneticPr fontId="18" type="noConversion"/>
  </si>
  <si>
    <r>
      <t>Scoring is based on the based on the brand and product keywords  monthly search volume data distribution range.</t>
    </r>
    <r>
      <rPr>
        <sz val="9"/>
        <color theme="1"/>
        <rFont val="宋体"/>
        <family val="3"/>
        <charset val="134"/>
      </rPr>
      <t>：</t>
    </r>
    <phoneticPr fontId="18" type="noConversion"/>
  </si>
  <si>
    <t>Search Volume  Range</t>
    <phoneticPr fontId="18" type="noConversion"/>
  </si>
  <si>
    <t>Score Range</t>
    <phoneticPr fontId="18" type="noConversion"/>
  </si>
  <si>
    <t>&gt;500,000</t>
  </si>
  <si>
    <t>200,000~500,000</t>
  </si>
  <si>
    <t>80~100</t>
  </si>
  <si>
    <t>50,000~200,000</t>
  </si>
  <si>
    <t>60~80</t>
  </si>
  <si>
    <t>0~50,000</t>
  </si>
  <si>
    <t>0~60</t>
  </si>
  <si>
    <r>
      <t xml:space="preserve">SEM Brand Zone Performance (10%)
</t>
    </r>
    <r>
      <rPr>
        <sz val="10"/>
        <color theme="1"/>
        <rFont val="Candara"/>
        <family val="2"/>
      </rPr>
      <t>Count Date:  2020 November</t>
    </r>
    <phoneticPr fontId="18" type="noConversion"/>
  </si>
  <si>
    <t>BrandZone</t>
    <phoneticPr fontId="18" type="noConversion"/>
  </si>
  <si>
    <t>Brand Zone</t>
    <phoneticPr fontId="18" type="noConversion"/>
  </si>
  <si>
    <t>yes</t>
    <phoneticPr fontId="18" type="noConversion"/>
  </si>
  <si>
    <t>Brand Zone Score Definition:</t>
    <phoneticPr fontId="18" type="noConversion"/>
  </si>
  <si>
    <t>no</t>
    <phoneticPr fontId="18" type="noConversion"/>
  </si>
  <si>
    <t>Scoring is based on if the brand has brand zone in Baidu Search Engine Results or not. (Brand Zone Score=PC + MOB)</t>
    <phoneticPr fontId="18" type="noConversion"/>
  </si>
  <si>
    <t>Hove Brand Zone or not</t>
    <phoneticPr fontId="18" type="noConversion"/>
  </si>
  <si>
    <t>DCX WeChat index
70%</t>
    <phoneticPr fontId="18" type="noConversion"/>
  </si>
  <si>
    <t>DCX WeChat calculation</t>
    <phoneticPr fontId="18" type="noConversion"/>
  </si>
  <si>
    <t>WeChat Feature Score index</t>
  </si>
  <si>
    <t>WeChat Feature index calculation</t>
  </si>
  <si>
    <t>Ecommerce score index</t>
  </si>
  <si>
    <t>CRM score index</t>
  </si>
  <si>
    <t>Engagement score index</t>
  </si>
  <si>
    <t>Social score index</t>
  </si>
  <si>
    <t>Service score index</t>
  </si>
  <si>
    <t>EC index</t>
  </si>
  <si>
    <t>EC index calculation</t>
  </si>
  <si>
    <t>GMV-score</t>
  </si>
  <si>
    <t>UV-score</t>
  </si>
  <si>
    <t>AUS-score</t>
  </si>
  <si>
    <t>Conversion Rate-score</t>
  </si>
  <si>
    <t>calculation-7%</t>
    <phoneticPr fontId="18" type="noConversion"/>
  </si>
  <si>
    <t>e-commerce</t>
  </si>
  <si>
    <t>exclusive product index</t>
  </si>
  <si>
    <t>gift card</t>
  </si>
  <si>
    <t>group buy</t>
  </si>
  <si>
    <t>membership binding</t>
  </si>
  <si>
    <t>points redeem</t>
  </si>
  <si>
    <t>points synchronization</t>
  </si>
  <si>
    <t>free sampling</t>
  </si>
  <si>
    <t>online tutorial</t>
  </si>
  <si>
    <t>live-stream</t>
  </si>
  <si>
    <t>loyalty incentive</t>
  </si>
  <si>
    <t>lucky draw</t>
  </si>
  <si>
    <t>calculation-14%</t>
    <phoneticPr fontId="18" type="noConversion"/>
  </si>
  <si>
    <t>social media</t>
  </si>
  <si>
    <t>social fission</t>
  </si>
  <si>
    <t>social group chat</t>
  </si>
  <si>
    <t>service booking</t>
  </si>
  <si>
    <t>I.B.A</t>
  </si>
  <si>
    <t>skin test</t>
  </si>
  <si>
    <t>virtual try-on</t>
  </si>
  <si>
    <t>personalization</t>
  </si>
  <si>
    <t>value</t>
    <phoneticPr fontId="18" type="noConversion"/>
  </si>
  <si>
    <t>L'OREAL PARIS HAIR</t>
  </si>
  <si>
    <t>brand</t>
  </si>
  <si>
    <t>2020 October</t>
    <phoneticPr fontId="18" type="noConversion"/>
  </si>
  <si>
    <t>GMV</t>
  </si>
  <si>
    <t>Average basket size
(exclude trails)</t>
  </si>
  <si>
    <t>UV</t>
  </si>
  <si>
    <t>Conversion rate</t>
  </si>
  <si>
    <t>L'OREAL PARIS</t>
  </si>
  <si>
    <t>Ecommerce</t>
  </si>
  <si>
    <t>CRM</t>
  </si>
  <si>
    <t>Engagement</t>
  </si>
  <si>
    <t>Social</t>
  </si>
  <si>
    <t>Services</t>
  </si>
  <si>
    <t>TTL features</t>
  </si>
  <si>
    <t>Exclusive 
Product</t>
  </si>
  <si>
    <t>Gift 
Card</t>
  </si>
  <si>
    <t>Group 
Buy</t>
  </si>
  <si>
    <t xml:space="preserve">Membership Binding </t>
  </si>
  <si>
    <t>Point 
Redemption</t>
  </si>
  <si>
    <t>Points Synchronization</t>
  </si>
  <si>
    <t>Free 
Sampling</t>
  </si>
  <si>
    <t>Online Tutorial</t>
  </si>
  <si>
    <t>Live-stream</t>
  </si>
  <si>
    <t>Loyalty Incentive</t>
  </si>
  <si>
    <t>Lucky
Draw</t>
  </si>
  <si>
    <t>Social Media Sharing</t>
  </si>
  <si>
    <t>Social Fission
Gaming</t>
  </si>
  <si>
    <t>Social 
Group Chat</t>
  </si>
  <si>
    <t>Service Booking</t>
  </si>
  <si>
    <t>I.BA</t>
  </si>
  <si>
    <t>Skin 
Test</t>
  </si>
  <si>
    <t>Virtual
Try-on</t>
  </si>
  <si>
    <t>Personalization</t>
  </si>
  <si>
    <t>LD</t>
  </si>
  <si>
    <t>CPD</t>
  </si>
  <si>
    <t>ACD</t>
  </si>
  <si>
    <t>PPD</t>
  </si>
  <si>
    <t>TTL</t>
  </si>
  <si>
    <t>score</t>
  </si>
  <si>
    <t>yes/no</t>
  </si>
  <si>
    <t>frequency</t>
  </si>
  <si>
    <t>汇总</t>
  </si>
  <si>
    <t>E-boutique</t>
  </si>
  <si>
    <t>Point 
Redeemption</t>
  </si>
  <si>
    <t>Socisl Group Chat</t>
  </si>
  <si>
    <t>截至上一月</t>
  </si>
  <si>
    <t>20年-Ian</t>
  </si>
  <si>
    <t>本月</t>
  </si>
  <si>
    <t>20年-Feb</t>
  </si>
  <si>
    <r>
      <rPr>
        <b/>
        <sz val="8"/>
        <color rgb="FF000000"/>
        <rFont val="Century Gothic"/>
        <family val="2"/>
      </rPr>
      <t>Membership</t>
    </r>
    <r>
      <rPr>
        <b/>
        <sz val="9"/>
        <color rgb="FF000000"/>
        <rFont val="Century Gothic"/>
        <family val="2"/>
      </rPr>
      <t xml:space="preserve"> Binding </t>
    </r>
  </si>
  <si>
    <r>
      <rPr>
        <b/>
        <sz val="9"/>
        <color rgb="FF000000"/>
        <rFont val="Century Gothic"/>
        <family val="2"/>
      </rPr>
      <t xml:space="preserve">Loyalty </t>
    </r>
    <r>
      <rPr>
        <b/>
        <sz val="8"/>
        <color rgb="FF000000"/>
        <rFont val="Century Gothic"/>
        <family val="2"/>
      </rPr>
      <t>Incentive</t>
    </r>
  </si>
  <si>
    <t>20年-Mar</t>
  </si>
  <si>
    <t>20年-Apr</t>
  </si>
  <si>
    <t>20年-May</t>
  </si>
  <si>
    <t>20年-June</t>
    <phoneticPr fontId="18" type="noConversion"/>
  </si>
  <si>
    <t>本月</t>
    <phoneticPr fontId="18" type="noConversion"/>
  </si>
  <si>
    <t>20年-July</t>
    <phoneticPr fontId="18" type="noConversion"/>
  </si>
  <si>
    <t>20年-August</t>
    <phoneticPr fontId="18" type="noConversion"/>
  </si>
  <si>
    <t>20年-September</t>
    <phoneticPr fontId="18" type="noConversion"/>
  </si>
  <si>
    <t>20年-October</t>
    <phoneticPr fontId="18" type="noConversion"/>
  </si>
  <si>
    <t>Feature Calculation Rules</t>
  </si>
  <si>
    <t>Features</t>
  </si>
  <si>
    <t>Related to frequency(n)</t>
  </si>
  <si>
    <t>Score</t>
  </si>
  <si>
    <t>n=0</t>
  </si>
  <si>
    <t>n=1</t>
  </si>
  <si>
    <t>n&gt;1</t>
  </si>
  <si>
    <t xml:space="preserve">EC score
</t>
  </si>
  <si>
    <t>no</t>
  </si>
  <si>
    <t>yes</t>
  </si>
  <si>
    <t>100+50n</t>
  </si>
  <si>
    <t xml:space="preserve">Social score
</t>
  </si>
  <si>
    <t xml:space="preserve">Service score
</t>
  </si>
  <si>
    <t xml:space="preserve">规则制定备注说明：
1、指标分为两类，一类与功能相关的，不用考虑频次（eg. membership binding，relevance=no），另一类是与活动相关，需要考虑频次;
2、活动频次frequency，如活动举办一次（n=1），活动举办两次（n=2），活动举办次数越多得分越高；若当月该项活动并未举办，则得分0，若当月活动举办一次，则得分100，活动举办次数每超过1次，总计得分加50；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</si>
</sst>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76" formatCode="[$€-2]\ #,##0.00;[Red]\-[$€-2]\ #,##0.00"/>
    <numFmt numFmtId="177" formatCode="[$€-2]\ #,##0;[Red]\-[$€-2]\ #,##0"/>
    <numFmt numFmtId="178" formatCode="_(* #,##0_);_(* \(#,##0\);_(* &quot;-&quot;??_);_(@_)"/>
    <numFmt numFmtId="179" formatCode="0_);[Red]\(0\)"/>
    <numFmt numFmtId="180" formatCode="0.00_);[Red]\(0.00\)"/>
    <numFmt numFmtId="181" formatCode="0.0%"/>
    <numFmt numFmtId="182" formatCode="[$-F400]h:mm:ss\ AM/PM"/>
    <numFmt numFmtId="183" formatCode="0.00_ "/>
    <numFmt numFmtId="184" formatCode="#,##0_ "/>
    <numFmt numFmtId="185" formatCode="#,##0.00_ "/>
    <numFmt numFmtId="186" formatCode="0.0_);[Red]\(0.0\)"/>
    <numFmt numFmtId="187" formatCode="0_ "/>
    <numFmt numFmtId="188" formatCode="#,##0_);[Red]\(#,##0\)"/>
  </numFmts>
  <fonts count="7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color theme="0"/>
      <name val="Century Gothic"/>
      <family val="2"/>
    </font>
    <font>
      <sz val="9"/>
      <name val="等线"/>
      <family val="2"/>
      <charset val="134"/>
      <scheme val="minor"/>
    </font>
    <font>
      <sz val="14"/>
      <name val="Century Gothic"/>
      <family val="2"/>
    </font>
    <font>
      <sz val="14"/>
      <color theme="1"/>
      <name val="Century Gothic"/>
      <family val="2"/>
    </font>
    <font>
      <b/>
      <sz val="14"/>
      <color theme="0"/>
      <name val="Century Gothic"/>
      <family val="2"/>
    </font>
    <font>
      <sz val="14"/>
      <color rgb="FF000000"/>
      <name val="Century Gothic"/>
      <family val="2"/>
    </font>
    <font>
      <sz val="12"/>
      <color theme="1"/>
      <name val="Century Gothic"/>
      <family val="2"/>
    </font>
    <font>
      <sz val="14"/>
      <color theme="1"/>
      <name val="等线"/>
      <family val="3"/>
      <charset val="134"/>
      <scheme val="minor"/>
    </font>
    <font>
      <b/>
      <sz val="14"/>
      <color theme="1"/>
      <name val="Century Gothic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sz val="9"/>
      <name val="等线"/>
      <family val="3"/>
      <charset val="134"/>
      <scheme val="minor"/>
    </font>
    <font>
      <b/>
      <sz val="10"/>
      <color rgb="FF000000"/>
      <name val="Calibri"/>
      <family val="2"/>
    </font>
    <font>
      <sz val="9"/>
      <color rgb="FFC00000"/>
      <name val="Century Gothic"/>
      <family val="2"/>
    </font>
    <font>
      <b/>
      <sz val="10"/>
      <name val="Calibri"/>
      <family val="2"/>
    </font>
    <font>
      <sz val="9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color theme="0"/>
      <name val="Candara"/>
      <family val="2"/>
    </font>
    <font>
      <b/>
      <sz val="12"/>
      <color theme="0"/>
      <name val="Century Gothic"/>
      <family val="2"/>
    </font>
    <font>
      <b/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微软雅黑"/>
      <family val="2"/>
      <charset val="134"/>
    </font>
    <font>
      <sz val="10"/>
      <color theme="1"/>
      <name val="Candara"/>
      <family val="2"/>
    </font>
    <font>
      <b/>
      <sz val="14"/>
      <color theme="1"/>
      <name val="Candara"/>
      <family val="2"/>
    </font>
    <font>
      <b/>
      <sz val="14"/>
      <color theme="1"/>
      <name val="宋体"/>
      <family val="3"/>
      <charset val="134"/>
    </font>
    <font>
      <b/>
      <sz val="11"/>
      <color theme="0"/>
      <name val="Candara"/>
      <family val="2"/>
    </font>
    <font>
      <sz val="11"/>
      <color theme="1"/>
      <name val="Candara"/>
      <family val="2"/>
    </font>
    <font>
      <b/>
      <sz val="10"/>
      <color theme="0"/>
      <name val="Candara"/>
      <family val="2"/>
    </font>
    <font>
      <b/>
      <sz val="10"/>
      <color theme="1"/>
      <name val="Candara"/>
      <family val="2"/>
    </font>
    <font>
      <b/>
      <sz val="10"/>
      <name val="Candara"/>
      <family val="2"/>
    </font>
    <font>
      <sz val="10"/>
      <name val="Candara"/>
      <family val="2"/>
    </font>
    <font>
      <b/>
      <sz val="9"/>
      <color theme="1"/>
      <name val="Candara"/>
      <family val="2"/>
    </font>
    <font>
      <sz val="9"/>
      <color theme="1"/>
      <name val="Candar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theme="0"/>
      <name val="Century Gothic"/>
      <family val="2"/>
    </font>
    <font>
      <sz val="11"/>
      <color rgb="FF000000"/>
      <name val="Century Gothic"/>
      <family val="2"/>
    </font>
    <font>
      <sz val="11"/>
      <color theme="1"/>
      <name val="等线"/>
      <family val="3"/>
      <charset val="134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1"/>
      <color rgb="FF000000"/>
      <name val="Century Gothic"/>
      <family val="2"/>
    </font>
    <font>
      <b/>
      <sz val="11"/>
      <color rgb="FFFFFFFF"/>
      <name val="Century Gothic"/>
      <family val="2"/>
    </font>
    <font>
      <b/>
      <sz val="9"/>
      <color rgb="FF000000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b/>
      <sz val="10"/>
      <color rgb="FF000000"/>
      <name val="Century Gothic"/>
      <family val="2"/>
    </font>
    <font>
      <sz val="9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b/>
      <sz val="8"/>
      <color rgb="FFFFFFFF"/>
      <name val="Century Gothic"/>
      <family val="2"/>
    </font>
    <font>
      <sz val="9"/>
      <color theme="1"/>
      <name val="Century Gothic"/>
      <family val="2"/>
    </font>
    <font>
      <sz val="10"/>
      <color rgb="FF000000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sz val="8"/>
      <name val="等线"/>
      <family val="3"/>
      <charset val="134"/>
      <scheme val="minor"/>
    </font>
    <font>
      <sz val="9"/>
      <name val="Century Gothic"/>
      <family val="2"/>
    </font>
    <font>
      <b/>
      <sz val="9"/>
      <color theme="1"/>
      <name val="Century Gothic"/>
      <family val="2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EEBE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Dashed">
        <color rgb="FFC00000"/>
      </left>
      <right style="thin">
        <color indexed="64"/>
      </right>
      <top style="mediumDashed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C00000"/>
      </top>
      <bottom style="thin">
        <color indexed="64"/>
      </bottom>
      <diagonal/>
    </border>
    <border>
      <left style="thin">
        <color indexed="64"/>
      </left>
      <right style="mediumDashed">
        <color rgb="FFC00000"/>
      </right>
      <top style="mediumDashed">
        <color rgb="FFC00000"/>
      </top>
      <bottom style="thin">
        <color indexed="64"/>
      </bottom>
      <diagonal/>
    </border>
    <border>
      <left style="mediumDashed">
        <color rgb="FFC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thin">
        <color indexed="64"/>
      </bottom>
      <diagonal/>
    </border>
    <border>
      <left style="mediumDashed">
        <color rgb="FFC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mediumDashed">
        <color rgb="FFC0000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/>
    <xf numFmtId="43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  <xf numFmtId="182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/>
    <xf numFmtId="0" fontId="56" fillId="0" borderId="0"/>
    <xf numFmtId="9" fontId="56" fillId="0" borderId="0" applyFont="0" applyFill="0" applyBorder="0" applyAlignment="0" applyProtection="0">
      <alignment vertical="center"/>
    </xf>
    <xf numFmtId="177" fontId="56" fillId="0" borderId="0"/>
    <xf numFmtId="43" fontId="56" fillId="0" borderId="0" applyFont="0" applyFill="0" applyBorder="0" applyAlignment="0" applyProtection="0">
      <alignment vertical="center"/>
    </xf>
    <xf numFmtId="182" fontId="56" fillId="0" borderId="0"/>
  </cellStyleXfs>
  <cellXfs count="620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7" borderId="0" xfId="0" applyFont="1" applyFill="1" applyAlignment="1">
      <alignment horizontal="center" vertical="center" wrapText="1"/>
    </xf>
    <xf numFmtId="9" fontId="4" fillId="2" borderId="2" xfId="2" applyFont="1" applyFill="1" applyBorder="1" applyAlignment="1">
      <alignment horizontal="center" vertical="center" wrapText="1"/>
    </xf>
    <xf numFmtId="9" fontId="6" fillId="3" borderId="3" xfId="2" applyFont="1" applyFill="1" applyBorder="1" applyAlignment="1">
      <alignment horizontal="center" vertical="center" wrapText="1"/>
    </xf>
    <xf numFmtId="9" fontId="6" fillId="3" borderId="4" xfId="2" applyFont="1" applyFill="1" applyBorder="1" applyAlignment="1">
      <alignment horizontal="center" vertical="center" wrapText="1"/>
    </xf>
    <xf numFmtId="9" fontId="8" fillId="4" borderId="5" xfId="2" applyFont="1" applyFill="1" applyBorder="1" applyAlignment="1">
      <alignment horizontal="center" vertical="center" wrapText="1"/>
    </xf>
    <xf numFmtId="9" fontId="4" fillId="5" borderId="6" xfId="2" applyFont="1" applyFill="1" applyBorder="1" applyAlignment="1">
      <alignment horizontal="center" vertical="center" wrapText="1"/>
    </xf>
    <xf numFmtId="9" fontId="7" fillId="6" borderId="6" xfId="2" applyFont="1" applyFill="1" applyBorder="1" applyAlignment="1">
      <alignment horizontal="center" vertical="center" wrapText="1"/>
    </xf>
    <xf numFmtId="9" fontId="8" fillId="4" borderId="6" xfId="2" applyFont="1" applyFill="1" applyBorder="1" applyAlignment="1">
      <alignment horizontal="center" vertical="center" wrapText="1"/>
    </xf>
    <xf numFmtId="9" fontId="7" fillId="7" borderId="6" xfId="2" applyFont="1" applyFill="1" applyBorder="1" applyAlignment="1">
      <alignment horizontal="center" vertical="center" wrapText="1"/>
    </xf>
    <xf numFmtId="9" fontId="7" fillId="7" borderId="5" xfId="2" applyFont="1" applyFill="1" applyBorder="1" applyAlignment="1">
      <alignment horizontal="center" vertical="center" wrapText="1"/>
    </xf>
    <xf numFmtId="9" fontId="7" fillId="7" borderId="8" xfId="2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176" fontId="9" fillId="8" borderId="9" xfId="0" applyNumberFormat="1" applyFont="1" applyFill="1" applyBorder="1" applyAlignment="1">
      <alignment horizontal="center" vertical="center" wrapText="1"/>
    </xf>
    <xf numFmtId="1" fontId="9" fillId="9" borderId="9" xfId="0" applyNumberFormat="1" applyFont="1" applyFill="1" applyBorder="1" applyAlignment="1">
      <alignment horizontal="center" vertical="center" wrapText="1"/>
    </xf>
    <xf numFmtId="2" fontId="9" fillId="9" borderId="9" xfId="0" applyNumberFormat="1" applyFont="1" applyFill="1" applyBorder="1" applyAlignment="1">
      <alignment horizontal="center" vertical="center" wrapText="1"/>
    </xf>
    <xf numFmtId="1" fontId="10" fillId="7" borderId="6" xfId="0" applyNumberFormat="1" applyFont="1" applyFill="1" applyBorder="1" applyAlignment="1">
      <alignment horizontal="center" vertical="center" wrapText="1"/>
    </xf>
    <xf numFmtId="1" fontId="9" fillId="9" borderId="6" xfId="0" applyNumberFormat="1" applyFont="1" applyFill="1" applyBorder="1" applyAlignment="1">
      <alignment horizontal="center" vertical="center" wrapText="1"/>
    </xf>
    <xf numFmtId="1" fontId="10" fillId="7" borderId="8" xfId="0" applyNumberFormat="1" applyFont="1" applyFill="1" applyBorder="1" applyAlignment="1">
      <alignment horizontal="center" vertical="center" wrapText="1"/>
    </xf>
    <xf numFmtId="176" fontId="9" fillId="8" borderId="5" xfId="0" applyNumberFormat="1" applyFont="1" applyFill="1" applyBorder="1" applyAlignment="1">
      <alignment horizontal="center" vertical="center" wrapText="1"/>
    </xf>
    <xf numFmtId="176" fontId="9" fillId="8" borderId="6" xfId="0" applyNumberFormat="1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9" fontId="11" fillId="7" borderId="0" xfId="2" applyFont="1" applyFill="1" applyAlignment="1">
      <alignment horizontal="center" vertical="center" wrapText="1"/>
    </xf>
    <xf numFmtId="9" fontId="11" fillId="7" borderId="0" xfId="2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43" fontId="7" fillId="7" borderId="0" xfId="1" applyFont="1" applyFill="1" applyAlignment="1">
      <alignment horizontal="center" vertical="center"/>
    </xf>
    <xf numFmtId="43" fontId="7" fillId="7" borderId="0" xfId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76" fontId="7" fillId="7" borderId="0" xfId="0" applyNumberFormat="1" applyFont="1" applyFill="1" applyAlignment="1">
      <alignment horizontal="center" vertical="center"/>
    </xf>
    <xf numFmtId="177" fontId="13" fillId="10" borderId="0" xfId="0" applyNumberFormat="1" applyFont="1" applyFill="1" applyAlignment="1">
      <alignment horizontal="center" vertical="center"/>
    </xf>
    <xf numFmtId="177" fontId="13" fillId="9" borderId="0" xfId="0" applyNumberFormat="1" applyFont="1" applyFill="1">
      <alignment vertical="center"/>
    </xf>
    <xf numFmtId="0" fontId="15" fillId="7" borderId="0" xfId="0" applyFont="1" applyFill="1">
      <alignment vertical="center"/>
    </xf>
    <xf numFmtId="177" fontId="16" fillId="12" borderId="11" xfId="0" applyNumberFormat="1" applyFont="1" applyFill="1" applyBorder="1" applyAlignment="1">
      <alignment horizontal="center" vertical="center" wrapText="1"/>
    </xf>
    <xf numFmtId="177" fontId="16" fillId="12" borderId="12" xfId="0" applyNumberFormat="1" applyFont="1" applyFill="1" applyBorder="1" applyAlignment="1">
      <alignment horizontal="center" vertical="center" wrapText="1"/>
    </xf>
    <xf numFmtId="177" fontId="17" fillId="13" borderId="12" xfId="0" applyNumberFormat="1" applyFont="1" applyFill="1" applyBorder="1" applyAlignment="1">
      <alignment horizontal="center" vertical="center" wrapText="1"/>
    </xf>
    <xf numFmtId="177" fontId="17" fillId="14" borderId="12" xfId="0" applyNumberFormat="1" applyFont="1" applyFill="1" applyBorder="1" applyAlignment="1">
      <alignment horizontal="center" vertical="center" wrapText="1"/>
    </xf>
    <xf numFmtId="177" fontId="17" fillId="15" borderId="12" xfId="0" applyNumberFormat="1" applyFont="1" applyFill="1" applyBorder="1" applyAlignment="1">
      <alignment horizontal="center" vertical="center" wrapText="1"/>
    </xf>
    <xf numFmtId="177" fontId="17" fillId="15" borderId="13" xfId="0" applyNumberFormat="1" applyFont="1" applyFill="1" applyBorder="1" applyAlignment="1">
      <alignment horizontal="center" vertical="center" wrapText="1"/>
    </xf>
    <xf numFmtId="9" fontId="16" fillId="12" borderId="16" xfId="3" applyFont="1" applyFill="1" applyBorder="1" applyAlignment="1">
      <alignment horizontal="center" vertical="center" wrapText="1"/>
    </xf>
    <xf numFmtId="9" fontId="16" fillId="12" borderId="6" xfId="3" applyFont="1" applyFill="1" applyBorder="1" applyAlignment="1">
      <alignment horizontal="center" vertical="center" wrapText="1"/>
    </xf>
    <xf numFmtId="9" fontId="17" fillId="13" borderId="6" xfId="3" applyFont="1" applyFill="1" applyBorder="1" applyAlignment="1">
      <alignment horizontal="center" vertical="center" wrapText="1"/>
    </xf>
    <xf numFmtId="9" fontId="17" fillId="14" borderId="6" xfId="3" applyFont="1" applyFill="1" applyBorder="1" applyAlignment="1">
      <alignment horizontal="center" vertical="center" wrapText="1"/>
    </xf>
    <xf numFmtId="9" fontId="17" fillId="15" borderId="6" xfId="3" applyFont="1" applyFill="1" applyBorder="1" applyAlignment="1">
      <alignment horizontal="center" vertical="center" wrapText="1"/>
    </xf>
    <xf numFmtId="9" fontId="17" fillId="15" borderId="17" xfId="3" applyFont="1" applyFill="1" applyBorder="1" applyAlignment="1">
      <alignment horizontal="center" vertical="center" wrapText="1"/>
    </xf>
    <xf numFmtId="177" fontId="20" fillId="7" borderId="6" xfId="4" applyFont="1" applyFill="1" applyBorder="1" applyAlignment="1">
      <alignment horizontal="center" vertical="center" readingOrder="1"/>
    </xf>
    <xf numFmtId="178" fontId="13" fillId="9" borderId="16" xfId="5" applyNumberFormat="1" applyFont="1" applyFill="1" applyBorder="1" applyAlignment="1">
      <alignment horizontal="center" vertical="center" wrapText="1" readingOrder="1"/>
    </xf>
    <xf numFmtId="179" fontId="17" fillId="0" borderId="6" xfId="3" applyNumberFormat="1" applyFont="1" applyBorder="1" applyAlignment="1">
      <alignment horizontal="center" vertical="center" wrapText="1" readingOrder="1"/>
    </xf>
    <xf numFmtId="180" fontId="21" fillId="17" borderId="6" xfId="0" applyNumberFormat="1" applyFont="1" applyFill="1" applyBorder="1" applyAlignment="1">
      <alignment horizontal="center" vertical="center"/>
    </xf>
    <xf numFmtId="9" fontId="21" fillId="17" borderId="6" xfId="3" applyFont="1" applyFill="1" applyBorder="1" applyAlignment="1">
      <alignment horizontal="center" vertical="center"/>
    </xf>
    <xf numFmtId="179" fontId="17" fillId="0" borderId="6" xfId="3" applyNumberFormat="1" applyFont="1" applyFill="1" applyBorder="1" applyAlignment="1">
      <alignment horizontal="center" vertical="center" wrapText="1" readingOrder="1"/>
    </xf>
    <xf numFmtId="10" fontId="21" fillId="17" borderId="17" xfId="3" applyNumberFormat="1" applyFont="1" applyFill="1" applyBorder="1" applyAlignment="1">
      <alignment horizontal="center" vertical="center"/>
    </xf>
    <xf numFmtId="177" fontId="13" fillId="9" borderId="8" xfId="0" applyNumberFormat="1" applyFont="1" applyFill="1" applyBorder="1" applyAlignment="1">
      <alignment horizontal="left" vertical="center" wrapText="1"/>
    </xf>
    <xf numFmtId="177" fontId="13" fillId="9" borderId="6" xfId="0" applyNumberFormat="1" applyFont="1" applyFill="1" applyBorder="1" applyAlignment="1">
      <alignment horizontal="left" vertical="center" wrapText="1"/>
    </xf>
    <xf numFmtId="181" fontId="15" fillId="7" borderId="0" xfId="6" applyNumberFormat="1" applyFont="1" applyFill="1" applyBorder="1">
      <alignment vertical="center"/>
    </xf>
    <xf numFmtId="177" fontId="22" fillId="7" borderId="6" xfId="4" applyFont="1" applyFill="1" applyBorder="1" applyAlignment="1">
      <alignment horizontal="center" vertical="center" readingOrder="1"/>
    </xf>
    <xf numFmtId="177" fontId="19" fillId="9" borderId="8" xfId="0" applyNumberFormat="1" applyFont="1" applyFill="1" applyBorder="1" applyAlignment="1">
      <alignment horizontal="left" vertical="center" wrapText="1"/>
    </xf>
    <xf numFmtId="9" fontId="17" fillId="9" borderId="8" xfId="3" applyFont="1" applyFill="1" applyBorder="1" applyAlignment="1">
      <alignment horizontal="center" vertical="center" wrapText="1" readingOrder="1"/>
    </xf>
    <xf numFmtId="9" fontId="17" fillId="9" borderId="6" xfId="3" applyFont="1" applyFill="1" applyBorder="1" applyAlignment="1">
      <alignment horizontal="center" vertical="center" wrapText="1" readingOrder="1"/>
    </xf>
    <xf numFmtId="9" fontId="17" fillId="17" borderId="16" xfId="3" applyFont="1" applyFill="1" applyBorder="1" applyAlignment="1">
      <alignment horizontal="center" vertical="center" wrapText="1" readingOrder="1"/>
    </xf>
    <xf numFmtId="9" fontId="17" fillId="17" borderId="17" xfId="3" applyFont="1" applyFill="1" applyBorder="1" applyAlignment="1">
      <alignment horizontal="center" vertical="center" wrapText="1" readingOrder="1"/>
    </xf>
    <xf numFmtId="9" fontId="17" fillId="17" borderId="8" xfId="3" applyFont="1" applyFill="1" applyBorder="1" applyAlignment="1">
      <alignment horizontal="center" vertical="center" wrapText="1" readingOrder="1"/>
    </xf>
    <xf numFmtId="9" fontId="17" fillId="17" borderId="6" xfId="3" applyFont="1" applyFill="1" applyBorder="1" applyAlignment="1">
      <alignment horizontal="center" vertical="center" wrapText="1" readingOrder="1"/>
    </xf>
    <xf numFmtId="177" fontId="22" fillId="18" borderId="6" xfId="4" applyFont="1" applyFill="1" applyBorder="1" applyAlignment="1">
      <alignment horizontal="center" vertical="center" readingOrder="1"/>
    </xf>
    <xf numFmtId="178" fontId="13" fillId="19" borderId="16" xfId="5" applyNumberFormat="1" applyFont="1" applyFill="1" applyBorder="1" applyAlignment="1">
      <alignment horizontal="center" vertical="center" wrapText="1" readingOrder="1"/>
    </xf>
    <xf numFmtId="177" fontId="20" fillId="18" borderId="6" xfId="4" applyFont="1" applyFill="1" applyBorder="1" applyAlignment="1">
      <alignment horizontal="center" vertical="center" readingOrder="1"/>
    </xf>
    <xf numFmtId="179" fontId="17" fillId="17" borderId="6" xfId="3" applyNumberFormat="1" applyFont="1" applyFill="1" applyBorder="1" applyAlignment="1">
      <alignment horizontal="center" vertical="center" wrapText="1" readingOrder="1"/>
    </xf>
    <xf numFmtId="9" fontId="17" fillId="17" borderId="20" xfId="3" applyFont="1" applyFill="1" applyBorder="1" applyAlignment="1">
      <alignment horizontal="center" vertical="center" wrapText="1" readingOrder="1"/>
    </xf>
    <xf numFmtId="9" fontId="17" fillId="17" borderId="21" xfId="3" applyFont="1" applyFill="1" applyBorder="1" applyAlignment="1">
      <alignment horizontal="center" vertical="center" wrapText="1" readingOrder="1"/>
    </xf>
    <xf numFmtId="179" fontId="17" fillId="17" borderId="21" xfId="3" applyNumberFormat="1" applyFont="1" applyFill="1" applyBorder="1" applyAlignment="1">
      <alignment horizontal="center" vertical="center" wrapText="1" readingOrder="1"/>
    </xf>
    <xf numFmtId="9" fontId="17" fillId="17" borderId="22" xfId="3" applyFont="1" applyFill="1" applyBorder="1" applyAlignment="1">
      <alignment horizontal="center" vertical="center" wrapText="1" readingOrder="1"/>
    </xf>
    <xf numFmtId="0" fontId="23" fillId="7" borderId="0" xfId="0" applyFont="1" applyFill="1" applyAlignment="1">
      <alignment horizontal="center" vertical="center"/>
    </xf>
    <xf numFmtId="179" fontId="15" fillId="7" borderId="0" xfId="0" applyNumberFormat="1" applyFont="1" applyFill="1" applyAlignment="1">
      <alignment horizontal="center" vertical="center"/>
    </xf>
    <xf numFmtId="179" fontId="15" fillId="7" borderId="0" xfId="3" applyNumberFormat="1" applyFont="1" applyFill="1" applyAlignment="1">
      <alignment horizontal="center" vertical="center"/>
    </xf>
    <xf numFmtId="177" fontId="22" fillId="7" borderId="0" xfId="4" applyFont="1" applyFill="1" applyAlignment="1">
      <alignment horizontal="center" vertical="center" readingOrder="1"/>
    </xf>
    <xf numFmtId="177" fontId="24" fillId="7" borderId="0" xfId="4" applyFont="1" applyFill="1" applyAlignment="1">
      <alignment horizontal="center" vertical="center" readingOrder="1"/>
    </xf>
    <xf numFmtId="0" fontId="25" fillId="2" borderId="0" xfId="0" applyFont="1" applyFill="1" applyAlignment="1">
      <alignment horizontal="center" vertical="center"/>
    </xf>
    <xf numFmtId="181" fontId="26" fillId="4" borderId="23" xfId="2" applyNumberFormat="1" applyFont="1" applyFill="1" applyBorder="1" applyAlignment="1">
      <alignment horizontal="center" vertical="center" wrapText="1"/>
    </xf>
    <xf numFmtId="0" fontId="27" fillId="20" borderId="0" xfId="0" applyFont="1" applyFill="1" applyAlignment="1">
      <alignment horizontal="center" vertical="center" wrapText="1"/>
    </xf>
    <xf numFmtId="0" fontId="28" fillId="0" borderId="0" xfId="0" applyFont="1">
      <alignment vertical="center"/>
    </xf>
    <xf numFmtId="177" fontId="29" fillId="7" borderId="23" xfId="4" applyFont="1" applyFill="1" applyBorder="1" applyAlignment="1">
      <alignment horizontal="center" vertical="center" readingOrder="1"/>
    </xf>
    <xf numFmtId="180" fontId="30" fillId="0" borderId="24" xfId="0" applyNumberFormat="1" applyFont="1" applyBorder="1" applyAlignment="1">
      <alignment horizontal="center" vertical="center"/>
    </xf>
    <xf numFmtId="9" fontId="30" fillId="0" borderId="25" xfId="2" applyFont="1" applyBorder="1" applyAlignment="1">
      <alignment horizontal="center" vertical="center"/>
    </xf>
    <xf numFmtId="10" fontId="30" fillId="0" borderId="25" xfId="2" applyNumberFormat="1" applyFont="1" applyBorder="1" applyAlignment="1">
      <alignment horizontal="center" vertical="center"/>
    </xf>
    <xf numFmtId="10" fontId="30" fillId="0" borderId="25" xfId="0" applyNumberFormat="1" applyFont="1" applyBorder="1" applyAlignment="1">
      <alignment horizontal="center" vertical="center"/>
    </xf>
    <xf numFmtId="3" fontId="30" fillId="7" borderId="25" xfId="0" applyNumberFormat="1" applyFont="1" applyFill="1" applyBorder="1" applyAlignment="1">
      <alignment horizontal="center" vertical="center"/>
    </xf>
    <xf numFmtId="3" fontId="30" fillId="0" borderId="25" xfId="0" applyNumberFormat="1" applyFont="1" applyBorder="1" applyAlignment="1">
      <alignment horizontal="center" vertical="center"/>
    </xf>
    <xf numFmtId="3" fontId="31" fillId="0" borderId="25" xfId="0" applyNumberFormat="1" applyFont="1" applyBorder="1" applyAlignment="1">
      <alignment horizontal="center" vertical="center"/>
    </xf>
    <xf numFmtId="10" fontId="30" fillId="0" borderId="26" xfId="0" applyNumberFormat="1" applyFont="1" applyBorder="1" applyAlignment="1">
      <alignment horizontal="center" vertical="center"/>
    </xf>
    <xf numFmtId="9" fontId="30" fillId="0" borderId="26" xfId="0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" fillId="0" borderId="0" xfId="7"/>
    <xf numFmtId="0" fontId="2" fillId="0" borderId="0" xfId="7" applyAlignment="1">
      <alignment horizontal="center"/>
    </xf>
    <xf numFmtId="0" fontId="33" fillId="0" borderId="0" xfId="7" applyFont="1" applyAlignment="1">
      <alignment wrapText="1"/>
    </xf>
    <xf numFmtId="0" fontId="34" fillId="21" borderId="6" xfId="7" applyFont="1" applyFill="1" applyBorder="1" applyAlignment="1">
      <alignment horizontal="center" vertical="center" wrapText="1"/>
    </xf>
    <xf numFmtId="0" fontId="35" fillId="20" borderId="28" xfId="7" applyFont="1" applyFill="1" applyBorder="1" applyAlignment="1">
      <alignment horizontal="center" vertical="center" wrapText="1"/>
    </xf>
    <xf numFmtId="2" fontId="2" fillId="0" borderId="0" xfId="7" applyNumberFormat="1"/>
    <xf numFmtId="182" fontId="10" fillId="0" borderId="6" xfId="8" applyFont="1" applyBorder="1" applyAlignment="1">
      <alignment horizontal="center" vertical="center"/>
    </xf>
    <xf numFmtId="1" fontId="36" fillId="0" borderId="6" xfId="8" applyNumberFormat="1" applyFont="1" applyBorder="1" applyAlignment="1">
      <alignment horizontal="center" vertical="center"/>
    </xf>
    <xf numFmtId="2" fontId="36" fillId="0" borderId="6" xfId="8" applyNumberFormat="1" applyFont="1" applyBorder="1" applyAlignment="1">
      <alignment horizontal="center" vertical="center"/>
    </xf>
    <xf numFmtId="183" fontId="10" fillId="22" borderId="6" xfId="8" applyNumberFormat="1" applyFont="1" applyFill="1" applyBorder="1" applyAlignment="1">
      <alignment horizontal="center" vertical="center"/>
    </xf>
    <xf numFmtId="10" fontId="10" fillId="0" borderId="6" xfId="9" applyNumberFormat="1" applyFont="1" applyFill="1" applyBorder="1" applyAlignment="1">
      <alignment horizontal="center" vertical="center"/>
    </xf>
    <xf numFmtId="0" fontId="37" fillId="0" borderId="3" xfId="7" applyFont="1" applyBorder="1" applyAlignment="1">
      <alignment horizontal="center"/>
    </xf>
    <xf numFmtId="0" fontId="37" fillId="0" borderId="0" xfId="7" applyFont="1" applyAlignment="1">
      <alignment horizontal="center"/>
    </xf>
    <xf numFmtId="0" fontId="38" fillId="0" borderId="0" xfId="7" applyFont="1" applyAlignment="1">
      <alignment horizontal="center"/>
    </xf>
    <xf numFmtId="1" fontId="37" fillId="0" borderId="0" xfId="7" applyNumberFormat="1" applyFont="1"/>
    <xf numFmtId="183" fontId="37" fillId="0" borderId="0" xfId="7" applyNumberFormat="1" applyFont="1"/>
    <xf numFmtId="0" fontId="37" fillId="0" borderId="0" xfId="7" applyFont="1"/>
    <xf numFmtId="43" fontId="37" fillId="0" borderId="0" xfId="10" applyFont="1" applyAlignment="1"/>
    <xf numFmtId="0" fontId="39" fillId="0" borderId="0" xfId="7" applyFont="1" applyAlignment="1">
      <alignment horizontal="left" vertical="center" indent="2"/>
    </xf>
    <xf numFmtId="0" fontId="2" fillId="7" borderId="0" xfId="7" applyFill="1"/>
    <xf numFmtId="0" fontId="44" fillId="7" borderId="0" xfId="7" applyFont="1" applyFill="1"/>
    <xf numFmtId="0" fontId="45" fillId="21" borderId="6" xfId="7" applyFont="1" applyFill="1" applyBorder="1" applyAlignment="1">
      <alignment horizontal="center" vertical="center" wrapText="1"/>
    </xf>
    <xf numFmtId="0" fontId="46" fillId="7" borderId="6" xfId="8" applyNumberFormat="1" applyFont="1" applyFill="1" applyBorder="1" applyAlignment="1">
      <alignment horizontal="center" vertical="center"/>
    </xf>
    <xf numFmtId="182" fontId="47" fillId="7" borderId="6" xfId="8" applyFont="1" applyFill="1" applyBorder="1">
      <alignment vertical="center"/>
    </xf>
    <xf numFmtId="10" fontId="48" fillId="0" borderId="6" xfId="9" applyNumberFormat="1" applyFont="1" applyFill="1" applyBorder="1" applyAlignment="1">
      <alignment horizontal="center" vertical="center"/>
    </xf>
    <xf numFmtId="0" fontId="46" fillId="0" borderId="6" xfId="8" applyNumberFormat="1" applyFont="1" applyBorder="1" applyAlignment="1">
      <alignment horizontal="center" vertical="center"/>
    </xf>
    <xf numFmtId="182" fontId="47" fillId="0" borderId="6" xfId="8" applyFont="1" applyBorder="1">
      <alignment vertical="center"/>
    </xf>
    <xf numFmtId="0" fontId="2" fillId="23" borderId="0" xfId="7" applyFill="1"/>
    <xf numFmtId="0" fontId="49" fillId="23" borderId="0" xfId="7" applyFont="1" applyFill="1"/>
    <xf numFmtId="0" fontId="50" fillId="23" borderId="8" xfId="7" applyFont="1" applyFill="1" applyBorder="1" applyAlignment="1">
      <alignment horizontal="center"/>
    </xf>
    <xf numFmtId="9" fontId="50" fillId="23" borderId="6" xfId="7" applyNumberFormat="1" applyFont="1" applyFill="1" applyBorder="1" applyAlignment="1">
      <alignment horizontal="center"/>
    </xf>
    <xf numFmtId="182" fontId="46" fillId="0" borderId="37" xfId="8" applyFont="1" applyBorder="1" applyAlignment="1">
      <alignment horizontal="center" vertical="center"/>
    </xf>
    <xf numFmtId="182" fontId="47" fillId="0" borderId="6" xfId="8" applyFont="1" applyBorder="1" applyAlignment="1">
      <alignment horizontal="left" vertical="center"/>
    </xf>
    <xf numFmtId="0" fontId="40" fillId="7" borderId="0" xfId="7" applyFont="1" applyFill="1" applyAlignment="1">
      <alignment horizontal="left" vertical="center" wrapText="1"/>
    </xf>
    <xf numFmtId="0" fontId="43" fillId="21" borderId="0" xfId="7" applyFont="1" applyFill="1" applyAlignment="1">
      <alignment horizontal="center" vertical="center" wrapText="1"/>
    </xf>
    <xf numFmtId="0" fontId="45" fillId="21" borderId="0" xfId="7" applyFont="1" applyFill="1" applyAlignment="1">
      <alignment horizontal="center" vertical="center" wrapText="1"/>
    </xf>
    <xf numFmtId="184" fontId="48" fillId="0" borderId="6" xfId="9" applyNumberFormat="1" applyFont="1" applyFill="1" applyBorder="1" applyAlignment="1">
      <alignment horizontal="center" vertical="center"/>
    </xf>
    <xf numFmtId="185" fontId="48" fillId="0" borderId="6" xfId="9" applyNumberFormat="1" applyFont="1" applyFill="1" applyBorder="1" applyAlignment="1">
      <alignment horizontal="center" vertical="center"/>
    </xf>
    <xf numFmtId="0" fontId="49" fillId="23" borderId="6" xfId="7" applyFont="1" applyFill="1" applyBorder="1" applyAlignment="1">
      <alignment horizontal="center"/>
    </xf>
    <xf numFmtId="0" fontId="50" fillId="23" borderId="6" xfId="7" applyFont="1" applyFill="1" applyBorder="1" applyAlignment="1">
      <alignment horizontal="center"/>
    </xf>
    <xf numFmtId="3" fontId="50" fillId="23" borderId="6" xfId="7" applyNumberFormat="1" applyFont="1" applyFill="1" applyBorder="1" applyAlignment="1">
      <alignment horizontal="center"/>
    </xf>
    <xf numFmtId="0" fontId="50" fillId="23" borderId="0" xfId="7" applyFont="1" applyFill="1" applyAlignment="1">
      <alignment vertical="center"/>
    </xf>
    <xf numFmtId="0" fontId="50" fillId="0" borderId="0" xfId="7" applyFont="1" applyAlignment="1">
      <alignment vertical="center"/>
    </xf>
    <xf numFmtId="0" fontId="43" fillId="21" borderId="6" xfId="7" applyFont="1" applyFill="1" applyBorder="1" applyAlignment="1">
      <alignment horizontal="center" vertical="center" wrapText="1"/>
    </xf>
    <xf numFmtId="10" fontId="48" fillId="24" borderId="6" xfId="9" applyNumberFormat="1" applyFont="1" applyFill="1" applyBorder="1" applyAlignment="1">
      <alignment horizontal="center" vertical="center"/>
    </xf>
    <xf numFmtId="186" fontId="48" fillId="0" borderId="6" xfId="9" applyNumberFormat="1" applyFont="1" applyFill="1" applyBorder="1" applyAlignment="1">
      <alignment horizontal="center" vertical="center"/>
    </xf>
    <xf numFmtId="187" fontId="50" fillId="23" borderId="6" xfId="7" applyNumberFormat="1" applyFont="1" applyFill="1" applyBorder="1" applyAlignment="1">
      <alignment horizontal="center"/>
    </xf>
    <xf numFmtId="0" fontId="50" fillId="23" borderId="0" xfId="7" applyFont="1" applyFill="1" applyAlignment="1">
      <alignment horizontal="center" vertical="center"/>
    </xf>
    <xf numFmtId="0" fontId="50" fillId="0" borderId="0" xfId="7" applyFont="1" applyAlignment="1">
      <alignment horizontal="center" vertical="center"/>
    </xf>
    <xf numFmtId="0" fontId="54" fillId="4" borderId="10" xfId="11" applyFont="1" applyFill="1" applyBorder="1" applyAlignment="1">
      <alignment horizontal="center" vertical="center" wrapText="1"/>
    </xf>
    <xf numFmtId="0" fontId="54" fillId="18" borderId="29" xfId="11" applyFont="1" applyFill="1" applyBorder="1" applyAlignment="1">
      <alignment horizontal="center" vertical="center" wrapText="1"/>
    </xf>
    <xf numFmtId="0" fontId="54" fillId="18" borderId="15" xfId="11" applyFont="1" applyFill="1" applyBorder="1" applyAlignment="1">
      <alignment horizontal="center" vertical="center" wrapText="1"/>
    </xf>
    <xf numFmtId="0" fontId="54" fillId="4" borderId="15" xfId="11" applyFont="1" applyFill="1" applyBorder="1" applyAlignment="1">
      <alignment horizontal="center" vertical="center" wrapText="1"/>
    </xf>
    <xf numFmtId="0" fontId="54" fillId="27" borderId="15" xfId="11" applyFont="1" applyFill="1" applyBorder="1" applyAlignment="1">
      <alignment horizontal="center" vertical="center" wrapText="1"/>
    </xf>
    <xf numFmtId="0" fontId="37" fillId="0" borderId="0" xfId="11" applyFont="1" applyAlignment="1">
      <alignment horizontal="center" vertical="center"/>
    </xf>
    <xf numFmtId="9" fontId="54" fillId="4" borderId="10" xfId="11" applyNumberFormat="1" applyFont="1" applyFill="1" applyBorder="1" applyAlignment="1">
      <alignment horizontal="center" vertical="center" wrapText="1"/>
    </xf>
    <xf numFmtId="9" fontId="54" fillId="18" borderId="19" xfId="11" applyNumberFormat="1" applyFont="1" applyFill="1" applyBorder="1" applyAlignment="1">
      <alignment horizontal="center" vertical="center"/>
    </xf>
    <xf numFmtId="9" fontId="35" fillId="18" borderId="6" xfId="11" applyNumberFormat="1" applyFont="1" applyFill="1" applyBorder="1" applyAlignment="1">
      <alignment horizontal="center" vertical="center" wrapText="1"/>
    </xf>
    <xf numFmtId="9" fontId="54" fillId="18" borderId="19" xfId="11" applyNumberFormat="1" applyFont="1" applyFill="1" applyBorder="1" applyAlignment="1">
      <alignment horizontal="center" vertical="center" wrapText="1"/>
    </xf>
    <xf numFmtId="9" fontId="35" fillId="28" borderId="6" xfId="11" applyNumberFormat="1" applyFont="1" applyFill="1" applyBorder="1" applyAlignment="1">
      <alignment horizontal="center" vertical="center" wrapText="1"/>
    </xf>
    <xf numFmtId="9" fontId="35" fillId="26" borderId="6" xfId="11" applyNumberFormat="1" applyFont="1" applyFill="1" applyBorder="1" applyAlignment="1">
      <alignment horizontal="center" vertical="center" wrapText="1"/>
    </xf>
    <xf numFmtId="9" fontId="54" fillId="4" borderId="29" xfId="11" applyNumberFormat="1" applyFont="1" applyFill="1" applyBorder="1" applyAlignment="1">
      <alignment horizontal="center" vertical="center" wrapText="1"/>
    </xf>
    <xf numFmtId="9" fontId="54" fillId="27" borderId="19" xfId="11" applyNumberFormat="1" applyFont="1" applyFill="1" applyBorder="1" applyAlignment="1">
      <alignment horizontal="center" vertical="center" wrapText="1"/>
    </xf>
    <xf numFmtId="0" fontId="37" fillId="7" borderId="6" xfId="11" applyFont="1" applyFill="1" applyBorder="1" applyAlignment="1">
      <alignment horizontal="center" vertical="center"/>
    </xf>
    <xf numFmtId="188" fontId="37" fillId="0" borderId="6" xfId="11" applyNumberFormat="1" applyFont="1" applyBorder="1" applyAlignment="1">
      <alignment horizontal="center" vertical="center"/>
    </xf>
    <xf numFmtId="188" fontId="37" fillId="7" borderId="6" xfId="11" applyNumberFormat="1" applyFont="1" applyFill="1" applyBorder="1" applyAlignment="1">
      <alignment horizontal="center" vertical="center"/>
    </xf>
    <xf numFmtId="188" fontId="55" fillId="7" borderId="6" xfId="11" applyNumberFormat="1" applyFont="1" applyFill="1" applyBorder="1" applyAlignment="1">
      <alignment horizontal="center" vertical="center" wrapText="1"/>
    </xf>
    <xf numFmtId="188" fontId="55" fillId="7" borderId="6" xfId="11" applyNumberFormat="1" applyFont="1" applyFill="1" applyBorder="1" applyAlignment="1">
      <alignment horizontal="center" vertical="center" wrapText="1" readingOrder="1"/>
    </xf>
    <xf numFmtId="10" fontId="37" fillId="0" borderId="6" xfId="11" applyNumberFormat="1" applyFont="1" applyBorder="1" applyAlignment="1">
      <alignment horizontal="center" vertical="center"/>
    </xf>
    <xf numFmtId="0" fontId="37" fillId="7" borderId="6" xfId="11" applyFont="1" applyFill="1" applyBorder="1" applyAlignment="1">
      <alignment horizontal="center" vertical="center" wrapText="1"/>
    </xf>
    <xf numFmtId="0" fontId="38" fillId="0" borderId="0" xfId="11" applyFont="1" applyAlignment="1">
      <alignment horizontal="center"/>
    </xf>
    <xf numFmtId="1" fontId="37" fillId="0" borderId="0" xfId="11" applyNumberFormat="1" applyFont="1" applyAlignment="1">
      <alignment horizontal="center"/>
    </xf>
    <xf numFmtId="0" fontId="37" fillId="0" borderId="0" xfId="11" applyFont="1" applyAlignment="1">
      <alignment horizontal="center"/>
    </xf>
    <xf numFmtId="0" fontId="37" fillId="7" borderId="0" xfId="11" applyFont="1" applyFill="1" applyAlignment="1">
      <alignment horizontal="center" vertical="center"/>
    </xf>
    <xf numFmtId="0" fontId="1" fillId="0" borderId="0" xfId="11"/>
    <xf numFmtId="38" fontId="57" fillId="29" borderId="6" xfId="12" applyNumberFormat="1" applyFont="1" applyFill="1" applyBorder="1" applyAlignment="1">
      <alignment horizontal="center" vertical="center" wrapText="1"/>
    </xf>
    <xf numFmtId="180" fontId="57" fillId="29" borderId="6" xfId="12" applyNumberFormat="1" applyFont="1" applyFill="1" applyBorder="1" applyAlignment="1">
      <alignment horizontal="center" vertical="center" wrapText="1"/>
    </xf>
    <xf numFmtId="179" fontId="57" fillId="29" borderId="6" xfId="12" applyNumberFormat="1" applyFont="1" applyFill="1" applyBorder="1" applyAlignment="1">
      <alignment horizontal="center" vertical="center" wrapText="1"/>
    </xf>
    <xf numFmtId="10" fontId="57" fillId="29" borderId="6" xfId="13" applyNumberFormat="1" applyFont="1" applyFill="1" applyBorder="1" applyAlignment="1">
      <alignment horizontal="center" vertical="center" wrapText="1"/>
    </xf>
    <xf numFmtId="177" fontId="22" fillId="7" borderId="6" xfId="14" applyFont="1" applyFill="1" applyBorder="1" applyAlignment="1">
      <alignment horizontal="center" vertical="center" readingOrder="1"/>
    </xf>
    <xf numFmtId="3" fontId="58" fillId="0" borderId="6" xfId="15" applyNumberFormat="1" applyFont="1" applyFill="1" applyBorder="1" applyAlignment="1">
      <alignment horizontal="center" vertical="center" readingOrder="1"/>
    </xf>
    <xf numFmtId="188" fontId="59" fillId="0" borderId="6" xfId="12" applyNumberFormat="1" applyFont="1" applyBorder="1" applyAlignment="1">
      <alignment horizontal="center" vertical="center" readingOrder="1"/>
    </xf>
    <xf numFmtId="10" fontId="58" fillId="0" borderId="6" xfId="13" applyNumberFormat="1" applyFont="1" applyFill="1" applyBorder="1" applyAlignment="1">
      <alignment horizontal="center" vertical="center" readingOrder="1"/>
    </xf>
    <xf numFmtId="177" fontId="22" fillId="26" borderId="6" xfId="14" applyFont="1" applyFill="1" applyBorder="1" applyAlignment="1">
      <alignment horizontal="center" vertical="center" readingOrder="1"/>
    </xf>
    <xf numFmtId="3" fontId="58" fillId="26" borderId="6" xfId="15" applyNumberFormat="1" applyFont="1" applyFill="1" applyBorder="1" applyAlignment="1">
      <alignment horizontal="center" vertical="center" readingOrder="1"/>
    </xf>
    <xf numFmtId="188" fontId="59" fillId="26" borderId="6" xfId="12" applyNumberFormat="1" applyFont="1" applyFill="1" applyBorder="1" applyAlignment="1">
      <alignment horizontal="center" vertical="center" readingOrder="1"/>
    </xf>
    <xf numFmtId="10" fontId="58" fillId="26" borderId="6" xfId="13" applyNumberFormat="1" applyFont="1" applyFill="1" applyBorder="1" applyAlignment="1">
      <alignment horizontal="center" vertical="center" readingOrder="1"/>
    </xf>
    <xf numFmtId="177" fontId="22" fillId="0" borderId="6" xfId="14" applyFont="1" applyBorder="1" applyAlignment="1">
      <alignment horizontal="center" vertical="center" readingOrder="1"/>
    </xf>
    <xf numFmtId="0" fontId="1" fillId="0" borderId="0" xfId="11" applyAlignment="1">
      <alignment horizontal="center" vertical="center"/>
    </xf>
    <xf numFmtId="0" fontId="62" fillId="7" borderId="6" xfId="16" applyNumberFormat="1" applyFont="1" applyFill="1" applyBorder="1" applyAlignment="1">
      <alignment horizontal="center" vertical="center" wrapText="1" readingOrder="1"/>
    </xf>
    <xf numFmtId="0" fontId="64" fillId="36" borderId="6" xfId="16" applyNumberFormat="1" applyFont="1" applyFill="1" applyBorder="1" applyAlignment="1">
      <alignment vertical="center" wrapText="1" readingOrder="1"/>
    </xf>
    <xf numFmtId="0" fontId="64" fillId="7" borderId="6" xfId="16" applyNumberFormat="1" applyFont="1" applyFill="1" applyBorder="1" applyAlignment="1">
      <alignment horizontal="left" vertical="center" wrapText="1" readingOrder="1"/>
    </xf>
    <xf numFmtId="0" fontId="22" fillId="39" borderId="6" xfId="16" applyNumberFormat="1" applyFont="1" applyFill="1" applyBorder="1" applyAlignment="1">
      <alignment horizontal="left" vertical="center" wrapText="1" readingOrder="1"/>
    </xf>
    <xf numFmtId="0" fontId="22" fillId="36" borderId="6" xfId="16" applyNumberFormat="1" applyFont="1" applyFill="1" applyBorder="1" applyAlignment="1">
      <alignment horizontal="center" vertical="center" wrapText="1" readingOrder="1"/>
    </xf>
    <xf numFmtId="0" fontId="64" fillId="37" borderId="6" xfId="16" applyNumberFormat="1" applyFont="1" applyFill="1" applyBorder="1" applyAlignment="1">
      <alignment vertical="center" wrapText="1" readingOrder="1"/>
    </xf>
    <xf numFmtId="0" fontId="22" fillId="7" borderId="6" xfId="16" applyNumberFormat="1" applyFont="1" applyFill="1" applyBorder="1" applyAlignment="1">
      <alignment horizontal="center" vertical="center" wrapText="1" readingOrder="1"/>
    </xf>
    <xf numFmtId="0" fontId="22" fillId="38" borderId="6" xfId="16" applyNumberFormat="1" applyFont="1" applyFill="1" applyBorder="1" applyAlignment="1">
      <alignment horizontal="left" vertical="center" wrapText="1" readingOrder="1"/>
    </xf>
    <xf numFmtId="0" fontId="22" fillId="7" borderId="6" xfId="16" applyNumberFormat="1" applyFont="1" applyFill="1" applyBorder="1" applyAlignment="1">
      <alignment horizontal="left" vertical="center" wrapText="1" readingOrder="1"/>
    </xf>
    <xf numFmtId="0" fontId="22" fillId="38" borderId="6" xfId="16" applyNumberFormat="1" applyFont="1" applyFill="1" applyBorder="1" applyAlignment="1">
      <alignment horizontal="center" vertical="center" wrapText="1" readingOrder="1"/>
    </xf>
    <xf numFmtId="0" fontId="22" fillId="36" borderId="6" xfId="16" applyNumberFormat="1" applyFont="1" applyFill="1" applyBorder="1" applyAlignment="1">
      <alignment horizontal="left" vertical="center" wrapText="1" readingOrder="1"/>
    </xf>
    <xf numFmtId="0" fontId="22" fillId="7" borderId="39" xfId="16" applyNumberFormat="1" applyFont="1" applyFill="1" applyBorder="1" applyAlignment="1">
      <alignment vertical="center" wrapText="1" readingOrder="1"/>
    </xf>
    <xf numFmtId="0" fontId="22" fillId="40" borderId="6" xfId="16" applyNumberFormat="1" applyFont="1" applyFill="1" applyBorder="1" applyAlignment="1">
      <alignment horizontal="center" vertical="center" wrapText="1" readingOrder="1"/>
    </xf>
    <xf numFmtId="0" fontId="64" fillId="7" borderId="6" xfId="16" applyNumberFormat="1" applyFont="1" applyFill="1" applyBorder="1" applyAlignment="1">
      <alignment horizontal="center" vertical="center" wrapText="1" readingOrder="1"/>
    </xf>
    <xf numFmtId="0" fontId="22" fillId="7" borderId="8" xfId="16" applyNumberFormat="1" applyFont="1" applyFill="1" applyBorder="1" applyAlignment="1">
      <alignment vertical="center" wrapText="1" readingOrder="1"/>
    </xf>
    <xf numFmtId="0" fontId="22" fillId="0" borderId="6" xfId="16" applyNumberFormat="1" applyFont="1" applyBorder="1" applyAlignment="1">
      <alignment vertical="center" wrapText="1" readingOrder="1"/>
    </xf>
    <xf numFmtId="0" fontId="22" fillId="42" borderId="6" xfId="16" applyNumberFormat="1" applyFont="1" applyFill="1" applyBorder="1" applyAlignment="1">
      <alignment vertical="center" wrapText="1" readingOrder="1"/>
    </xf>
    <xf numFmtId="0" fontId="22" fillId="7" borderId="5" xfId="16" applyNumberFormat="1" applyFont="1" applyFill="1" applyBorder="1" applyAlignment="1">
      <alignment vertical="center" wrapText="1" readingOrder="1"/>
    </xf>
    <xf numFmtId="0" fontId="22" fillId="7" borderId="6" xfId="16" applyNumberFormat="1" applyFont="1" applyFill="1" applyBorder="1" applyAlignment="1">
      <alignment vertical="center" wrapText="1" readingOrder="1"/>
    </xf>
    <xf numFmtId="0" fontId="22" fillId="40" borderId="6" xfId="16" applyNumberFormat="1" applyFont="1" applyFill="1" applyBorder="1" applyAlignment="1">
      <alignment horizontal="left" vertical="center" wrapText="1" readingOrder="1"/>
    </xf>
    <xf numFmtId="0" fontId="22" fillId="40" borderId="6" xfId="16" applyNumberFormat="1" applyFont="1" applyFill="1" applyBorder="1" applyAlignment="1">
      <alignment vertical="center" wrapText="1" readingOrder="1"/>
    </xf>
    <xf numFmtId="0" fontId="22" fillId="37" borderId="6" xfId="16" applyNumberFormat="1" applyFont="1" applyFill="1" applyBorder="1" applyAlignment="1">
      <alignment vertical="center" wrapText="1" readingOrder="1"/>
    </xf>
    <xf numFmtId="0" fontId="22" fillId="37" borderId="5" xfId="16" applyNumberFormat="1" applyFont="1" applyFill="1" applyBorder="1" applyAlignment="1">
      <alignment vertical="center" wrapText="1" readingOrder="1"/>
    </xf>
    <xf numFmtId="0" fontId="22" fillId="37" borderId="39" xfId="16" applyNumberFormat="1" applyFont="1" applyFill="1" applyBorder="1" applyAlignment="1">
      <alignment vertical="center" wrapText="1" readingOrder="1"/>
    </xf>
    <xf numFmtId="0" fontId="22" fillId="37" borderId="8" xfId="16" applyNumberFormat="1" applyFont="1" applyFill="1" applyBorder="1" applyAlignment="1">
      <alignment vertical="center" wrapText="1" readingOrder="1"/>
    </xf>
    <xf numFmtId="0" fontId="22" fillId="38" borderId="5" xfId="16" applyNumberFormat="1" applyFont="1" applyFill="1" applyBorder="1" applyAlignment="1">
      <alignment vertical="center" wrapText="1" readingOrder="1"/>
    </xf>
    <xf numFmtId="0" fontId="22" fillId="38" borderId="39" xfId="16" applyNumberFormat="1" applyFont="1" applyFill="1" applyBorder="1" applyAlignment="1">
      <alignment vertical="center" wrapText="1" readingOrder="1"/>
    </xf>
    <xf numFmtId="0" fontId="22" fillId="38" borderId="8" xfId="16" applyNumberFormat="1" applyFont="1" applyFill="1" applyBorder="1" applyAlignment="1">
      <alignment vertical="center" wrapText="1" readingOrder="1"/>
    </xf>
    <xf numFmtId="0" fontId="64" fillId="7" borderId="39" xfId="16" applyNumberFormat="1" applyFont="1" applyFill="1" applyBorder="1" applyAlignment="1">
      <alignment vertical="center" wrapText="1" readingOrder="1"/>
    </xf>
    <xf numFmtId="0" fontId="64" fillId="7" borderId="8" xfId="16" applyNumberFormat="1" applyFont="1" applyFill="1" applyBorder="1" applyAlignment="1">
      <alignment vertical="center" wrapText="1" readingOrder="1"/>
    </xf>
    <xf numFmtId="0" fontId="64" fillId="7" borderId="6" xfId="16" applyNumberFormat="1" applyFont="1" applyFill="1" applyBorder="1" applyAlignment="1">
      <alignment vertical="center" wrapText="1" readingOrder="1"/>
    </xf>
    <xf numFmtId="0" fontId="62" fillId="0" borderId="6" xfId="16" applyNumberFormat="1" applyFont="1" applyBorder="1" applyAlignment="1">
      <alignment horizontal="center" vertical="center" wrapText="1" readingOrder="1"/>
    </xf>
    <xf numFmtId="0" fontId="37" fillId="46" borderId="6" xfId="11" applyFont="1" applyFill="1" applyBorder="1" applyAlignment="1">
      <alignment horizontal="center" vertical="center"/>
    </xf>
    <xf numFmtId="0" fontId="37" fillId="28" borderId="6" xfId="11" applyFont="1" applyFill="1" applyBorder="1" applyAlignment="1">
      <alignment horizontal="center" vertical="center"/>
    </xf>
    <xf numFmtId="0" fontId="65" fillId="0" borderId="43" xfId="11" applyFont="1" applyBorder="1" applyAlignment="1">
      <alignment horizontal="center" vertical="center" wrapText="1" readingOrder="1"/>
    </xf>
    <xf numFmtId="0" fontId="37" fillId="0" borderId="6" xfId="11" applyFont="1" applyBorder="1" applyAlignment="1">
      <alignment horizontal="center" vertical="center"/>
    </xf>
    <xf numFmtId="0" fontId="67" fillId="0" borderId="0" xfId="11" applyFont="1"/>
    <xf numFmtId="0" fontId="69" fillId="0" borderId="0" xfId="11" applyFont="1"/>
    <xf numFmtId="0" fontId="63" fillId="0" borderId="43" xfId="11" applyFont="1" applyBorder="1" applyAlignment="1">
      <alignment horizontal="center" vertical="center" wrapText="1" readingOrder="1"/>
    </xf>
    <xf numFmtId="0" fontId="70" fillId="0" borderId="6" xfId="11" applyFont="1" applyBorder="1" applyAlignment="1">
      <alignment horizontal="center" vertical="center" wrapText="1" readingOrder="1"/>
    </xf>
    <xf numFmtId="0" fontId="63" fillId="0" borderId="47" xfId="11" applyFont="1" applyBorder="1" applyAlignment="1">
      <alignment horizontal="center" vertical="center" wrapText="1" readingOrder="1"/>
    </xf>
    <xf numFmtId="0" fontId="63" fillId="0" borderId="54" xfId="11" applyFont="1" applyBorder="1" applyAlignment="1">
      <alignment horizontal="center" vertical="center" wrapText="1" readingOrder="1"/>
    </xf>
    <xf numFmtId="0" fontId="63" fillId="0" borderId="53" xfId="11" applyFont="1" applyBorder="1" applyAlignment="1">
      <alignment horizontal="center" vertical="center" wrapText="1" readingOrder="1"/>
    </xf>
    <xf numFmtId="0" fontId="63" fillId="0" borderId="52" xfId="11" applyFont="1" applyBorder="1" applyAlignment="1">
      <alignment horizontal="center" vertical="center" wrapText="1" readingOrder="1"/>
    </xf>
    <xf numFmtId="0" fontId="63" fillId="0" borderId="55" xfId="11" applyFont="1" applyBorder="1" applyAlignment="1">
      <alignment horizontal="center" vertical="center" wrapText="1" readingOrder="1"/>
    </xf>
    <xf numFmtId="0" fontId="63" fillId="0" borderId="56" xfId="11" applyFont="1" applyBorder="1" applyAlignment="1">
      <alignment horizontal="center" vertical="center" wrapText="1" readingOrder="1"/>
    </xf>
    <xf numFmtId="0" fontId="63" fillId="0" borderId="57" xfId="11" applyFont="1" applyBorder="1" applyAlignment="1">
      <alignment horizontal="center" vertical="center" wrapText="1" readingOrder="1"/>
    </xf>
    <xf numFmtId="0" fontId="70" fillId="36" borderId="6" xfId="11" applyFont="1" applyFill="1" applyBorder="1" applyAlignment="1">
      <alignment horizontal="center" vertical="center" wrapText="1" readingOrder="1"/>
    </xf>
    <xf numFmtId="0" fontId="70" fillId="37" borderId="6" xfId="11" applyFont="1" applyFill="1" applyBorder="1" applyAlignment="1">
      <alignment horizontal="center" vertical="center" wrapText="1" readingOrder="1"/>
    </xf>
    <xf numFmtId="0" fontId="70" fillId="38" borderId="6" xfId="11" applyFont="1" applyFill="1" applyBorder="1" applyAlignment="1">
      <alignment horizontal="center" vertical="center" wrapText="1" readingOrder="1"/>
    </xf>
    <xf numFmtId="0" fontId="70" fillId="40" borderId="6" xfId="11" applyFont="1" applyFill="1" applyBorder="1" applyAlignment="1">
      <alignment horizontal="center" vertical="center" wrapText="1" readingOrder="1"/>
    </xf>
    <xf numFmtId="0" fontId="70" fillId="39" borderId="6" xfId="11" applyFont="1" applyFill="1" applyBorder="1" applyAlignment="1">
      <alignment horizontal="center" vertical="center" wrapText="1" readingOrder="1"/>
    </xf>
    <xf numFmtId="0" fontId="62" fillId="0" borderId="43" xfId="11" applyFont="1" applyBorder="1" applyAlignment="1">
      <alignment horizontal="center" vertical="center" wrapText="1" readingOrder="1"/>
    </xf>
    <xf numFmtId="0" fontId="62" fillId="0" borderId="47" xfId="11" applyFont="1" applyBorder="1" applyAlignment="1">
      <alignment horizontal="center" vertical="center" wrapText="1" readingOrder="1"/>
    </xf>
    <xf numFmtId="0" fontId="58" fillId="0" borderId="6" xfId="11" applyFont="1" applyBorder="1" applyAlignment="1">
      <alignment horizontal="center" vertical="center"/>
    </xf>
    <xf numFmtId="0" fontId="62" fillId="0" borderId="54" xfId="11" applyFont="1" applyBorder="1" applyAlignment="1">
      <alignment horizontal="center" vertical="center" wrapText="1" readingOrder="1"/>
    </xf>
    <xf numFmtId="0" fontId="62" fillId="0" borderId="53" xfId="11" applyFont="1" applyBorder="1" applyAlignment="1">
      <alignment horizontal="center" vertical="center" wrapText="1" readingOrder="1"/>
    </xf>
    <xf numFmtId="0" fontId="62" fillId="0" borderId="52" xfId="11" applyFont="1" applyBorder="1" applyAlignment="1">
      <alignment horizontal="center" vertical="center" wrapText="1" readingOrder="1"/>
    </xf>
    <xf numFmtId="0" fontId="62" fillId="0" borderId="55" xfId="11" applyFont="1" applyBorder="1" applyAlignment="1">
      <alignment horizontal="center" vertical="center" wrapText="1" readingOrder="1"/>
    </xf>
    <xf numFmtId="0" fontId="62" fillId="0" borderId="56" xfId="11" applyFont="1" applyBorder="1" applyAlignment="1">
      <alignment horizontal="center" vertical="center" wrapText="1" readingOrder="1"/>
    </xf>
    <xf numFmtId="0" fontId="62" fillId="0" borderId="57" xfId="11" applyFont="1" applyBorder="1" applyAlignment="1">
      <alignment horizontal="center" vertical="center" wrapText="1" readingOrder="1"/>
    </xf>
    <xf numFmtId="0" fontId="61" fillId="31" borderId="43" xfId="11" applyFont="1" applyFill="1" applyBorder="1" applyAlignment="1">
      <alignment horizontal="center" vertical="center" wrapText="1" readingOrder="1"/>
    </xf>
    <xf numFmtId="0" fontId="61" fillId="31" borderId="46" xfId="11" applyFont="1" applyFill="1" applyBorder="1" applyAlignment="1">
      <alignment horizontal="center" vertical="center" wrapText="1" readingOrder="1"/>
    </xf>
    <xf numFmtId="0" fontId="61" fillId="31" borderId="47" xfId="11" applyFont="1" applyFill="1" applyBorder="1" applyAlignment="1">
      <alignment horizontal="center" vertical="center" wrapText="1" readingOrder="1"/>
    </xf>
    <xf numFmtId="0" fontId="61" fillId="32" borderId="43" xfId="11" applyFont="1" applyFill="1" applyBorder="1" applyAlignment="1">
      <alignment horizontal="center" vertical="center" wrapText="1" readingOrder="1"/>
    </xf>
    <xf numFmtId="0" fontId="61" fillId="32" borderId="46" xfId="11" applyFont="1" applyFill="1" applyBorder="1" applyAlignment="1">
      <alignment horizontal="center" vertical="center" wrapText="1" readingOrder="1"/>
    </xf>
    <xf numFmtId="0" fontId="61" fillId="33" borderId="43" xfId="11" applyFont="1" applyFill="1" applyBorder="1" applyAlignment="1">
      <alignment horizontal="center" vertical="center" wrapText="1" readingOrder="1"/>
    </xf>
    <xf numFmtId="0" fontId="61" fillId="33" borderId="46" xfId="11" applyFont="1" applyFill="1" applyBorder="1" applyAlignment="1">
      <alignment horizontal="center" vertical="center" wrapText="1" readingOrder="1"/>
    </xf>
    <xf numFmtId="0" fontId="61" fillId="33" borderId="47" xfId="11" applyFont="1" applyFill="1" applyBorder="1" applyAlignment="1">
      <alignment horizontal="center" vertical="center" wrapText="1" readingOrder="1"/>
    </xf>
    <xf numFmtId="0" fontId="61" fillId="34" borderId="43" xfId="11" applyFont="1" applyFill="1" applyBorder="1" applyAlignment="1">
      <alignment horizontal="center" vertical="center" wrapText="1" readingOrder="1"/>
    </xf>
    <xf numFmtId="0" fontId="61" fillId="34" borderId="46" xfId="11" applyFont="1" applyFill="1" applyBorder="1" applyAlignment="1">
      <alignment horizontal="center" vertical="center" wrapText="1" readingOrder="1"/>
    </xf>
    <xf numFmtId="0" fontId="61" fillId="34" borderId="47" xfId="11" applyFont="1" applyFill="1" applyBorder="1" applyAlignment="1">
      <alignment horizontal="center" vertical="center" wrapText="1" readingOrder="1"/>
    </xf>
    <xf numFmtId="0" fontId="61" fillId="35" borderId="43" xfId="11" applyFont="1" applyFill="1" applyBorder="1" applyAlignment="1">
      <alignment horizontal="center" vertical="center" wrapText="1" readingOrder="1"/>
    </xf>
    <xf numFmtId="0" fontId="61" fillId="35" borderId="46" xfId="11" applyFont="1" applyFill="1" applyBorder="1" applyAlignment="1">
      <alignment horizontal="center" vertical="center" wrapText="1" readingOrder="1"/>
    </xf>
    <xf numFmtId="0" fontId="61" fillId="35" borderId="47" xfId="11" applyFont="1" applyFill="1" applyBorder="1" applyAlignment="1">
      <alignment horizontal="center" vertical="center" wrapText="1" readingOrder="1"/>
    </xf>
    <xf numFmtId="0" fontId="62" fillId="30" borderId="48" xfId="11" applyFont="1" applyFill="1" applyBorder="1" applyAlignment="1">
      <alignment horizontal="center" vertical="center" wrapText="1" readingOrder="1"/>
    </xf>
    <xf numFmtId="0" fontId="62" fillId="36" borderId="48" xfId="11" applyFont="1" applyFill="1" applyBorder="1" applyAlignment="1">
      <alignment horizontal="center" vertical="center" wrapText="1" readingOrder="1"/>
    </xf>
    <xf numFmtId="0" fontId="62" fillId="36" borderId="44" xfId="11" applyFont="1" applyFill="1" applyBorder="1" applyAlignment="1">
      <alignment horizontal="center" vertical="center" wrapText="1" readingOrder="1"/>
    </xf>
    <xf numFmtId="0" fontId="63" fillId="37" borderId="48" xfId="11" applyFont="1" applyFill="1" applyBorder="1" applyAlignment="1">
      <alignment horizontal="center" vertical="center" wrapText="1" readingOrder="1"/>
    </xf>
    <xf numFmtId="0" fontId="62" fillId="37" borderId="44" xfId="11" applyFont="1" applyFill="1" applyBorder="1" applyAlignment="1">
      <alignment horizontal="center" vertical="center" wrapText="1" readingOrder="1"/>
    </xf>
    <xf numFmtId="0" fontId="62" fillId="38" borderId="48" xfId="11" applyFont="1" applyFill="1" applyBorder="1" applyAlignment="1">
      <alignment horizontal="center" vertical="center" wrapText="1" readingOrder="1"/>
    </xf>
    <xf numFmtId="0" fontId="62" fillId="39" borderId="48" xfId="11" applyFont="1" applyFill="1" applyBorder="1" applyAlignment="1">
      <alignment horizontal="center" vertical="center" wrapText="1" readingOrder="1"/>
    </xf>
    <xf numFmtId="0" fontId="62" fillId="40" borderId="48" xfId="11" applyFont="1" applyFill="1" applyBorder="1" applyAlignment="1">
      <alignment horizontal="center" vertical="center" wrapText="1" readingOrder="1"/>
    </xf>
    <xf numFmtId="0" fontId="62" fillId="30" borderId="51" xfId="11" applyFont="1" applyFill="1" applyBorder="1" applyAlignment="1">
      <alignment horizontal="center" vertical="center" wrapText="1" readingOrder="1"/>
    </xf>
    <xf numFmtId="0" fontId="62" fillId="36" borderId="51" xfId="11" applyFont="1" applyFill="1" applyBorder="1" applyAlignment="1">
      <alignment horizontal="center" vertical="center" wrapText="1" readingOrder="1"/>
    </xf>
    <xf numFmtId="0" fontId="62" fillId="36" borderId="49" xfId="11" applyFont="1" applyFill="1" applyBorder="1" applyAlignment="1">
      <alignment horizontal="center" vertical="center" wrapText="1" readingOrder="1"/>
    </xf>
    <xf numFmtId="0" fontId="63" fillId="37" borderId="51" xfId="11" applyFont="1" applyFill="1" applyBorder="1" applyAlignment="1">
      <alignment horizontal="center" vertical="center" wrapText="1" readingOrder="1"/>
    </xf>
    <xf numFmtId="0" fontId="62" fillId="37" borderId="49" xfId="11" applyFont="1" applyFill="1" applyBorder="1" applyAlignment="1">
      <alignment horizontal="center" vertical="center" wrapText="1" readingOrder="1"/>
    </xf>
    <xf numFmtId="0" fontId="62" fillId="38" borderId="51" xfId="11" applyFont="1" applyFill="1" applyBorder="1" applyAlignment="1">
      <alignment horizontal="center" vertical="center" wrapText="1" readingOrder="1"/>
    </xf>
    <xf numFmtId="0" fontId="62" fillId="39" borderId="51" xfId="11" applyFont="1" applyFill="1" applyBorder="1" applyAlignment="1">
      <alignment horizontal="center" vertical="center" wrapText="1" readingOrder="1"/>
    </xf>
    <xf numFmtId="0" fontId="62" fillId="40" borderId="51" xfId="11" applyFont="1" applyFill="1" applyBorder="1" applyAlignment="1">
      <alignment horizontal="center" vertical="center" wrapText="1" readingOrder="1"/>
    </xf>
    <xf numFmtId="0" fontId="62" fillId="7" borderId="6" xfId="11" applyFont="1" applyFill="1" applyBorder="1" applyAlignment="1">
      <alignment horizontal="center" vertical="center" wrapText="1" readingOrder="1"/>
    </xf>
    <xf numFmtId="0" fontId="64" fillId="36" borderId="6" xfId="11" applyFont="1" applyFill="1" applyBorder="1" applyAlignment="1">
      <alignment horizontal="center" vertical="center" wrapText="1" readingOrder="1"/>
    </xf>
    <xf numFmtId="0" fontId="64" fillId="7" borderId="6" xfId="11" applyFont="1" applyFill="1" applyBorder="1" applyAlignment="1">
      <alignment horizontal="center" vertical="center" wrapText="1" readingOrder="1"/>
    </xf>
    <xf numFmtId="0" fontId="64" fillId="37" borderId="6" xfId="11" applyFont="1" applyFill="1" applyBorder="1" applyAlignment="1">
      <alignment horizontal="center" vertical="center" wrapText="1" readingOrder="1"/>
    </xf>
    <xf numFmtId="0" fontId="64" fillId="38" borderId="6" xfId="11" applyFont="1" applyFill="1" applyBorder="1" applyAlignment="1">
      <alignment horizontal="center" vertical="center" wrapText="1" readingOrder="1"/>
    </xf>
    <xf numFmtId="0" fontId="22" fillId="39" borderId="6" xfId="11" applyFont="1" applyFill="1" applyBorder="1" applyAlignment="1">
      <alignment horizontal="center" vertical="center" wrapText="1" readingOrder="1"/>
    </xf>
    <xf numFmtId="0" fontId="64" fillId="40" borderId="6" xfId="11" applyFont="1" applyFill="1" applyBorder="1" applyAlignment="1">
      <alignment horizontal="center" vertical="center" wrapText="1" readingOrder="1"/>
    </xf>
    <xf numFmtId="0" fontId="22" fillId="36" borderId="6" xfId="11" applyFont="1" applyFill="1" applyBorder="1" applyAlignment="1">
      <alignment horizontal="center" vertical="center" wrapText="1" readingOrder="1"/>
    </xf>
    <xf numFmtId="0" fontId="22" fillId="7" borderId="6" xfId="11" applyFont="1" applyFill="1" applyBorder="1" applyAlignment="1">
      <alignment horizontal="center" vertical="center" wrapText="1" readingOrder="1"/>
    </xf>
    <xf numFmtId="0" fontId="22" fillId="38" borderId="6" xfId="11" applyFont="1" applyFill="1" applyBorder="1" applyAlignment="1">
      <alignment horizontal="center" vertical="center" wrapText="1" readingOrder="1"/>
    </xf>
    <xf numFmtId="0" fontId="22" fillId="40" borderId="6" xfId="11" applyFont="1" applyFill="1" applyBorder="1" applyAlignment="1">
      <alignment horizontal="center" vertical="center" wrapText="1" readingOrder="1"/>
    </xf>
    <xf numFmtId="0" fontId="22" fillId="37" borderId="6" xfId="11" applyFont="1" applyFill="1" applyBorder="1" applyAlignment="1">
      <alignment horizontal="center" vertical="center" wrapText="1" readingOrder="1"/>
    </xf>
    <xf numFmtId="177" fontId="1" fillId="7" borderId="6" xfId="11" applyNumberFormat="1" applyFill="1" applyBorder="1" applyAlignment="1">
      <alignment horizontal="center"/>
    </xf>
    <xf numFmtId="0" fontId="22" fillId="47" borderId="6" xfId="11" applyFont="1" applyFill="1" applyBorder="1" applyAlignment="1">
      <alignment horizontal="center" vertical="center" wrapText="1" readingOrder="1"/>
    </xf>
    <xf numFmtId="0" fontId="22" fillId="42" borderId="6" xfId="11" applyFont="1" applyFill="1" applyBorder="1" applyAlignment="1">
      <alignment horizontal="center" vertical="center" wrapText="1" readingOrder="1"/>
    </xf>
    <xf numFmtId="0" fontId="1" fillId="7" borderId="6" xfId="11" applyFill="1" applyBorder="1" applyAlignment="1">
      <alignment horizontal="center"/>
    </xf>
    <xf numFmtId="0" fontId="62" fillId="7" borderId="54" xfId="11" applyFont="1" applyFill="1" applyBorder="1" applyAlignment="1">
      <alignment horizontal="center" vertical="center" wrapText="1" readingOrder="1"/>
    </xf>
    <xf numFmtId="0" fontId="62" fillId="7" borderId="53" xfId="11" applyFont="1" applyFill="1" applyBorder="1" applyAlignment="1">
      <alignment horizontal="center" vertical="center" wrapText="1" readingOrder="1"/>
    </xf>
    <xf numFmtId="0" fontId="62" fillId="7" borderId="56" xfId="11" applyFont="1" applyFill="1" applyBorder="1" applyAlignment="1">
      <alignment horizontal="center" vertical="center" wrapText="1" readingOrder="1"/>
    </xf>
    <xf numFmtId="0" fontId="62" fillId="0" borderId="6" xfId="11" applyFont="1" applyBorder="1" applyAlignment="1">
      <alignment horizontal="center" vertical="center" wrapText="1" readingOrder="1"/>
    </xf>
    <xf numFmtId="0" fontId="64" fillId="0" borderId="6" xfId="11" applyFont="1" applyBorder="1" applyAlignment="1">
      <alignment vertical="center" wrapText="1" readingOrder="1"/>
    </xf>
    <xf numFmtId="0" fontId="22" fillId="0" borderId="6" xfId="11" applyFont="1" applyBorder="1" applyAlignment="1">
      <alignment horizontal="center" vertical="center" wrapText="1" readingOrder="1"/>
    </xf>
    <xf numFmtId="0" fontId="64" fillId="0" borderId="6" xfId="11" applyFont="1" applyBorder="1" applyAlignment="1">
      <alignment horizontal="center" vertical="center" wrapText="1" readingOrder="1"/>
    </xf>
    <xf numFmtId="0" fontId="71" fillId="0" borderId="57" xfId="11" applyFont="1" applyBorder="1" applyAlignment="1">
      <alignment horizontal="center" vertical="center" wrapText="1" readingOrder="1"/>
    </xf>
    <xf numFmtId="0" fontId="22" fillId="0" borderId="6" xfId="11" applyFont="1" applyBorder="1" applyAlignment="1">
      <alignment vertical="center" wrapText="1" readingOrder="1"/>
    </xf>
    <xf numFmtId="0" fontId="71" fillId="0" borderId="48" xfId="11" applyFont="1" applyBorder="1" applyAlignment="1">
      <alignment horizontal="center" vertical="center" wrapText="1" readingOrder="1"/>
    </xf>
    <xf numFmtId="0" fontId="72" fillId="0" borderId="0" xfId="11" applyFont="1"/>
    <xf numFmtId="0" fontId="1" fillId="0" borderId="6" xfId="11" applyBorder="1" applyAlignment="1">
      <alignment horizontal="center"/>
    </xf>
    <xf numFmtId="0" fontId="71" fillId="0" borderId="6" xfId="11" applyFont="1" applyBorder="1" applyAlignment="1">
      <alignment horizontal="center" vertical="center" wrapText="1" readingOrder="1"/>
    </xf>
    <xf numFmtId="0" fontId="24" fillId="0" borderId="0" xfId="11" applyFont="1" applyAlignment="1">
      <alignment horizontal="center" vertical="center" wrapText="1" readingOrder="1"/>
    </xf>
    <xf numFmtId="0" fontId="71" fillId="0" borderId="54" xfId="11" applyFont="1" applyBorder="1" applyAlignment="1">
      <alignment horizontal="center" vertical="center" wrapText="1" readingOrder="1"/>
    </xf>
    <xf numFmtId="0" fontId="72" fillId="0" borderId="0" xfId="11" applyFont="1" applyAlignment="1">
      <alignment horizontal="center"/>
    </xf>
    <xf numFmtId="0" fontId="73" fillId="0" borderId="0" xfId="11" applyFont="1"/>
    <xf numFmtId="0" fontId="74" fillId="0" borderId="0" xfId="11" applyFont="1" applyAlignment="1">
      <alignment horizontal="center"/>
    </xf>
    <xf numFmtId="0" fontId="72" fillId="0" borderId="0" xfId="11" applyFont="1" applyAlignment="1">
      <alignment horizontal="center" vertical="center" wrapText="1" readingOrder="1"/>
    </xf>
    <xf numFmtId="0" fontId="69" fillId="0" borderId="0" xfId="11" applyFont="1" applyAlignment="1">
      <alignment horizontal="center"/>
    </xf>
    <xf numFmtId="0" fontId="62" fillId="0" borderId="6" xfId="12" applyFont="1" applyBorder="1" applyAlignment="1">
      <alignment horizontal="center" vertical="center" wrapText="1" readingOrder="1"/>
    </xf>
    <xf numFmtId="0" fontId="64" fillId="36" borderId="6" xfId="12" applyFont="1" applyFill="1" applyBorder="1" applyAlignment="1">
      <alignment horizontal="center" vertical="center" wrapText="1" readingOrder="1"/>
    </xf>
    <xf numFmtId="0" fontId="64" fillId="0" borderId="6" xfId="12" applyFont="1" applyBorder="1" applyAlignment="1">
      <alignment horizontal="center" vertical="center" wrapText="1" readingOrder="1"/>
    </xf>
    <xf numFmtId="0" fontId="64" fillId="37" borderId="6" xfId="12" applyFont="1" applyFill="1" applyBorder="1" applyAlignment="1">
      <alignment horizontal="center" vertical="center" wrapText="1" readingOrder="1"/>
    </xf>
    <xf numFmtId="0" fontId="64" fillId="38" borderId="6" xfId="12" applyFont="1" applyFill="1" applyBorder="1" applyAlignment="1">
      <alignment horizontal="center" vertical="center" wrapText="1" readingOrder="1"/>
    </xf>
    <xf numFmtId="0" fontId="22" fillId="38" borderId="6" xfId="12" applyFont="1" applyFill="1" applyBorder="1" applyAlignment="1">
      <alignment horizontal="center" vertical="center" wrapText="1" readingOrder="1"/>
    </xf>
    <xf numFmtId="0" fontId="22" fillId="39" borderId="6" xfId="12" applyFont="1" applyFill="1" applyBorder="1" applyAlignment="1">
      <alignment horizontal="center" vertical="center" wrapText="1" readingOrder="1"/>
    </xf>
    <xf numFmtId="0" fontId="64" fillId="40" borderId="6" xfId="12" applyFont="1" applyFill="1" applyBorder="1" applyAlignment="1">
      <alignment horizontal="center" vertical="center" wrapText="1" readingOrder="1"/>
    </xf>
    <xf numFmtId="0" fontId="22" fillId="36" borderId="6" xfId="12" applyFont="1" applyFill="1" applyBorder="1" applyAlignment="1">
      <alignment horizontal="center" vertical="center" wrapText="1" readingOrder="1"/>
    </xf>
    <xf numFmtId="0" fontId="22" fillId="0" borderId="6" xfId="12" applyFont="1" applyBorder="1" applyAlignment="1">
      <alignment horizontal="center" vertical="center" wrapText="1" readingOrder="1"/>
    </xf>
    <xf numFmtId="0" fontId="22" fillId="40" borderId="6" xfId="12" applyFont="1" applyFill="1" applyBorder="1" applyAlignment="1">
      <alignment horizontal="center" vertical="center" wrapText="1" readingOrder="1"/>
    </xf>
    <xf numFmtId="0" fontId="22" fillId="37" borderId="6" xfId="12" applyFont="1" applyFill="1" applyBorder="1" applyAlignment="1">
      <alignment horizontal="center" vertical="center" wrapText="1" readingOrder="1"/>
    </xf>
    <xf numFmtId="0" fontId="22" fillId="0" borderId="6" xfId="12" applyFont="1" applyBorder="1" applyAlignment="1">
      <alignment vertical="center" wrapText="1" readingOrder="1"/>
    </xf>
    <xf numFmtId="0" fontId="22" fillId="42" borderId="6" xfId="12" applyFont="1" applyFill="1" applyBorder="1" applyAlignment="1">
      <alignment horizontal="center" vertical="center" wrapText="1" readingOrder="1"/>
    </xf>
    <xf numFmtId="0" fontId="22" fillId="7" borderId="6" xfId="12" applyFont="1" applyFill="1" applyBorder="1" applyAlignment="1">
      <alignment horizontal="center" vertical="center" wrapText="1" readingOrder="1"/>
    </xf>
    <xf numFmtId="0" fontId="60" fillId="30" borderId="6" xfId="12" applyFont="1" applyFill="1" applyBorder="1" applyAlignment="1">
      <alignment horizontal="center" vertical="center" wrapText="1" readingOrder="1"/>
    </xf>
    <xf numFmtId="0" fontId="61" fillId="31" borderId="6" xfId="12" applyFont="1" applyFill="1" applyBorder="1" applyAlignment="1">
      <alignment horizontal="center" vertical="center" wrapText="1" readingOrder="1"/>
    </xf>
    <xf numFmtId="0" fontId="61" fillId="32" borderId="6" xfId="12" applyFont="1" applyFill="1" applyBorder="1" applyAlignment="1">
      <alignment horizontal="center" vertical="center" wrapText="1" readingOrder="1"/>
    </xf>
    <xf numFmtId="0" fontId="61" fillId="33" borderId="6" xfId="12" applyFont="1" applyFill="1" applyBorder="1" applyAlignment="1">
      <alignment horizontal="center" vertical="center" wrapText="1" readingOrder="1"/>
    </xf>
    <xf numFmtId="0" fontId="61" fillId="34" borderId="6" xfId="12" applyFont="1" applyFill="1" applyBorder="1" applyAlignment="1">
      <alignment horizontal="center" vertical="center" wrapText="1" readingOrder="1"/>
    </xf>
    <xf numFmtId="0" fontId="61" fillId="35" borderId="6" xfId="12" applyFont="1" applyFill="1" applyBorder="1" applyAlignment="1">
      <alignment horizontal="center" vertical="center" wrapText="1" readingOrder="1"/>
    </xf>
    <xf numFmtId="0" fontId="62" fillId="30" borderId="6" xfId="12" applyFont="1" applyFill="1" applyBorder="1" applyAlignment="1">
      <alignment horizontal="center" vertical="center" wrapText="1" readingOrder="1"/>
    </xf>
    <xf numFmtId="0" fontId="63" fillId="36" borderId="6" xfId="12" applyFont="1" applyFill="1" applyBorder="1" applyAlignment="1">
      <alignment horizontal="center" vertical="center" wrapText="1" readingOrder="1"/>
    </xf>
    <xf numFmtId="0" fontId="63" fillId="37" borderId="6" xfId="12" applyFont="1" applyFill="1" applyBorder="1" applyAlignment="1">
      <alignment horizontal="center" vertical="center" wrapText="1" readingOrder="1"/>
    </xf>
    <xf numFmtId="0" fontId="63" fillId="38" borderId="6" xfId="12" applyFont="1" applyFill="1" applyBorder="1" applyAlignment="1">
      <alignment horizontal="center" vertical="center" wrapText="1" readingOrder="1"/>
    </xf>
    <xf numFmtId="0" fontId="63" fillId="39" borderId="6" xfId="12" applyFont="1" applyFill="1" applyBorder="1" applyAlignment="1">
      <alignment horizontal="center" vertical="center" wrapText="1" readingOrder="1"/>
    </xf>
    <xf numFmtId="0" fontId="63" fillId="40" borderId="6" xfId="12" applyFont="1" applyFill="1" applyBorder="1" applyAlignment="1">
      <alignment horizontal="center" vertical="center" wrapText="1" readingOrder="1"/>
    </xf>
    <xf numFmtId="0" fontId="69" fillId="0" borderId="0" xfId="11" applyFont="1" applyAlignment="1">
      <alignment horizontal="center" wrapText="1"/>
    </xf>
    <xf numFmtId="0" fontId="67" fillId="0" borderId="0" xfId="11" applyFont="1" applyAlignment="1">
      <alignment horizontal="center" wrapText="1"/>
    </xf>
    <xf numFmtId="0" fontId="62" fillId="7" borderId="6" xfId="12" applyFont="1" applyFill="1" applyBorder="1" applyAlignment="1">
      <alignment horizontal="center" vertical="center" wrapText="1" readingOrder="1"/>
    </xf>
    <xf numFmtId="0" fontId="64" fillId="7" borderId="6" xfId="12" applyFont="1" applyFill="1" applyBorder="1" applyAlignment="1">
      <alignment horizontal="center" vertical="center" wrapText="1" readingOrder="1"/>
    </xf>
    <xf numFmtId="0" fontId="67" fillId="0" borderId="0" xfId="11" applyFont="1" applyAlignment="1">
      <alignment horizontal="center"/>
    </xf>
    <xf numFmtId="0" fontId="62" fillId="43" borderId="6" xfId="12" applyFont="1" applyFill="1" applyBorder="1" applyAlignment="1">
      <alignment horizontal="center" vertical="center" wrapText="1" readingOrder="1"/>
    </xf>
    <xf numFmtId="0" fontId="64" fillId="36" borderId="6" xfId="16" applyNumberFormat="1" applyFont="1" applyFill="1" applyBorder="1" applyAlignment="1">
      <alignment horizontal="center" vertical="center" wrapText="1" readingOrder="1"/>
    </xf>
    <xf numFmtId="0" fontId="64" fillId="37" borderId="6" xfId="16" applyNumberFormat="1" applyFont="1" applyFill="1" applyBorder="1" applyAlignment="1">
      <alignment horizontal="center" vertical="center" wrapText="1" readingOrder="1"/>
    </xf>
    <xf numFmtId="0" fontId="64" fillId="38" borderId="6" xfId="16" applyNumberFormat="1" applyFont="1" applyFill="1" applyBorder="1" applyAlignment="1">
      <alignment horizontal="center" vertical="center" wrapText="1" readingOrder="1"/>
    </xf>
    <xf numFmtId="0" fontId="22" fillId="39" borderId="6" xfId="16" applyNumberFormat="1" applyFont="1" applyFill="1" applyBorder="1" applyAlignment="1">
      <alignment horizontal="center" vertical="center" wrapText="1" readingOrder="1"/>
    </xf>
    <xf numFmtId="0" fontId="64" fillId="40" borderId="6" xfId="16" applyNumberFormat="1" applyFont="1" applyFill="1" applyBorder="1" applyAlignment="1">
      <alignment horizontal="center" vertical="center" wrapText="1" readingOrder="1"/>
    </xf>
    <xf numFmtId="0" fontId="22" fillId="37" borderId="6" xfId="16" applyNumberFormat="1" applyFont="1" applyFill="1" applyBorder="1" applyAlignment="1">
      <alignment horizontal="center" vertical="center" wrapText="1" readingOrder="1"/>
    </xf>
    <xf numFmtId="0" fontId="22" fillId="42" borderId="6" xfId="16" applyNumberFormat="1" applyFont="1" applyFill="1" applyBorder="1" applyAlignment="1">
      <alignment horizontal="center" vertical="center" wrapText="1" readingOrder="1"/>
    </xf>
    <xf numFmtId="182" fontId="56" fillId="7" borderId="6" xfId="16" applyFill="1" applyBorder="1" applyAlignment="1">
      <alignment horizontal="center"/>
    </xf>
    <xf numFmtId="0" fontId="62" fillId="30" borderId="6" xfId="16" applyNumberFormat="1" applyFont="1" applyFill="1" applyBorder="1" applyAlignment="1">
      <alignment horizontal="center" vertical="center" wrapText="1" readingOrder="1"/>
    </xf>
    <xf numFmtId="0" fontId="63" fillId="36" borderId="6" xfId="16" applyNumberFormat="1" applyFont="1" applyFill="1" applyBorder="1" applyAlignment="1">
      <alignment horizontal="center" vertical="center" wrapText="1" readingOrder="1"/>
    </xf>
    <xf numFmtId="0" fontId="63" fillId="37" borderId="6" xfId="16" applyNumberFormat="1" applyFont="1" applyFill="1" applyBorder="1" applyAlignment="1">
      <alignment horizontal="center" vertical="center" wrapText="1" readingOrder="1"/>
    </xf>
    <xf numFmtId="0" fontId="63" fillId="38" borderId="6" xfId="16" applyNumberFormat="1" applyFont="1" applyFill="1" applyBorder="1" applyAlignment="1">
      <alignment horizontal="center" vertical="center" wrapText="1" readingOrder="1"/>
    </xf>
    <xf numFmtId="0" fontId="63" fillId="39" borderId="6" xfId="16" applyNumberFormat="1" applyFont="1" applyFill="1" applyBorder="1" applyAlignment="1">
      <alignment horizontal="center" vertical="center" wrapText="1" readingOrder="1"/>
    </xf>
    <xf numFmtId="0" fontId="63" fillId="40" borderId="6" xfId="16" applyNumberFormat="1" applyFont="1" applyFill="1" applyBorder="1" applyAlignment="1">
      <alignment horizontal="center" vertical="center" wrapText="1" readingOrder="1"/>
    </xf>
    <xf numFmtId="0" fontId="22" fillId="0" borderId="6" xfId="16" applyNumberFormat="1" applyFont="1" applyBorder="1" applyAlignment="1">
      <alignment horizontal="center" vertical="center" wrapText="1" readingOrder="1"/>
    </xf>
    <xf numFmtId="0" fontId="22" fillId="7" borderId="6" xfId="16" applyNumberFormat="1" applyFont="1" applyFill="1" applyBorder="1" applyAlignment="1">
      <alignment horizontal="center" vertical="center" readingOrder="1"/>
    </xf>
    <xf numFmtId="0" fontId="64" fillId="0" borderId="6" xfId="16" applyNumberFormat="1" applyFont="1" applyBorder="1" applyAlignment="1">
      <alignment horizontal="center" vertical="center" wrapText="1" readingOrder="1"/>
    </xf>
    <xf numFmtId="182" fontId="56" fillId="0" borderId="6" xfId="16" applyBorder="1" applyAlignment="1">
      <alignment horizontal="center"/>
    </xf>
    <xf numFmtId="0" fontId="75" fillId="0" borderId="6" xfId="16" applyNumberFormat="1" applyFont="1" applyBorder="1" applyAlignment="1">
      <alignment horizontal="center" vertical="center" wrapText="1" readingOrder="1"/>
    </xf>
    <xf numFmtId="0" fontId="77" fillId="0" borderId="0" xfId="11" applyFont="1"/>
    <xf numFmtId="0" fontId="77" fillId="46" borderId="6" xfId="11" applyFont="1" applyFill="1" applyBorder="1" applyAlignment="1">
      <alignment horizontal="center" vertical="center" wrapText="1"/>
    </xf>
    <xf numFmtId="0" fontId="77" fillId="46" borderId="6" xfId="11" applyFont="1" applyFill="1" applyBorder="1" applyAlignment="1">
      <alignment horizontal="center" vertical="center"/>
    </xf>
    <xf numFmtId="0" fontId="77" fillId="0" borderId="6" xfId="11" applyFont="1" applyBorder="1" applyAlignment="1">
      <alignment horizontal="center" vertical="center"/>
    </xf>
    <xf numFmtId="0" fontId="77" fillId="48" borderId="6" xfId="11" applyFont="1" applyFill="1" applyBorder="1" applyAlignment="1">
      <alignment horizontal="center" vertical="center"/>
    </xf>
    <xf numFmtId="0" fontId="77" fillId="0" borderId="0" xfId="1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77" fontId="14" fillId="11" borderId="10" xfId="0" applyNumberFormat="1" applyFont="1" applyFill="1" applyBorder="1" applyAlignment="1">
      <alignment horizontal="center" vertical="center" wrapText="1"/>
    </xf>
    <xf numFmtId="177" fontId="14" fillId="11" borderId="0" xfId="0" applyNumberFormat="1" applyFont="1" applyFill="1" applyAlignment="1">
      <alignment horizontal="center" vertical="center" wrapText="1"/>
    </xf>
    <xf numFmtId="177" fontId="16" fillId="10" borderId="6" xfId="0" applyNumberFormat="1" applyFont="1" applyFill="1" applyBorder="1" applyAlignment="1">
      <alignment horizontal="center" vertical="center" wrapText="1"/>
    </xf>
    <xf numFmtId="177" fontId="19" fillId="16" borderId="14" xfId="0" applyNumberFormat="1" applyFont="1" applyFill="1" applyBorder="1" applyAlignment="1">
      <alignment horizontal="center" vertical="center" wrapText="1"/>
    </xf>
    <xf numFmtId="177" fontId="19" fillId="16" borderId="18" xfId="0" applyNumberFormat="1" applyFont="1" applyFill="1" applyBorder="1" applyAlignment="1">
      <alignment horizontal="center" vertical="center" wrapText="1"/>
    </xf>
    <xf numFmtId="177" fontId="19" fillId="16" borderId="15" xfId="0" applyNumberFormat="1" applyFont="1" applyFill="1" applyBorder="1" applyAlignment="1">
      <alignment horizontal="center" vertical="center"/>
    </xf>
    <xf numFmtId="177" fontId="19" fillId="16" borderId="19" xfId="0" applyNumberFormat="1" applyFont="1" applyFill="1" applyBorder="1" applyAlignment="1">
      <alignment horizontal="center" vertical="center"/>
    </xf>
    <xf numFmtId="182" fontId="46" fillId="0" borderId="34" xfId="8" applyFont="1" applyBorder="1" applyAlignment="1">
      <alignment horizontal="center" vertical="center"/>
    </xf>
    <xf numFmtId="182" fontId="46" fillId="0" borderId="29" xfId="8" applyFont="1" applyBorder="1" applyAlignment="1">
      <alignment horizontal="center" vertical="center"/>
    </xf>
    <xf numFmtId="182" fontId="46" fillId="0" borderId="35" xfId="8" applyFont="1" applyBorder="1" applyAlignment="1">
      <alignment horizontal="center" vertical="center"/>
    </xf>
    <xf numFmtId="182" fontId="46" fillId="0" borderId="36" xfId="8" applyFont="1" applyBorder="1" applyAlignment="1">
      <alignment horizontal="center" vertical="center"/>
    </xf>
    <xf numFmtId="182" fontId="46" fillId="0" borderId="32" xfId="8" applyFont="1" applyBorder="1" applyAlignment="1">
      <alignment horizontal="center" vertical="center"/>
    </xf>
    <xf numFmtId="182" fontId="46" fillId="0" borderId="31" xfId="8" applyFont="1" applyBorder="1" applyAlignment="1">
      <alignment horizontal="center" vertical="center"/>
    </xf>
    <xf numFmtId="182" fontId="46" fillId="0" borderId="33" xfId="8" applyFont="1" applyBorder="1" applyAlignment="1">
      <alignment horizontal="center" vertical="center"/>
    </xf>
    <xf numFmtId="0" fontId="50" fillId="23" borderId="15" xfId="7" applyFont="1" applyFill="1" applyBorder="1" applyAlignment="1">
      <alignment horizontal="center" vertical="center"/>
    </xf>
    <xf numFmtId="0" fontId="50" fillId="23" borderId="19" xfId="7" applyFont="1" applyFill="1" applyBorder="1" applyAlignment="1">
      <alignment horizontal="center" vertical="center"/>
    </xf>
    <xf numFmtId="182" fontId="46" fillId="7" borderId="15" xfId="8" applyFont="1" applyFill="1" applyBorder="1" applyAlignment="1">
      <alignment horizontal="center" vertical="center"/>
    </xf>
    <xf numFmtId="182" fontId="46" fillId="7" borderId="29" xfId="8" applyFont="1" applyFill="1" applyBorder="1" applyAlignment="1">
      <alignment horizontal="center" vertical="center"/>
    </xf>
    <xf numFmtId="182" fontId="46" fillId="7" borderId="19" xfId="8" applyFont="1" applyFill="1" applyBorder="1" applyAlignment="1">
      <alignment horizontal="center" vertical="center"/>
    </xf>
    <xf numFmtId="0" fontId="50" fillId="23" borderId="30" xfId="7" applyFont="1" applyFill="1" applyBorder="1" applyAlignment="1">
      <alignment horizontal="left" wrapText="1"/>
    </xf>
    <xf numFmtId="0" fontId="49" fillId="23" borderId="15" xfId="7" applyFont="1" applyFill="1" applyBorder="1" applyAlignment="1">
      <alignment horizontal="center" vertical="center"/>
    </xf>
    <xf numFmtId="0" fontId="49" fillId="23" borderId="19" xfId="7" applyFont="1" applyFill="1" applyBorder="1" applyAlignment="1">
      <alignment horizontal="center" vertical="center"/>
    </xf>
    <xf numFmtId="0" fontId="49" fillId="23" borderId="15" xfId="7" applyFont="1" applyFill="1" applyBorder="1" applyAlignment="1">
      <alignment horizontal="center" vertical="center" wrapText="1"/>
    </xf>
    <xf numFmtId="0" fontId="49" fillId="23" borderId="19" xfId="7" applyFont="1" applyFill="1" applyBorder="1" applyAlignment="1">
      <alignment horizontal="center" vertical="center" wrapText="1"/>
    </xf>
    <xf numFmtId="0" fontId="40" fillId="7" borderId="0" xfId="7" applyFont="1" applyFill="1" applyAlignment="1">
      <alignment horizontal="left" vertical="center" wrapText="1"/>
    </xf>
    <xf numFmtId="0" fontId="43" fillId="21" borderId="6" xfId="7" applyFont="1" applyFill="1" applyBorder="1" applyAlignment="1">
      <alignment horizontal="center" vertical="center" wrapText="1"/>
    </xf>
    <xf numFmtId="0" fontId="43" fillId="21" borderId="10" xfId="7" applyFont="1" applyFill="1" applyBorder="1" applyAlignment="1">
      <alignment horizontal="center" vertical="center" wrapText="1"/>
    </xf>
    <xf numFmtId="0" fontId="43" fillId="21" borderId="0" xfId="7" applyFont="1" applyFill="1" applyAlignment="1">
      <alignment horizontal="center" vertical="center" wrapText="1"/>
    </xf>
    <xf numFmtId="0" fontId="50" fillId="23" borderId="30" xfId="7" applyFont="1" applyFill="1" applyBorder="1" applyAlignment="1">
      <alignment horizontal="left" vertical="center" wrapText="1"/>
    </xf>
    <xf numFmtId="0" fontId="49" fillId="23" borderId="6" xfId="7" applyFont="1" applyFill="1" applyBorder="1" applyAlignment="1">
      <alignment horizontal="center" vertical="center"/>
    </xf>
    <xf numFmtId="0" fontId="41" fillId="7" borderId="0" xfId="7" applyFont="1" applyFill="1" applyAlignment="1">
      <alignment horizontal="left" vertical="center" wrapText="1"/>
    </xf>
    <xf numFmtId="0" fontId="41" fillId="7" borderId="0" xfId="7" applyFont="1" applyFill="1" applyAlignment="1">
      <alignment horizontal="left" vertical="center"/>
    </xf>
    <xf numFmtId="0" fontId="35" fillId="18" borderId="5" xfId="11" applyFont="1" applyFill="1" applyBorder="1" applyAlignment="1">
      <alignment horizontal="center" vertical="center" wrapText="1"/>
    </xf>
    <xf numFmtId="0" fontId="35" fillId="18" borderId="39" xfId="11" applyFont="1" applyFill="1" applyBorder="1" applyAlignment="1">
      <alignment horizontal="center" vertical="center" wrapText="1"/>
    </xf>
    <xf numFmtId="0" fontId="35" fillId="18" borderId="8" xfId="11" applyFont="1" applyFill="1" applyBorder="1" applyAlignment="1">
      <alignment horizontal="center" vertical="center" wrapText="1"/>
    </xf>
    <xf numFmtId="0" fontId="35" fillId="26" borderId="5" xfId="11" applyFont="1" applyFill="1" applyBorder="1" applyAlignment="1">
      <alignment horizontal="center" vertical="center" wrapText="1"/>
    </xf>
    <xf numFmtId="0" fontId="35" fillId="26" borderId="39" xfId="11" applyFont="1" applyFill="1" applyBorder="1" applyAlignment="1">
      <alignment horizontal="center" vertical="center" wrapText="1"/>
    </xf>
    <xf numFmtId="0" fontId="35" fillId="26" borderId="8" xfId="11" applyFont="1" applyFill="1" applyBorder="1" applyAlignment="1">
      <alignment horizontal="center" vertical="center" wrapText="1"/>
    </xf>
    <xf numFmtId="0" fontId="37" fillId="25" borderId="29" xfId="11" applyFont="1" applyFill="1" applyBorder="1" applyAlignment="1">
      <alignment horizontal="center" vertical="center" wrapText="1"/>
    </xf>
    <xf numFmtId="0" fontId="37" fillId="25" borderId="19" xfId="11" applyFont="1" applyFill="1" applyBorder="1" applyAlignment="1">
      <alignment horizontal="center" vertical="center" wrapText="1"/>
    </xf>
    <xf numFmtId="0" fontId="54" fillId="2" borderId="0" xfId="11" applyFont="1" applyFill="1" applyAlignment="1">
      <alignment horizontal="center" vertical="center"/>
    </xf>
    <xf numFmtId="0" fontId="54" fillId="2" borderId="30" xfId="11" applyFont="1" applyFill="1" applyBorder="1" applyAlignment="1">
      <alignment horizontal="center" vertical="center"/>
    </xf>
    <xf numFmtId="0" fontId="54" fillId="2" borderId="38" xfId="11" applyFont="1" applyFill="1" applyBorder="1" applyAlignment="1">
      <alignment horizontal="center" vertical="center" wrapText="1"/>
    </xf>
    <xf numFmtId="0" fontId="54" fillId="2" borderId="40" xfId="11" applyFont="1" applyFill="1" applyBorder="1" applyAlignment="1">
      <alignment horizontal="center" vertical="center" wrapText="1"/>
    </xf>
    <xf numFmtId="179" fontId="57" fillId="2" borderId="6" xfId="12" applyNumberFormat="1" applyFont="1" applyFill="1" applyBorder="1" applyAlignment="1">
      <alignment horizontal="center" vertical="center" wrapText="1"/>
    </xf>
    <xf numFmtId="38" fontId="57" fillId="29" borderId="6" xfId="12" applyNumberFormat="1" applyFont="1" applyFill="1" applyBorder="1" applyAlignment="1">
      <alignment horizontal="center" vertical="center"/>
    </xf>
    <xf numFmtId="0" fontId="60" fillId="30" borderId="6" xfId="16" applyNumberFormat="1" applyFont="1" applyFill="1" applyBorder="1" applyAlignment="1">
      <alignment horizontal="center" vertical="center" wrapText="1" readingOrder="1"/>
    </xf>
    <xf numFmtId="0" fontId="61" fillId="31" borderId="6" xfId="16" applyNumberFormat="1" applyFont="1" applyFill="1" applyBorder="1" applyAlignment="1">
      <alignment horizontal="center" vertical="center" wrapText="1" readingOrder="1"/>
    </xf>
    <xf numFmtId="0" fontId="61" fillId="32" borderId="6" xfId="16" applyNumberFormat="1" applyFont="1" applyFill="1" applyBorder="1" applyAlignment="1">
      <alignment horizontal="center" vertical="center" wrapText="1" readingOrder="1"/>
    </xf>
    <xf numFmtId="0" fontId="61" fillId="33" borderId="6" xfId="16" applyNumberFormat="1" applyFont="1" applyFill="1" applyBorder="1" applyAlignment="1">
      <alignment horizontal="center" vertical="center" wrapText="1" readingOrder="1"/>
    </xf>
    <xf numFmtId="0" fontId="61" fillId="34" borderId="6" xfId="16" applyNumberFormat="1" applyFont="1" applyFill="1" applyBorder="1" applyAlignment="1">
      <alignment horizontal="center" vertical="center" wrapText="1" readingOrder="1"/>
    </xf>
    <xf numFmtId="0" fontId="61" fillId="35" borderId="6" xfId="16" applyNumberFormat="1" applyFont="1" applyFill="1" applyBorder="1" applyAlignment="1">
      <alignment horizontal="center" vertical="center" wrapText="1" readingOrder="1"/>
    </xf>
    <xf numFmtId="0" fontId="63" fillId="38" borderId="6" xfId="16" applyNumberFormat="1" applyFont="1" applyFill="1" applyBorder="1" applyAlignment="1">
      <alignment horizontal="center" vertical="center" wrapText="1" readingOrder="1"/>
    </xf>
    <xf numFmtId="0" fontId="63" fillId="39" borderId="6" xfId="16" applyNumberFormat="1" applyFont="1" applyFill="1" applyBorder="1" applyAlignment="1">
      <alignment horizontal="center" vertical="center" wrapText="1" readingOrder="1"/>
    </xf>
    <xf numFmtId="0" fontId="62" fillId="30" borderId="6" xfId="16" applyNumberFormat="1" applyFont="1" applyFill="1" applyBorder="1" applyAlignment="1">
      <alignment horizontal="center" vertical="center" wrapText="1" readingOrder="1"/>
    </xf>
    <xf numFmtId="0" fontId="63" fillId="36" borderId="6" xfId="16" applyNumberFormat="1" applyFont="1" applyFill="1" applyBorder="1" applyAlignment="1">
      <alignment horizontal="center" vertical="center" wrapText="1" readingOrder="1"/>
    </xf>
    <xf numFmtId="0" fontId="63" fillId="37" borderId="6" xfId="16" applyNumberFormat="1" applyFont="1" applyFill="1" applyBorder="1" applyAlignment="1">
      <alignment horizontal="center" vertical="center" wrapText="1" readingOrder="1"/>
    </xf>
    <xf numFmtId="0" fontId="22" fillId="41" borderId="6" xfId="16" applyNumberFormat="1" applyFont="1" applyFill="1" applyBorder="1" applyAlignment="1">
      <alignment horizontal="center" vertical="center" wrapText="1" readingOrder="1"/>
    </xf>
    <xf numFmtId="0" fontId="64" fillId="7" borderId="5" xfId="16" applyNumberFormat="1" applyFont="1" applyFill="1" applyBorder="1" applyAlignment="1">
      <alignment horizontal="center" vertical="center" wrapText="1" readingOrder="1"/>
    </xf>
    <xf numFmtId="0" fontId="64" fillId="7" borderId="39" xfId="16" applyNumberFormat="1" applyFont="1" applyFill="1" applyBorder="1" applyAlignment="1">
      <alignment horizontal="center" vertical="center" wrapText="1" readingOrder="1"/>
    </xf>
    <xf numFmtId="0" fontId="64" fillId="7" borderId="8" xfId="16" applyNumberFormat="1" applyFont="1" applyFill="1" applyBorder="1" applyAlignment="1">
      <alignment horizontal="center" vertical="center" wrapText="1" readingOrder="1"/>
    </xf>
    <xf numFmtId="0" fontId="64" fillId="37" borderId="5" xfId="16" applyNumberFormat="1" applyFont="1" applyFill="1" applyBorder="1" applyAlignment="1">
      <alignment horizontal="center" vertical="center" wrapText="1" readingOrder="1"/>
    </xf>
    <xf numFmtId="0" fontId="64" fillId="37" borderId="39" xfId="16" applyNumberFormat="1" applyFont="1" applyFill="1" applyBorder="1" applyAlignment="1">
      <alignment horizontal="center" vertical="center" wrapText="1" readingOrder="1"/>
    </xf>
    <xf numFmtId="0" fontId="64" fillId="37" borderId="8" xfId="16" applyNumberFormat="1" applyFont="1" applyFill="1" applyBorder="1" applyAlignment="1">
      <alignment horizontal="center" vertical="center" wrapText="1" readingOrder="1"/>
    </xf>
    <xf numFmtId="0" fontId="64" fillId="38" borderId="5" xfId="16" applyNumberFormat="1" applyFont="1" applyFill="1" applyBorder="1" applyAlignment="1">
      <alignment horizontal="center" vertical="center" wrapText="1" readingOrder="1"/>
    </xf>
    <xf numFmtId="0" fontId="64" fillId="38" borderId="8" xfId="16" applyNumberFormat="1" applyFont="1" applyFill="1" applyBorder="1" applyAlignment="1">
      <alignment horizontal="center" vertical="center" wrapText="1" readingOrder="1"/>
    </xf>
    <xf numFmtId="0" fontId="64" fillId="7" borderId="6" xfId="16" applyNumberFormat="1" applyFont="1" applyFill="1" applyBorder="1" applyAlignment="1">
      <alignment horizontal="center" vertical="center" wrapText="1" readingOrder="1"/>
    </xf>
    <xf numFmtId="0" fontId="64" fillId="40" borderId="6" xfId="16" applyNumberFormat="1" applyFont="1" applyFill="1" applyBorder="1" applyAlignment="1">
      <alignment horizontal="center" vertical="center" wrapText="1" readingOrder="1"/>
    </xf>
    <xf numFmtId="0" fontId="22" fillId="7" borderId="6" xfId="16" applyNumberFormat="1" applyFont="1" applyFill="1" applyBorder="1" applyAlignment="1">
      <alignment horizontal="center" vertical="center" wrapText="1" readingOrder="1"/>
    </xf>
    <xf numFmtId="0" fontId="22" fillId="40" borderId="6" xfId="16" applyNumberFormat="1" applyFont="1" applyFill="1" applyBorder="1" applyAlignment="1">
      <alignment horizontal="center" vertical="center" wrapText="1" readingOrder="1"/>
    </xf>
    <xf numFmtId="0" fontId="22" fillId="37" borderId="5" xfId="16" applyNumberFormat="1" applyFont="1" applyFill="1" applyBorder="1" applyAlignment="1">
      <alignment horizontal="center" vertical="center" wrapText="1" readingOrder="1"/>
    </xf>
    <xf numFmtId="0" fontId="22" fillId="37" borderId="39" xfId="16" applyNumberFormat="1" applyFont="1" applyFill="1" applyBorder="1" applyAlignment="1">
      <alignment horizontal="center" vertical="center" wrapText="1" readingOrder="1"/>
    </xf>
    <xf numFmtId="0" fontId="22" fillId="37" borderId="8" xfId="16" applyNumberFormat="1" applyFont="1" applyFill="1" applyBorder="1" applyAlignment="1">
      <alignment horizontal="center" vertical="center" wrapText="1" readingOrder="1"/>
    </xf>
    <xf numFmtId="0" fontId="22" fillId="38" borderId="5" xfId="16" applyNumberFormat="1" applyFont="1" applyFill="1" applyBorder="1" applyAlignment="1">
      <alignment horizontal="center" vertical="center" wrapText="1" readingOrder="1"/>
    </xf>
    <xf numFmtId="0" fontId="22" fillId="38" borderId="39" xfId="16" applyNumberFormat="1" applyFont="1" applyFill="1" applyBorder="1" applyAlignment="1">
      <alignment horizontal="center" vertical="center" wrapText="1" readingOrder="1"/>
    </xf>
    <xf numFmtId="0" fontId="22" fillId="38" borderId="8" xfId="16" applyNumberFormat="1" applyFont="1" applyFill="1" applyBorder="1" applyAlignment="1">
      <alignment horizontal="center" vertical="center" wrapText="1" readingOrder="1"/>
    </xf>
    <xf numFmtId="0" fontId="63" fillId="40" borderId="6" xfId="16" applyNumberFormat="1" applyFont="1" applyFill="1" applyBorder="1" applyAlignment="1">
      <alignment horizontal="center" vertical="center" wrapText="1" readingOrder="1"/>
    </xf>
    <xf numFmtId="0" fontId="22" fillId="7" borderId="5" xfId="16" applyNumberFormat="1" applyFont="1" applyFill="1" applyBorder="1" applyAlignment="1">
      <alignment horizontal="center" vertical="center" wrapText="1" readingOrder="1"/>
    </xf>
    <xf numFmtId="0" fontId="22" fillId="7" borderId="39" xfId="16" applyNumberFormat="1" applyFont="1" applyFill="1" applyBorder="1" applyAlignment="1">
      <alignment horizontal="center" vertical="center" wrapText="1" readingOrder="1"/>
    </xf>
    <xf numFmtId="0" fontId="22" fillId="7" borderId="8" xfId="16" applyNumberFormat="1" applyFont="1" applyFill="1" applyBorder="1" applyAlignment="1">
      <alignment horizontal="center" vertical="center" wrapText="1" readingOrder="1"/>
    </xf>
    <xf numFmtId="0" fontId="22" fillId="36" borderId="5" xfId="16" applyNumberFormat="1" applyFont="1" applyFill="1" applyBorder="1" applyAlignment="1">
      <alignment horizontal="center" vertical="center" wrapText="1" readingOrder="1"/>
    </xf>
    <xf numFmtId="0" fontId="22" fillId="36" borderId="8" xfId="16" applyNumberFormat="1" applyFont="1" applyFill="1" applyBorder="1" applyAlignment="1">
      <alignment horizontal="center" vertical="center" wrapText="1" readingOrder="1"/>
    </xf>
    <xf numFmtId="0" fontId="22" fillId="7" borderId="5" xfId="16" applyNumberFormat="1" applyFont="1" applyFill="1" applyBorder="1" applyAlignment="1">
      <alignment horizontal="center" vertical="center" readingOrder="1"/>
    </xf>
    <xf numFmtId="0" fontId="22" fillId="7" borderId="39" xfId="16" applyNumberFormat="1" applyFont="1" applyFill="1" applyBorder="1" applyAlignment="1">
      <alignment horizontal="center" vertical="center" readingOrder="1"/>
    </xf>
    <xf numFmtId="0" fontId="22" fillId="7" borderId="8" xfId="16" applyNumberFormat="1" applyFont="1" applyFill="1" applyBorder="1" applyAlignment="1">
      <alignment horizontal="center" vertical="center" readingOrder="1"/>
    </xf>
    <xf numFmtId="0" fontId="22" fillId="39" borderId="5" xfId="16" applyNumberFormat="1" applyFont="1" applyFill="1" applyBorder="1" applyAlignment="1">
      <alignment horizontal="center" vertical="center" wrapText="1" readingOrder="1"/>
    </xf>
    <xf numFmtId="0" fontId="22" fillId="39" borderId="39" xfId="16" applyNumberFormat="1" applyFont="1" applyFill="1" applyBorder="1" applyAlignment="1">
      <alignment horizontal="center" vertical="center" wrapText="1" readingOrder="1"/>
    </xf>
    <xf numFmtId="0" fontId="22" fillId="39" borderId="8" xfId="16" applyNumberFormat="1" applyFont="1" applyFill="1" applyBorder="1" applyAlignment="1">
      <alignment horizontal="center" vertical="center" wrapText="1" readingOrder="1"/>
    </xf>
    <xf numFmtId="0" fontId="22" fillId="40" borderId="5" xfId="16" applyNumberFormat="1" applyFont="1" applyFill="1" applyBorder="1" applyAlignment="1">
      <alignment horizontal="center" vertical="center" wrapText="1" readingOrder="1"/>
    </xf>
    <xf numFmtId="0" fontId="22" fillId="40" borderId="8" xfId="16" applyNumberFormat="1" applyFont="1" applyFill="1" applyBorder="1" applyAlignment="1">
      <alignment horizontal="center" vertical="center" wrapText="1" readingOrder="1"/>
    </xf>
    <xf numFmtId="0" fontId="22" fillId="0" borderId="5" xfId="16" applyNumberFormat="1" applyFont="1" applyBorder="1" applyAlignment="1">
      <alignment horizontal="center" vertical="center" wrapText="1" readingOrder="1"/>
    </xf>
    <xf numFmtId="0" fontId="22" fillId="0" borderId="8" xfId="16" applyNumberFormat="1" applyFont="1" applyBorder="1" applyAlignment="1">
      <alignment horizontal="center" vertical="center" wrapText="1" readingOrder="1"/>
    </xf>
    <xf numFmtId="0" fontId="22" fillId="37" borderId="6" xfId="16" applyNumberFormat="1" applyFont="1" applyFill="1" applyBorder="1" applyAlignment="1">
      <alignment horizontal="center" vertical="center" wrapText="1" readingOrder="1"/>
    </xf>
    <xf numFmtId="0" fontId="22" fillId="39" borderId="6" xfId="16" applyNumberFormat="1" applyFont="1" applyFill="1" applyBorder="1" applyAlignment="1">
      <alignment horizontal="center" vertical="center" wrapText="1" readingOrder="1"/>
    </xf>
    <xf numFmtId="0" fontId="64" fillId="0" borderId="5" xfId="16" applyNumberFormat="1" applyFont="1" applyBorder="1" applyAlignment="1">
      <alignment horizontal="center" vertical="center" wrapText="1" readingOrder="1"/>
    </xf>
    <xf numFmtId="0" fontId="64" fillId="0" borderId="39" xfId="16" applyNumberFormat="1" applyFont="1" applyBorder="1" applyAlignment="1">
      <alignment horizontal="center" vertical="center" wrapText="1" readingOrder="1"/>
    </xf>
    <xf numFmtId="0" fontId="64" fillId="0" borderId="8" xfId="16" applyNumberFormat="1" applyFont="1" applyBorder="1" applyAlignment="1">
      <alignment horizontal="center" vertical="center" wrapText="1" readingOrder="1"/>
    </xf>
    <xf numFmtId="0" fontId="64" fillId="38" borderId="6" xfId="16" applyNumberFormat="1" applyFont="1" applyFill="1" applyBorder="1" applyAlignment="1">
      <alignment horizontal="center" vertical="center" wrapText="1" readingOrder="1"/>
    </xf>
    <xf numFmtId="182" fontId="56" fillId="0" borderId="5" xfId="16" applyBorder="1" applyAlignment="1">
      <alignment horizontal="center"/>
    </xf>
    <xf numFmtId="182" fontId="56" fillId="0" borderId="39" xfId="16" applyBorder="1" applyAlignment="1">
      <alignment horizontal="center"/>
    </xf>
    <xf numFmtId="182" fontId="56" fillId="0" borderId="8" xfId="16" applyBorder="1" applyAlignment="1">
      <alignment horizontal="center"/>
    </xf>
    <xf numFmtId="0" fontId="62" fillId="43" borderId="6" xfId="16" applyNumberFormat="1" applyFont="1" applyFill="1" applyBorder="1" applyAlignment="1">
      <alignment horizontal="center" vertical="center" wrapText="1" readingOrder="1"/>
    </xf>
    <xf numFmtId="0" fontId="22" fillId="0" borderId="39" xfId="16" applyNumberFormat="1" applyFont="1" applyBorder="1" applyAlignment="1">
      <alignment horizontal="center" vertical="center" wrapText="1" readingOrder="1"/>
    </xf>
    <xf numFmtId="0" fontId="63" fillId="30" borderId="48" xfId="11" applyFont="1" applyFill="1" applyBorder="1" applyAlignment="1">
      <alignment horizontal="center" vertical="center" wrapText="1" readingOrder="1"/>
    </xf>
    <xf numFmtId="0" fontId="63" fillId="30" borderId="51" xfId="11" applyFont="1" applyFill="1" applyBorder="1" applyAlignment="1">
      <alignment horizontal="center" vertical="center" wrapText="1" readingOrder="1"/>
    </xf>
    <xf numFmtId="0" fontId="63" fillId="30" borderId="54" xfId="11" applyFont="1" applyFill="1" applyBorder="1" applyAlignment="1">
      <alignment horizontal="center" vertical="center" wrapText="1" readingOrder="1"/>
    </xf>
    <xf numFmtId="0" fontId="63" fillId="36" borderId="48" xfId="11" applyFont="1" applyFill="1" applyBorder="1" applyAlignment="1">
      <alignment horizontal="center" vertical="center" wrapText="1" readingOrder="1"/>
    </xf>
    <xf numFmtId="0" fontId="63" fillId="36" borderId="51" xfId="11" applyFont="1" applyFill="1" applyBorder="1" applyAlignment="1">
      <alignment horizontal="center" vertical="center" wrapText="1" readingOrder="1"/>
    </xf>
    <xf numFmtId="0" fontId="63" fillId="36" borderId="44" xfId="11" applyFont="1" applyFill="1" applyBorder="1" applyAlignment="1">
      <alignment horizontal="center" vertical="center" wrapText="1" readingOrder="1"/>
    </xf>
    <xf numFmtId="0" fontId="63" fillId="36" borderId="49" xfId="11" applyFont="1" applyFill="1" applyBorder="1" applyAlignment="1">
      <alignment horizontal="center" vertical="center" wrapText="1" readingOrder="1"/>
    </xf>
    <xf numFmtId="0" fontId="63" fillId="37" borderId="48" xfId="11" applyFont="1" applyFill="1" applyBorder="1" applyAlignment="1">
      <alignment horizontal="center" vertical="center" wrapText="1" readingOrder="1"/>
    </xf>
    <xf numFmtId="0" fontId="63" fillId="37" borderId="51" xfId="11" applyFont="1" applyFill="1" applyBorder="1" applyAlignment="1">
      <alignment horizontal="center" vertical="center" wrapText="1" readingOrder="1"/>
    </xf>
    <xf numFmtId="0" fontId="63" fillId="37" borderId="44" xfId="11" applyFont="1" applyFill="1" applyBorder="1" applyAlignment="1">
      <alignment horizontal="center" vertical="center" wrapText="1" readingOrder="1"/>
    </xf>
    <xf numFmtId="0" fontId="63" fillId="37" borderId="49" xfId="11" applyFont="1" applyFill="1" applyBorder="1" applyAlignment="1">
      <alignment horizontal="center" vertical="center" wrapText="1" readingOrder="1"/>
    </xf>
    <xf numFmtId="0" fontId="63" fillId="38" borderId="48" xfId="11" applyFont="1" applyFill="1" applyBorder="1" applyAlignment="1">
      <alignment horizontal="center" vertical="center" wrapText="1" readingOrder="1"/>
    </xf>
    <xf numFmtId="0" fontId="63" fillId="38" borderId="51" xfId="11" applyFont="1" applyFill="1" applyBorder="1" applyAlignment="1">
      <alignment horizontal="center" vertical="center" wrapText="1" readingOrder="1"/>
    </xf>
    <xf numFmtId="0" fontId="68" fillId="31" borderId="43" xfId="11" applyFont="1" applyFill="1" applyBorder="1" applyAlignment="1">
      <alignment horizontal="center" vertical="center" wrapText="1" readingOrder="1"/>
    </xf>
    <xf numFmtId="0" fontId="68" fillId="31" borderId="46" xfId="11" applyFont="1" applyFill="1" applyBorder="1" applyAlignment="1">
      <alignment horizontal="center" vertical="center" wrapText="1" readingOrder="1"/>
    </xf>
    <xf numFmtId="0" fontId="68" fillId="31" borderId="47" xfId="11" applyFont="1" applyFill="1" applyBorder="1" applyAlignment="1">
      <alignment horizontal="center" vertical="center" wrapText="1" readingOrder="1"/>
    </xf>
    <xf numFmtId="0" fontId="68" fillId="32" borderId="43" xfId="11" applyFont="1" applyFill="1" applyBorder="1" applyAlignment="1">
      <alignment horizontal="center" vertical="center" wrapText="1" readingOrder="1"/>
    </xf>
    <xf numFmtId="0" fontId="68" fillId="32" borderId="46" xfId="11" applyFont="1" applyFill="1" applyBorder="1" applyAlignment="1">
      <alignment horizontal="center" vertical="center" wrapText="1" readingOrder="1"/>
    </xf>
    <xf numFmtId="0" fontId="68" fillId="33" borderId="43" xfId="11" applyFont="1" applyFill="1" applyBorder="1" applyAlignment="1">
      <alignment horizontal="center" vertical="center" wrapText="1" readingOrder="1"/>
    </xf>
    <xf numFmtId="0" fontId="68" fillId="33" borderId="46" xfId="11" applyFont="1" applyFill="1" applyBorder="1" applyAlignment="1">
      <alignment horizontal="center" vertical="center" wrapText="1" readingOrder="1"/>
    </xf>
    <xf numFmtId="0" fontId="68" fillId="33" borderId="47" xfId="11" applyFont="1" applyFill="1" applyBorder="1" applyAlignment="1">
      <alignment horizontal="center" vertical="center" wrapText="1" readingOrder="1"/>
    </xf>
    <xf numFmtId="0" fontId="68" fillId="34" borderId="43" xfId="11" applyFont="1" applyFill="1" applyBorder="1" applyAlignment="1">
      <alignment horizontal="center" vertical="center" wrapText="1" readingOrder="1"/>
    </xf>
    <xf numFmtId="0" fontId="68" fillId="34" borderId="46" xfId="11" applyFont="1" applyFill="1" applyBorder="1" applyAlignment="1">
      <alignment horizontal="center" vertical="center" wrapText="1" readingOrder="1"/>
    </xf>
    <xf numFmtId="0" fontId="68" fillId="34" borderId="47" xfId="11" applyFont="1" applyFill="1" applyBorder="1" applyAlignment="1">
      <alignment horizontal="center" vertical="center" wrapText="1" readingOrder="1"/>
    </xf>
    <xf numFmtId="0" fontId="68" fillId="35" borderId="43" xfId="11" applyFont="1" applyFill="1" applyBorder="1" applyAlignment="1">
      <alignment horizontal="center" vertical="center" wrapText="1" readingOrder="1"/>
    </xf>
    <xf numFmtId="0" fontId="68" fillId="35" borderId="46" xfId="11" applyFont="1" applyFill="1" applyBorder="1" applyAlignment="1">
      <alignment horizontal="center" vertical="center" wrapText="1" readingOrder="1"/>
    </xf>
    <xf numFmtId="0" fontId="68" fillId="35" borderId="47" xfId="11" applyFont="1" applyFill="1" applyBorder="1" applyAlignment="1">
      <alignment horizontal="center" vertical="center" wrapText="1" readingOrder="1"/>
    </xf>
    <xf numFmtId="0" fontId="63" fillId="39" borderId="48" xfId="11" applyFont="1" applyFill="1" applyBorder="1" applyAlignment="1">
      <alignment horizontal="center" vertical="center" wrapText="1" readingOrder="1"/>
    </xf>
    <xf numFmtId="0" fontId="63" fillId="39" borderId="51" xfId="11" applyFont="1" applyFill="1" applyBorder="1" applyAlignment="1">
      <alignment horizontal="center" vertical="center" wrapText="1" readingOrder="1"/>
    </xf>
    <xf numFmtId="0" fontId="63" fillId="40" borderId="48" xfId="11" applyFont="1" applyFill="1" applyBorder="1" applyAlignment="1">
      <alignment horizontal="center" vertical="center" wrapText="1" readingOrder="1"/>
    </xf>
    <xf numFmtId="0" fontId="63" fillId="40" borderId="51" xfId="11" applyFont="1" applyFill="1" applyBorder="1" applyAlignment="1">
      <alignment horizontal="center" vertical="center" wrapText="1" readingOrder="1"/>
    </xf>
    <xf numFmtId="0" fontId="64" fillId="41" borderId="48" xfId="11" applyFont="1" applyFill="1" applyBorder="1" applyAlignment="1">
      <alignment horizontal="center" vertical="center" wrapText="1" readingOrder="1"/>
    </xf>
    <xf numFmtId="0" fontId="64" fillId="41" borderId="51" xfId="11" applyFont="1" applyFill="1" applyBorder="1" applyAlignment="1">
      <alignment horizontal="center" vertical="center" wrapText="1" readingOrder="1"/>
    </xf>
    <xf numFmtId="0" fontId="64" fillId="41" borderId="54" xfId="11" applyFont="1" applyFill="1" applyBorder="1" applyAlignment="1">
      <alignment horizontal="center" vertical="center" wrapText="1" readingOrder="1"/>
    </xf>
    <xf numFmtId="0" fontId="63" fillId="43" borderId="43" xfId="11" applyFont="1" applyFill="1" applyBorder="1" applyAlignment="1">
      <alignment horizontal="center" vertical="center" wrapText="1" readingOrder="1"/>
    </xf>
    <xf numFmtId="0" fontId="63" fillId="43" borderId="47" xfId="11" applyFont="1" applyFill="1" applyBorder="1" applyAlignment="1">
      <alignment horizontal="center" vertical="center" wrapText="1" readingOrder="1"/>
    </xf>
    <xf numFmtId="0" fontId="63" fillId="30" borderId="44" xfId="11" applyFont="1" applyFill="1" applyBorder="1" applyAlignment="1">
      <alignment horizontal="center" vertical="center" wrapText="1" readingOrder="1"/>
    </xf>
    <xf numFmtId="0" fontId="63" fillId="30" borderId="45" xfId="11" applyFont="1" applyFill="1" applyBorder="1" applyAlignment="1">
      <alignment horizontal="center" vertical="center" wrapText="1" readingOrder="1"/>
    </xf>
    <xf numFmtId="0" fontId="63" fillId="30" borderId="49" xfId="11" applyFont="1" applyFill="1" applyBorder="1" applyAlignment="1">
      <alignment horizontal="center" vertical="center" wrapText="1" readingOrder="1"/>
    </xf>
    <xf numFmtId="0" fontId="63" fillId="30" borderId="50" xfId="11" applyFont="1" applyFill="1" applyBorder="1" applyAlignment="1">
      <alignment horizontal="center" vertical="center" wrapText="1" readingOrder="1"/>
    </xf>
    <xf numFmtId="0" fontId="63" fillId="30" borderId="52" xfId="11" applyFont="1" applyFill="1" applyBorder="1" applyAlignment="1">
      <alignment horizontal="center" vertical="center" wrapText="1" readingOrder="1"/>
    </xf>
    <xf numFmtId="0" fontId="63" fillId="30" borderId="53" xfId="11" applyFont="1" applyFill="1" applyBorder="1" applyAlignment="1">
      <alignment horizontal="center" vertical="center" wrapText="1" readingOrder="1"/>
    </xf>
    <xf numFmtId="0" fontId="62" fillId="30" borderId="48" xfId="11" applyFont="1" applyFill="1" applyBorder="1" applyAlignment="1">
      <alignment horizontal="center" vertical="center" wrapText="1" readingOrder="1"/>
    </xf>
    <xf numFmtId="0" fontId="62" fillId="30" borderId="51" xfId="11" applyFont="1" applyFill="1" applyBorder="1" applyAlignment="1">
      <alignment horizontal="center" vertical="center" wrapText="1" readingOrder="1"/>
    </xf>
    <xf numFmtId="0" fontId="62" fillId="30" borderId="54" xfId="11" applyFont="1" applyFill="1" applyBorder="1" applyAlignment="1">
      <alignment horizontal="center" vertical="center" wrapText="1" readingOrder="1"/>
    </xf>
    <xf numFmtId="0" fontId="62" fillId="36" borderId="48" xfId="11" applyFont="1" applyFill="1" applyBorder="1" applyAlignment="1">
      <alignment horizontal="center" vertical="center" wrapText="1" readingOrder="1"/>
    </xf>
    <xf numFmtId="0" fontId="62" fillId="36" borderId="51" xfId="11" applyFont="1" applyFill="1" applyBorder="1" applyAlignment="1">
      <alignment horizontal="center" vertical="center" wrapText="1" readingOrder="1"/>
    </xf>
    <xf numFmtId="0" fontId="62" fillId="36" borderId="44" xfId="11" applyFont="1" applyFill="1" applyBorder="1" applyAlignment="1">
      <alignment horizontal="center" vertical="center" wrapText="1" readingOrder="1"/>
    </xf>
    <xf numFmtId="0" fontId="62" fillId="36" borderId="49" xfId="11" applyFont="1" applyFill="1" applyBorder="1" applyAlignment="1">
      <alignment horizontal="center" vertical="center" wrapText="1" readingOrder="1"/>
    </xf>
    <xf numFmtId="0" fontId="62" fillId="37" borderId="44" xfId="11" applyFont="1" applyFill="1" applyBorder="1" applyAlignment="1">
      <alignment horizontal="center" vertical="center" wrapText="1" readingOrder="1"/>
    </xf>
    <xf numFmtId="0" fontId="62" fillId="37" borderId="49" xfId="11" applyFont="1" applyFill="1" applyBorder="1" applyAlignment="1">
      <alignment horizontal="center" vertical="center" wrapText="1" readingOrder="1"/>
    </xf>
    <xf numFmtId="0" fontId="62" fillId="38" borderId="48" xfId="11" applyFont="1" applyFill="1" applyBorder="1" applyAlignment="1">
      <alignment horizontal="center" vertical="center" wrapText="1" readingOrder="1"/>
    </xf>
    <xf numFmtId="0" fontId="62" fillId="38" borderId="51" xfId="11" applyFont="1" applyFill="1" applyBorder="1" applyAlignment="1">
      <alignment horizontal="center" vertical="center" wrapText="1" readingOrder="1"/>
    </xf>
    <xf numFmtId="0" fontId="61" fillId="31" borderId="43" xfId="11" applyFont="1" applyFill="1" applyBorder="1" applyAlignment="1">
      <alignment horizontal="center" vertical="center" wrapText="1" readingOrder="1"/>
    </xf>
    <xf numFmtId="0" fontId="61" fillId="31" borderId="46" xfId="11" applyFont="1" applyFill="1" applyBorder="1" applyAlignment="1">
      <alignment horizontal="center" vertical="center" wrapText="1" readingOrder="1"/>
    </xf>
    <xf numFmtId="0" fontId="61" fillId="31" borderId="47" xfId="11" applyFont="1" applyFill="1" applyBorder="1" applyAlignment="1">
      <alignment horizontal="center" vertical="center" wrapText="1" readingOrder="1"/>
    </xf>
    <xf numFmtId="0" fontId="61" fillId="32" borderId="43" xfId="11" applyFont="1" applyFill="1" applyBorder="1" applyAlignment="1">
      <alignment horizontal="center" vertical="center" wrapText="1" readingOrder="1"/>
    </xf>
    <xf numFmtId="0" fontId="61" fillId="32" borderId="46" xfId="11" applyFont="1" applyFill="1" applyBorder="1" applyAlignment="1">
      <alignment horizontal="center" vertical="center" wrapText="1" readingOrder="1"/>
    </xf>
    <xf numFmtId="0" fontId="61" fillId="33" borderId="43" xfId="11" applyFont="1" applyFill="1" applyBorder="1" applyAlignment="1">
      <alignment horizontal="center" vertical="center" wrapText="1" readingOrder="1"/>
    </xf>
    <xf numFmtId="0" fontId="61" fillId="33" borderId="46" xfId="11" applyFont="1" applyFill="1" applyBorder="1" applyAlignment="1">
      <alignment horizontal="center" vertical="center" wrapText="1" readingOrder="1"/>
    </xf>
    <xf numFmtId="0" fontId="61" fillId="33" borderId="47" xfId="11" applyFont="1" applyFill="1" applyBorder="1" applyAlignment="1">
      <alignment horizontal="center" vertical="center" wrapText="1" readingOrder="1"/>
    </xf>
    <xf numFmtId="0" fontId="61" fillId="34" borderId="43" xfId="11" applyFont="1" applyFill="1" applyBorder="1" applyAlignment="1">
      <alignment horizontal="center" vertical="center" wrapText="1" readingOrder="1"/>
    </xf>
    <xf numFmtId="0" fontId="61" fillId="34" borderId="46" xfId="11" applyFont="1" applyFill="1" applyBorder="1" applyAlignment="1">
      <alignment horizontal="center" vertical="center" wrapText="1" readingOrder="1"/>
    </xf>
    <xf numFmtId="0" fontId="61" fillId="34" borderId="47" xfId="11" applyFont="1" applyFill="1" applyBorder="1" applyAlignment="1">
      <alignment horizontal="center" vertical="center" wrapText="1" readingOrder="1"/>
    </xf>
    <xf numFmtId="0" fontId="61" fillId="35" borderId="43" xfId="11" applyFont="1" applyFill="1" applyBorder="1" applyAlignment="1">
      <alignment horizontal="center" vertical="center" wrapText="1" readingOrder="1"/>
    </xf>
    <xf numFmtId="0" fontId="61" fillId="35" borderId="46" xfId="11" applyFont="1" applyFill="1" applyBorder="1" applyAlignment="1">
      <alignment horizontal="center" vertical="center" wrapText="1" readingOrder="1"/>
    </xf>
    <xf numFmtId="0" fontId="61" fillId="35" borderId="47" xfId="11" applyFont="1" applyFill="1" applyBorder="1" applyAlignment="1">
      <alignment horizontal="center" vertical="center" wrapText="1" readingOrder="1"/>
    </xf>
    <xf numFmtId="0" fontId="62" fillId="39" borderId="48" xfId="11" applyFont="1" applyFill="1" applyBorder="1" applyAlignment="1">
      <alignment horizontal="center" vertical="center" wrapText="1" readingOrder="1"/>
    </xf>
    <xf numFmtId="0" fontId="62" fillId="39" borderId="51" xfId="11" applyFont="1" applyFill="1" applyBorder="1" applyAlignment="1">
      <alignment horizontal="center" vertical="center" wrapText="1" readingOrder="1"/>
    </xf>
    <xf numFmtId="0" fontId="60" fillId="30" borderId="44" xfId="11" applyFont="1" applyFill="1" applyBorder="1" applyAlignment="1">
      <alignment horizontal="center" vertical="center" wrapText="1" readingOrder="1"/>
    </xf>
    <xf numFmtId="0" fontId="60" fillId="30" borderId="45" xfId="11" applyFont="1" applyFill="1" applyBorder="1" applyAlignment="1">
      <alignment horizontal="center" vertical="center" wrapText="1" readingOrder="1"/>
    </xf>
    <xf numFmtId="0" fontId="60" fillId="30" borderId="49" xfId="11" applyFont="1" applyFill="1" applyBorder="1" applyAlignment="1">
      <alignment horizontal="center" vertical="center" wrapText="1" readingOrder="1"/>
    </xf>
    <xf numFmtId="0" fontId="60" fillId="30" borderId="50" xfId="11" applyFont="1" applyFill="1" applyBorder="1" applyAlignment="1">
      <alignment horizontal="center" vertical="center" wrapText="1" readingOrder="1"/>
    </xf>
    <xf numFmtId="0" fontId="60" fillId="30" borderId="52" xfId="11" applyFont="1" applyFill="1" applyBorder="1" applyAlignment="1">
      <alignment horizontal="center" vertical="center" wrapText="1" readingOrder="1"/>
    </xf>
    <xf numFmtId="0" fontId="22" fillId="41" borderId="44" xfId="11" applyFont="1" applyFill="1" applyBorder="1" applyAlignment="1">
      <alignment horizontal="center" vertical="center" wrapText="1" readingOrder="1"/>
    </xf>
    <xf numFmtId="0" fontId="22" fillId="41" borderId="49" xfId="11" applyFont="1" applyFill="1" applyBorder="1" applyAlignment="1">
      <alignment horizontal="center" vertical="center" wrapText="1" readingOrder="1"/>
    </xf>
    <xf numFmtId="0" fontId="22" fillId="41" borderId="52" xfId="11" applyFont="1" applyFill="1" applyBorder="1" applyAlignment="1">
      <alignment horizontal="center" vertical="center" wrapText="1" readingOrder="1"/>
    </xf>
    <xf numFmtId="0" fontId="62" fillId="43" borderId="43" xfId="11" applyFont="1" applyFill="1" applyBorder="1" applyAlignment="1">
      <alignment horizontal="center" vertical="center" wrapText="1" readingOrder="1"/>
    </xf>
    <xf numFmtId="0" fontId="62" fillId="43" borderId="53" xfId="11" applyFont="1" applyFill="1" applyBorder="1" applyAlignment="1">
      <alignment horizontal="center" vertical="center" wrapText="1" readingOrder="1"/>
    </xf>
    <xf numFmtId="0" fontId="62" fillId="40" borderId="48" xfId="11" applyFont="1" applyFill="1" applyBorder="1" applyAlignment="1">
      <alignment horizontal="center" vertical="center" wrapText="1" readingOrder="1"/>
    </xf>
    <xf numFmtId="0" fontId="62" fillId="40" borderId="51" xfId="11" applyFont="1" applyFill="1" applyBorder="1" applyAlignment="1">
      <alignment horizontal="center" vertical="center" wrapText="1" readingOrder="1"/>
    </xf>
    <xf numFmtId="0" fontId="22" fillId="41" borderId="48" xfId="11" applyFont="1" applyFill="1" applyBorder="1" applyAlignment="1">
      <alignment horizontal="center" vertical="center" wrapText="1" readingOrder="1"/>
    </xf>
    <xf numFmtId="0" fontId="22" fillId="41" borderId="51" xfId="11" applyFont="1" applyFill="1" applyBorder="1" applyAlignment="1">
      <alignment horizontal="center" vertical="center" wrapText="1" readingOrder="1"/>
    </xf>
    <xf numFmtId="0" fontId="22" fillId="41" borderId="54" xfId="11" applyFont="1" applyFill="1" applyBorder="1" applyAlignment="1">
      <alignment horizontal="center" vertical="center" wrapText="1" readingOrder="1"/>
    </xf>
    <xf numFmtId="0" fontId="62" fillId="43" borderId="47" xfId="11" applyFont="1" applyFill="1" applyBorder="1" applyAlignment="1">
      <alignment horizontal="center" vertical="center" wrapText="1" readingOrder="1"/>
    </xf>
    <xf numFmtId="0" fontId="60" fillId="30" borderId="53" xfId="11" applyFont="1" applyFill="1" applyBorder="1" applyAlignment="1">
      <alignment horizontal="center" vertical="center" wrapText="1" readingOrder="1"/>
    </xf>
    <xf numFmtId="0" fontId="62" fillId="30" borderId="6" xfId="11" applyFont="1" applyFill="1" applyBorder="1" applyAlignment="1">
      <alignment horizontal="center" vertical="center" wrapText="1" readingOrder="1"/>
    </xf>
    <xf numFmtId="0" fontId="62" fillId="36" borderId="6" xfId="11" applyFont="1" applyFill="1" applyBorder="1" applyAlignment="1">
      <alignment horizontal="center" vertical="center" wrapText="1" readingOrder="1"/>
    </xf>
    <xf numFmtId="0" fontId="63" fillId="37" borderId="6" xfId="11" applyFont="1" applyFill="1" applyBorder="1" applyAlignment="1">
      <alignment horizontal="center" vertical="center" wrapText="1" readingOrder="1"/>
    </xf>
    <xf numFmtId="0" fontId="62" fillId="37" borderId="6" xfId="11" applyFont="1" applyFill="1" applyBorder="1" applyAlignment="1">
      <alignment horizontal="center" vertical="center" wrapText="1" readingOrder="1"/>
    </xf>
    <xf numFmtId="0" fontId="62" fillId="38" borderId="6" xfId="11" applyFont="1" applyFill="1" applyBorder="1" applyAlignment="1">
      <alignment horizontal="center" vertical="center" wrapText="1" readingOrder="1"/>
    </xf>
    <xf numFmtId="0" fontId="61" fillId="31" borderId="6" xfId="11" applyFont="1" applyFill="1" applyBorder="1" applyAlignment="1">
      <alignment horizontal="center" vertical="center" wrapText="1" readingOrder="1"/>
    </xf>
    <xf numFmtId="0" fontId="61" fillId="32" borderId="6" xfId="11" applyFont="1" applyFill="1" applyBorder="1" applyAlignment="1">
      <alignment horizontal="center" vertical="center" wrapText="1" readingOrder="1"/>
    </xf>
    <xf numFmtId="0" fontId="61" fillId="33" borderId="6" xfId="11" applyFont="1" applyFill="1" applyBorder="1" applyAlignment="1">
      <alignment horizontal="center" vertical="center" wrapText="1" readingOrder="1"/>
    </xf>
    <xf numFmtId="0" fontId="61" fillId="34" borderId="6" xfId="11" applyFont="1" applyFill="1" applyBorder="1" applyAlignment="1">
      <alignment horizontal="center" vertical="center" wrapText="1" readingOrder="1"/>
    </xf>
    <xf numFmtId="0" fontId="61" fillId="35" borderId="6" xfId="11" applyFont="1" applyFill="1" applyBorder="1" applyAlignment="1">
      <alignment horizontal="center" vertical="center" wrapText="1" readingOrder="1"/>
    </xf>
    <xf numFmtId="0" fontId="62" fillId="39" borderId="6" xfId="11" applyFont="1" applyFill="1" applyBorder="1" applyAlignment="1">
      <alignment horizontal="center" vertical="center" wrapText="1" readingOrder="1"/>
    </xf>
    <xf numFmtId="0" fontId="62" fillId="40" borderId="6" xfId="11" applyFont="1" applyFill="1" applyBorder="1" applyAlignment="1">
      <alignment horizontal="center" vertical="center" wrapText="1" readingOrder="1"/>
    </xf>
    <xf numFmtId="0" fontId="22" fillId="41" borderId="6" xfId="11" applyFont="1" applyFill="1" applyBorder="1" applyAlignment="1">
      <alignment horizontal="center" vertical="center" wrapText="1" readingOrder="1"/>
    </xf>
    <xf numFmtId="0" fontId="71" fillId="43" borderId="6" xfId="11" applyFont="1" applyFill="1" applyBorder="1" applyAlignment="1">
      <alignment horizontal="center" vertical="center" wrapText="1" readingOrder="1"/>
    </xf>
    <xf numFmtId="0" fontId="60" fillId="30" borderId="6" xfId="11" applyFont="1" applyFill="1" applyBorder="1" applyAlignment="1">
      <alignment horizontal="center" vertical="center" wrapText="1" readingOrder="1"/>
    </xf>
    <xf numFmtId="0" fontId="62" fillId="30" borderId="6" xfId="12" applyFont="1" applyFill="1" applyBorder="1" applyAlignment="1">
      <alignment horizontal="center" vertical="center" wrapText="1" readingOrder="1"/>
    </xf>
    <xf numFmtId="0" fontId="62" fillId="36" borderId="6" xfId="12" applyFont="1" applyFill="1" applyBorder="1" applyAlignment="1">
      <alignment horizontal="center" vertical="center" wrapText="1" readingOrder="1"/>
    </xf>
    <xf numFmtId="0" fontId="63" fillId="37" borderId="6" xfId="12" applyFont="1" applyFill="1" applyBorder="1" applyAlignment="1">
      <alignment horizontal="center" vertical="center" wrapText="1" readingOrder="1"/>
    </xf>
    <xf numFmtId="0" fontId="62" fillId="37" borderId="6" xfId="12" applyFont="1" applyFill="1" applyBorder="1" applyAlignment="1">
      <alignment horizontal="center" vertical="center" wrapText="1" readingOrder="1"/>
    </xf>
    <xf numFmtId="0" fontId="62" fillId="38" borderId="6" xfId="12" applyFont="1" applyFill="1" applyBorder="1" applyAlignment="1">
      <alignment horizontal="center" vertical="center" wrapText="1" readingOrder="1"/>
    </xf>
    <xf numFmtId="0" fontId="61" fillId="31" borderId="6" xfId="12" applyFont="1" applyFill="1" applyBorder="1" applyAlignment="1">
      <alignment horizontal="center" vertical="center" wrapText="1" readingOrder="1"/>
    </xf>
    <xf numFmtId="0" fontId="61" fillId="32" borderId="6" xfId="12" applyFont="1" applyFill="1" applyBorder="1" applyAlignment="1">
      <alignment horizontal="center" vertical="center" wrapText="1" readingOrder="1"/>
    </xf>
    <xf numFmtId="0" fontId="61" fillId="33" borderId="6" xfId="12" applyFont="1" applyFill="1" applyBorder="1" applyAlignment="1">
      <alignment horizontal="center" vertical="center" wrapText="1" readingOrder="1"/>
    </xf>
    <xf numFmtId="0" fontId="61" fillId="34" borderId="6" xfId="12" applyFont="1" applyFill="1" applyBorder="1" applyAlignment="1">
      <alignment horizontal="center" vertical="center" wrapText="1" readingOrder="1"/>
    </xf>
    <xf numFmtId="0" fontId="61" fillId="35" borderId="6" xfId="12" applyFont="1" applyFill="1" applyBorder="1" applyAlignment="1">
      <alignment horizontal="center" vertical="center" wrapText="1" readingOrder="1"/>
    </xf>
    <xf numFmtId="0" fontId="62" fillId="39" borderId="6" xfId="12" applyFont="1" applyFill="1" applyBorder="1" applyAlignment="1">
      <alignment horizontal="center" vertical="center" wrapText="1" readingOrder="1"/>
    </xf>
    <xf numFmtId="0" fontId="22" fillId="41" borderId="6" xfId="12" applyFont="1" applyFill="1" applyBorder="1" applyAlignment="1">
      <alignment horizontal="center" vertical="center" wrapText="1" readingOrder="1"/>
    </xf>
    <xf numFmtId="0" fontId="62" fillId="40" borderId="6" xfId="12" applyFont="1" applyFill="1" applyBorder="1" applyAlignment="1">
      <alignment horizontal="center" vertical="center" wrapText="1" readingOrder="1"/>
    </xf>
    <xf numFmtId="0" fontId="62" fillId="43" borderId="6" xfId="12" applyFont="1" applyFill="1" applyBorder="1" applyAlignment="1">
      <alignment horizontal="center" vertical="center" wrapText="1" readingOrder="1"/>
    </xf>
    <xf numFmtId="0" fontId="60" fillId="30" borderId="6" xfId="12" applyFont="1" applyFill="1" applyBorder="1" applyAlignment="1">
      <alignment horizontal="center" vertical="center" wrapText="1" readingOrder="1"/>
    </xf>
    <xf numFmtId="0" fontId="77" fillId="0" borderId="6" xfId="11" applyFont="1" applyBorder="1" applyAlignment="1">
      <alignment horizontal="center" vertical="center"/>
    </xf>
    <xf numFmtId="0" fontId="77" fillId="49" borderId="0" xfId="11" applyFont="1" applyFill="1" applyAlignment="1">
      <alignment horizontal="left" vertical="top" wrapText="1"/>
    </xf>
    <xf numFmtId="0" fontId="76" fillId="44" borderId="6" xfId="11" applyFont="1" applyFill="1" applyBorder="1" applyAlignment="1">
      <alignment horizontal="center" vertical="center"/>
    </xf>
    <xf numFmtId="0" fontId="77" fillId="45" borderId="6" xfId="11" applyFont="1" applyFill="1" applyBorder="1" applyAlignment="1">
      <alignment horizontal="center" vertical="center"/>
    </xf>
    <xf numFmtId="0" fontId="77" fillId="28" borderId="15" xfId="11" applyFont="1" applyFill="1" applyBorder="1" applyAlignment="1">
      <alignment horizontal="center" vertical="center"/>
    </xf>
    <xf numFmtId="0" fontId="77" fillId="28" borderId="19" xfId="11" applyFont="1" applyFill="1" applyBorder="1" applyAlignment="1">
      <alignment horizontal="center" vertical="center"/>
    </xf>
    <xf numFmtId="0" fontId="77" fillId="46" borderId="6" xfId="11" applyFont="1" applyFill="1" applyBorder="1" applyAlignment="1">
      <alignment horizontal="center" vertical="center" wrapText="1"/>
    </xf>
    <xf numFmtId="0" fontId="77" fillId="46" borderId="6" xfId="11" applyFont="1" applyFill="1" applyBorder="1" applyAlignment="1">
      <alignment horizontal="center" vertical="center"/>
    </xf>
    <xf numFmtId="0" fontId="61" fillId="34" borderId="5" xfId="11" applyFont="1" applyFill="1" applyBorder="1" applyAlignment="1">
      <alignment horizontal="center" vertical="center" wrapText="1" readingOrder="1"/>
    </xf>
    <xf numFmtId="0" fontId="61" fillId="34" borderId="39" xfId="11" applyFont="1" applyFill="1" applyBorder="1" applyAlignment="1">
      <alignment horizontal="center" vertical="center" wrapText="1" readingOrder="1"/>
    </xf>
    <xf numFmtId="0" fontId="61" fillId="35" borderId="5" xfId="11" applyFont="1" applyFill="1" applyBorder="1" applyAlignment="1">
      <alignment horizontal="center" vertical="center" wrapText="1" readingOrder="1"/>
    </xf>
    <xf numFmtId="0" fontId="61" fillId="35" borderId="39" xfId="11" applyFont="1" applyFill="1" applyBorder="1" applyAlignment="1">
      <alignment horizontal="center" vertical="center" wrapText="1" readingOrder="1"/>
    </xf>
    <xf numFmtId="0" fontId="61" fillId="35" borderId="8" xfId="11" applyFont="1" applyFill="1" applyBorder="1" applyAlignment="1">
      <alignment horizontal="center" vertical="center" wrapText="1" readingOrder="1"/>
    </xf>
    <xf numFmtId="0" fontId="37" fillId="44" borderId="6" xfId="11" applyFont="1" applyFill="1" applyBorder="1" applyAlignment="1">
      <alignment horizontal="center" vertical="center"/>
    </xf>
    <xf numFmtId="0" fontId="37" fillId="45" borderId="6" xfId="11" applyFont="1" applyFill="1" applyBorder="1" applyAlignment="1">
      <alignment horizontal="center" vertical="center"/>
    </xf>
    <xf numFmtId="0" fontId="60" fillId="30" borderId="41" xfId="11" applyFont="1" applyFill="1" applyBorder="1" applyAlignment="1">
      <alignment horizontal="center" vertical="center" wrapText="1" readingOrder="1"/>
    </xf>
    <xf numFmtId="0" fontId="60" fillId="30" borderId="38" xfId="11" applyFont="1" applyFill="1" applyBorder="1" applyAlignment="1">
      <alignment horizontal="center" vertical="center" wrapText="1" readingOrder="1"/>
    </xf>
    <xf numFmtId="0" fontId="60" fillId="30" borderId="42" xfId="11" applyFont="1" applyFill="1" applyBorder="1" applyAlignment="1">
      <alignment horizontal="center" vertical="center" wrapText="1" readingOrder="1"/>
    </xf>
    <xf numFmtId="0" fontId="61" fillId="31" borderId="5" xfId="11" applyFont="1" applyFill="1" applyBorder="1" applyAlignment="1">
      <alignment horizontal="center" vertical="center" wrapText="1" readingOrder="1"/>
    </xf>
    <xf numFmtId="0" fontId="61" fillId="31" borderId="39" xfId="11" applyFont="1" applyFill="1" applyBorder="1" applyAlignment="1">
      <alignment horizontal="center" vertical="center" wrapText="1" readingOrder="1"/>
    </xf>
    <xf numFmtId="0" fontId="61" fillId="32" borderId="5" xfId="11" applyFont="1" applyFill="1" applyBorder="1" applyAlignment="1">
      <alignment horizontal="center" vertical="center" wrapText="1" readingOrder="1"/>
    </xf>
    <xf numFmtId="0" fontId="61" fillId="32" borderId="39" xfId="11" applyFont="1" applyFill="1" applyBorder="1" applyAlignment="1">
      <alignment horizontal="center" vertical="center" wrapText="1" readingOrder="1"/>
    </xf>
    <xf numFmtId="0" fontId="61" fillId="32" borderId="8" xfId="11" applyFont="1" applyFill="1" applyBorder="1" applyAlignment="1">
      <alignment horizontal="center" vertical="center" wrapText="1" readingOrder="1"/>
    </xf>
    <xf numFmtId="0" fontId="61" fillId="33" borderId="5" xfId="11" applyFont="1" applyFill="1" applyBorder="1" applyAlignment="1">
      <alignment horizontal="center" vertical="center" wrapText="1" readingOrder="1"/>
    </xf>
    <xf numFmtId="0" fontId="61" fillId="33" borderId="39" xfId="11" applyFont="1" applyFill="1" applyBorder="1" applyAlignment="1">
      <alignment horizontal="center" vertical="center" wrapText="1" readingOrder="1"/>
    </xf>
  </cellXfs>
  <cellStyles count="17">
    <cellStyle name="Comma 2" xfId="10" xr:uid="{766EECBB-33C8-4DF4-8909-3D98F3A992EB}"/>
    <cellStyle name="Comma 2 2" xfId="15" xr:uid="{61EC2464-14E5-4CE6-A722-4B4889115799}"/>
    <cellStyle name="Normal 11 5 6 2 3" xfId="4" xr:uid="{87CCF872-D2E5-49F1-B3C8-CA0717DD7399}"/>
    <cellStyle name="Normal 11 5 6 2 3 2" xfId="14" xr:uid="{94D389B0-EB73-4049-AD63-6FB06E7FB972}"/>
    <cellStyle name="Normal 2" xfId="7" xr:uid="{C204B7D7-A056-48E7-9CB7-FEF5E9262987}"/>
    <cellStyle name="Normal 2 2" xfId="12" xr:uid="{7635E488-C585-4B29-8DCB-E188721E55A1}"/>
    <cellStyle name="Normal 2 2 2" xfId="16" xr:uid="{D21CFAA1-6C8B-4F7F-8FC6-8E57BF83761C}"/>
    <cellStyle name="Normal 3" xfId="11" xr:uid="{7676D92B-6AC5-40DF-935C-A3822557EAF6}"/>
    <cellStyle name="Percent 2" xfId="9" xr:uid="{8D6CB32C-F3BA-476C-89F5-728F266489DC}"/>
    <cellStyle name="Percent 2 2" xfId="13" xr:uid="{41419A94-4BAE-4D44-ACC3-E6D20D2CE96D}"/>
    <cellStyle name="百分比" xfId="2" builtinId="5"/>
    <cellStyle name="百分比 2" xfId="6" xr:uid="{7C49B105-27BB-4EA4-BCDB-82AFF39C8DE3}"/>
    <cellStyle name="百分比 3" xfId="3" xr:uid="{8B5452A8-19C3-4F88-B27C-53F310F662DC}"/>
    <cellStyle name="常规" xfId="0" builtinId="0"/>
    <cellStyle name="常规 2" xfId="8" xr:uid="{68B1CC93-EF9C-42A8-B69F-A06A5668C362}"/>
    <cellStyle name="千位分隔" xfId="1" builtinId="3"/>
    <cellStyle name="千位分隔 3" xfId="5" xr:uid="{9EEE0484-80D2-4DF9-BA7B-1F0E08EA2D95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24D8-9959-472F-9E8E-E481F4F21AD6}">
  <sheetPr>
    <tabColor theme="1"/>
  </sheetPr>
  <dimension ref="A1:XEZ42"/>
  <sheetViews>
    <sheetView tabSelected="1" topLeftCell="A7" zoomScale="55" zoomScaleNormal="55" workbookViewId="0">
      <selection activeCell="F12" sqref="F12"/>
    </sheetView>
  </sheetViews>
  <sheetFormatPr defaultColWidth="9.1640625" defaultRowHeight="18" outlineLevelCol="2" x14ac:dyDescent="0.3"/>
  <cols>
    <col min="1" max="1" width="38.4140625" style="21" customWidth="1"/>
    <col min="2" max="2" width="32.1640625" style="21" customWidth="1" collapsed="1"/>
    <col min="3" max="3" width="24.5" style="21" customWidth="1" outlineLevel="2" collapsed="1"/>
    <col min="4" max="4" width="12.83203125" style="21" customWidth="1" outlineLevel="2"/>
    <col min="5" max="5" width="28.25" style="21" bestFit="1" customWidth="1"/>
    <col min="6" max="6" width="20.58203125" style="21" customWidth="1" outlineLevel="2"/>
    <col min="7" max="7" width="20.58203125" style="21" customWidth="1" outlineLevel="1"/>
    <col min="8" max="8" width="20.58203125" style="21" customWidth="1" outlineLevel="1" collapsed="1"/>
    <col min="9" max="9" width="20.58203125" style="36" customWidth="1"/>
    <col min="10" max="10" width="20.58203125" style="36" customWidth="1" outlineLevel="1" collapsed="1"/>
    <col min="11" max="15" width="20.58203125" style="36" customWidth="1" outlineLevel="2"/>
    <col min="16" max="16" width="20.58203125" style="36" customWidth="1" outlineLevel="1"/>
    <col min="17" max="20" width="20.58203125" style="36" customWidth="1" outlineLevel="2"/>
    <col min="21" max="21" width="10.5" style="9" customWidth="1"/>
    <col min="22" max="16380" width="9.1640625" style="21"/>
    <col min="16381" max="16384" width="9.1640625" style="9"/>
  </cols>
  <sheetData>
    <row r="1" spans="1:21" s="10" customFormat="1" ht="70" customHeight="1" x14ac:dyDescent="0.3">
      <c r="A1" s="374" t="s">
        <v>0</v>
      </c>
      <c r="B1" s="1" t="s">
        <v>1</v>
      </c>
      <c r="C1" s="2" t="s">
        <v>2</v>
      </c>
      <c r="D1" s="3"/>
      <c r="E1" s="4" t="s">
        <v>3</v>
      </c>
      <c r="F1" s="5"/>
      <c r="G1" s="6" t="s">
        <v>4</v>
      </c>
      <c r="H1" s="6" t="s">
        <v>5</v>
      </c>
      <c r="I1" s="7" t="s">
        <v>6</v>
      </c>
      <c r="J1" s="6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6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9"/>
    </row>
    <row r="2" spans="1:21" x14ac:dyDescent="0.3">
      <c r="A2" s="375"/>
      <c r="B2" s="11">
        <v>1</v>
      </c>
      <c r="C2" s="12">
        <v>1</v>
      </c>
      <c r="D2" s="13"/>
      <c r="E2" s="14">
        <v>0.3</v>
      </c>
      <c r="F2" s="15">
        <v>0.3</v>
      </c>
      <c r="G2" s="16">
        <v>0.15</v>
      </c>
      <c r="H2" s="16">
        <v>0.15</v>
      </c>
      <c r="I2" s="17">
        <v>0.7</v>
      </c>
      <c r="J2" s="16">
        <v>0.3</v>
      </c>
      <c r="K2" s="18">
        <v>7.0000000000000007E-2</v>
      </c>
      <c r="L2" s="18">
        <v>7.0000000000000007E-2</v>
      </c>
      <c r="M2" s="18">
        <v>7.0000000000000007E-2</v>
      </c>
      <c r="N2" s="18">
        <v>0.14000000000000001</v>
      </c>
      <c r="O2" s="19">
        <v>7.0000000000000007E-2</v>
      </c>
      <c r="P2" s="16">
        <v>0.4</v>
      </c>
      <c r="Q2" s="20">
        <v>0.25</v>
      </c>
      <c r="R2" s="18">
        <v>0.1</v>
      </c>
      <c r="S2" s="18">
        <v>0.1</v>
      </c>
      <c r="T2" s="18">
        <v>0.15</v>
      </c>
    </row>
    <row r="3" spans="1:21" ht="21.75" customHeight="1" x14ac:dyDescent="0.3">
      <c r="A3" s="22" t="s">
        <v>18</v>
      </c>
      <c r="B3" s="23">
        <f t="shared" ref="B3:B25" ca="1" si="0">IFERROR(((C3-$C$28)/$C$29*20+100),"NA")</f>
        <v>150.13912932529729</v>
      </c>
      <c r="C3" s="24">
        <f t="shared" ref="C3:C25" ca="1" si="1">IF(D3="NA",I3,D3)</f>
        <v>143.78575512722961</v>
      </c>
      <c r="D3" s="24">
        <f t="shared" ref="D3:D25" ca="1" si="2">IFERROR(E3*$E$2+I3*$I$2,E3)</f>
        <v>143.78575512722961</v>
      </c>
      <c r="E3" s="23">
        <f t="shared" ref="E3:E25" ca="1" si="3">IFERROR((F3-$F$28)/$F$29*20+100,"NA")</f>
        <v>120.78753118868501</v>
      </c>
      <c r="F3" s="23">
        <f t="shared" ref="F3:F25" si="4">IFERROR((G3*$G$2+H3*$H$2)/($G$2+$H$2),"NA")</f>
        <v>117.37102235472241</v>
      </c>
      <c r="G3" s="23">
        <v>124.46184508591885</v>
      </c>
      <c r="H3" s="23">
        <v>110.28019962352595</v>
      </c>
      <c r="I3" s="23">
        <v>153.64213681517728</v>
      </c>
      <c r="J3" s="23">
        <v>130.55267444933858</v>
      </c>
      <c r="K3" s="25">
        <v>106.04132870999084</v>
      </c>
      <c r="L3" s="25">
        <v>102.88549705462411</v>
      </c>
      <c r="M3" s="25">
        <v>107.65115525220283</v>
      </c>
      <c r="N3" s="25">
        <v>139.39298451394185</v>
      </c>
      <c r="O3" s="25">
        <v>109.16021150215518</v>
      </c>
      <c r="P3" s="26">
        <v>153.89211957280986</v>
      </c>
      <c r="Q3" s="27">
        <v>153.10443747478536</v>
      </c>
      <c r="R3" s="25">
        <v>165.21883804557996</v>
      </c>
      <c r="S3" s="25">
        <v>106.46855843224691</v>
      </c>
      <c r="T3" s="25">
        <v>90.981225921608782</v>
      </c>
    </row>
    <row r="4" spans="1:21" x14ac:dyDescent="0.3">
      <c r="A4" s="28" t="s">
        <v>19</v>
      </c>
      <c r="B4" s="23">
        <f t="shared" ca="1" si="0"/>
        <v>137.19507092830639</v>
      </c>
      <c r="C4" s="24">
        <f t="shared" ca="1" si="1"/>
        <v>132.29713180113777</v>
      </c>
      <c r="D4" s="24">
        <f t="shared" ca="1" si="2"/>
        <v>132.29713180113777</v>
      </c>
      <c r="E4" s="23">
        <f t="shared" ca="1" si="3"/>
        <v>121.43313707802213</v>
      </c>
      <c r="F4" s="23">
        <f t="shared" si="4"/>
        <v>117.85691497886205</v>
      </c>
      <c r="G4" s="23">
        <v>122.29738509612575</v>
      </c>
      <c r="H4" s="23">
        <v>113.41644486159836</v>
      </c>
      <c r="I4" s="23">
        <v>136.95312953961593</v>
      </c>
      <c r="J4" s="23">
        <v>143.43191110213996</v>
      </c>
      <c r="K4" s="25">
        <v>122.77116206073472</v>
      </c>
      <c r="L4" s="25">
        <v>116.73588291681985</v>
      </c>
      <c r="M4" s="25">
        <v>115.99787007278773</v>
      </c>
      <c r="N4" s="25">
        <v>145.02055373021926</v>
      </c>
      <c r="O4" s="25">
        <v>139.8362686256516</v>
      </c>
      <c r="P4" s="26">
        <v>118.44169793224481</v>
      </c>
      <c r="Q4" s="27">
        <v>130.95541870275486</v>
      </c>
      <c r="R4" s="25">
        <v>106.68932882917089</v>
      </c>
      <c r="S4" s="25">
        <v>94.020385797776953</v>
      </c>
      <c r="T4" s="25">
        <v>93.74621146900391</v>
      </c>
    </row>
    <row r="5" spans="1:21" x14ac:dyDescent="0.3">
      <c r="A5" s="28" t="s">
        <v>20</v>
      </c>
      <c r="B5" s="23">
        <f t="shared" ca="1" si="0"/>
        <v>118.06617692283936</v>
      </c>
      <c r="C5" s="24">
        <f t="shared" ca="1" si="1"/>
        <v>115.31909824060966</v>
      </c>
      <c r="D5" s="24">
        <f t="shared" ca="1" si="2"/>
        <v>115.31909824060966</v>
      </c>
      <c r="E5" s="23">
        <f t="shared" ca="1" si="3"/>
        <v>107.52731925886873</v>
      </c>
      <c r="F5" s="23">
        <f t="shared" si="4"/>
        <v>107.39118902661957</v>
      </c>
      <c r="G5" s="23">
        <v>106.34540644581185</v>
      </c>
      <c r="H5" s="23">
        <v>108.4369716074273</v>
      </c>
      <c r="I5" s="23">
        <v>118.65843208992722</v>
      </c>
      <c r="J5" s="23">
        <v>128.23251784644421</v>
      </c>
      <c r="K5" s="25">
        <v>94.888106476161596</v>
      </c>
      <c r="L5" s="25">
        <v>116.73588291681985</v>
      </c>
      <c r="M5" s="25">
        <v>154.94920590218393</v>
      </c>
      <c r="N5" s="25">
        <v>119.69649225697093</v>
      </c>
      <c r="O5" s="25">
        <v>98.934859127656367</v>
      </c>
      <c r="P5" s="26">
        <v>101.69742087100023</v>
      </c>
      <c r="Q5" s="27">
        <v>112.2801184129053</v>
      </c>
      <c r="R5" s="25">
        <v>109.69744528754633</v>
      </c>
      <c r="S5" s="25">
        <v>94.954338957824518</v>
      </c>
      <c r="T5" s="25">
        <v>93.020969358211744</v>
      </c>
    </row>
    <row r="6" spans="1:21" x14ac:dyDescent="0.3">
      <c r="A6" s="28" t="s">
        <v>21</v>
      </c>
      <c r="B6" s="23">
        <f t="shared" ca="1" si="0"/>
        <v>117.82909465624289</v>
      </c>
      <c r="C6" s="24">
        <f t="shared" ca="1" si="1"/>
        <v>115.10867359829993</v>
      </c>
      <c r="D6" s="24">
        <f t="shared" ca="1" si="2"/>
        <v>115.10867359829993</v>
      </c>
      <c r="E6" s="23">
        <f t="shared" ca="1" si="3"/>
        <v>110.0401996812796</v>
      </c>
      <c r="F6" s="23">
        <f t="shared" si="4"/>
        <v>109.28242032230676</v>
      </c>
      <c r="G6" s="23">
        <v>98.069900695073287</v>
      </c>
      <c r="H6" s="23">
        <v>120.4949399495402</v>
      </c>
      <c r="I6" s="23">
        <v>117.28087670559435</v>
      </c>
      <c r="J6" s="23">
        <v>111.89672135667774</v>
      </c>
      <c r="K6" s="25">
        <v>122.77116206073472</v>
      </c>
      <c r="L6" s="25">
        <v>116.73588291681985</v>
      </c>
      <c r="M6" s="25">
        <v>99.30444043161792</v>
      </c>
      <c r="N6" s="25">
        <v>111.25513843255482</v>
      </c>
      <c r="O6" s="25">
        <v>98.934859127656367</v>
      </c>
      <c r="P6" s="26" t="s">
        <v>22</v>
      </c>
      <c r="Q6" s="27" t="s">
        <v>22</v>
      </c>
      <c r="R6" s="25" t="s">
        <v>22</v>
      </c>
      <c r="S6" s="25" t="s">
        <v>22</v>
      </c>
      <c r="T6" s="25" t="s">
        <v>22</v>
      </c>
    </row>
    <row r="7" spans="1:21" x14ac:dyDescent="0.3">
      <c r="A7" s="28" t="s">
        <v>23</v>
      </c>
      <c r="B7" s="23">
        <f t="shared" ca="1" si="0"/>
        <v>116.65512481285232</v>
      </c>
      <c r="C7" s="24">
        <f t="shared" ca="1" si="1"/>
        <v>114.06670539070589</v>
      </c>
      <c r="D7" s="24">
        <f t="shared" ca="1" si="2"/>
        <v>114.06670539070589</v>
      </c>
      <c r="E7" s="23">
        <f t="shared" ca="1" si="3"/>
        <v>128.37293824820546</v>
      </c>
      <c r="F7" s="23">
        <f t="shared" si="4"/>
        <v>123.07991287476085</v>
      </c>
      <c r="G7" s="23">
        <v>120.90340821395795</v>
      </c>
      <c r="H7" s="23">
        <v>125.2564175355638</v>
      </c>
      <c r="I7" s="23">
        <v>107.9354627374918</v>
      </c>
      <c r="J7" s="23">
        <v>101.24294103726484</v>
      </c>
      <c r="K7" s="25">
        <v>94.888106476161596</v>
      </c>
      <c r="L7" s="25">
        <v>102.88549705462411</v>
      </c>
      <c r="M7" s="25">
        <v>99.30444043161792</v>
      </c>
      <c r="N7" s="25">
        <v>102.8137846081387</v>
      </c>
      <c r="O7" s="25">
        <v>98.934859127656367</v>
      </c>
      <c r="P7" s="26">
        <v>105.52312341644208</v>
      </c>
      <c r="Q7" s="27">
        <v>107.34674273804575</v>
      </c>
      <c r="R7" s="25">
        <v>103.99435626642484</v>
      </c>
      <c r="S7" s="25">
        <v>98.142661814538641</v>
      </c>
      <c r="T7" s="25">
        <v>92.295727247419578</v>
      </c>
    </row>
    <row r="8" spans="1:21" x14ac:dyDescent="0.3">
      <c r="A8" s="28" t="s">
        <v>24</v>
      </c>
      <c r="B8" s="23">
        <f t="shared" ca="1" si="0"/>
        <v>116.5811506749819</v>
      </c>
      <c r="C8" s="24">
        <f t="shared" ca="1" si="1"/>
        <v>114.00104893429935</v>
      </c>
      <c r="D8" s="24">
        <f t="shared" ca="1" si="2"/>
        <v>114.00104893429935</v>
      </c>
      <c r="E8" s="23">
        <f t="shared" ca="1" si="3"/>
        <v>108.71049812186308</v>
      </c>
      <c r="F8" s="23">
        <f t="shared" si="4"/>
        <v>108.28166709081002</v>
      </c>
      <c r="G8" s="23">
        <v>99.410962759937291</v>
      </c>
      <c r="H8" s="23">
        <v>117.15237142168273</v>
      </c>
      <c r="I8" s="23">
        <v>116.2684278539149</v>
      </c>
      <c r="J8" s="23">
        <v>128.46926852020891</v>
      </c>
      <c r="K8" s="25">
        <v>122.77116206073472</v>
      </c>
      <c r="L8" s="25">
        <v>116.73588291681985</v>
      </c>
      <c r="M8" s="25">
        <v>127.12682316690093</v>
      </c>
      <c r="N8" s="25">
        <v>125.32406147324834</v>
      </c>
      <c r="O8" s="25">
        <v>98.934859127656367</v>
      </c>
      <c r="P8" s="26">
        <v>97.833424783279241</v>
      </c>
      <c r="Q8" s="27">
        <v>90.789811533012127</v>
      </c>
      <c r="R8" s="25">
        <v>95.148248005668208</v>
      </c>
      <c r="S8" s="25">
        <v>84.470137667407428</v>
      </c>
      <c r="T8" s="25">
        <v>127.36021544028364</v>
      </c>
    </row>
    <row r="9" spans="1:21" x14ac:dyDescent="0.3">
      <c r="A9" s="28" t="s">
        <v>25</v>
      </c>
      <c r="B9" s="23">
        <f t="shared" ca="1" si="0"/>
        <v>112.50733374979792</v>
      </c>
      <c r="C9" s="24">
        <f t="shared" ca="1" si="1"/>
        <v>110.38529360336106</v>
      </c>
      <c r="D9" s="24" t="str">
        <f t="shared" ca="1" si="2"/>
        <v>NA</v>
      </c>
      <c r="E9" s="23" t="str">
        <f t="shared" ca="1" si="3"/>
        <v>NA</v>
      </c>
      <c r="F9" s="23" t="str">
        <f t="shared" si="4"/>
        <v>NA</v>
      </c>
      <c r="G9" s="23" t="s">
        <v>22</v>
      </c>
      <c r="H9" s="23" t="s">
        <v>22</v>
      </c>
      <c r="I9" s="23">
        <v>110.38529360336106</v>
      </c>
      <c r="J9" s="23">
        <v>105.83590410830062</v>
      </c>
      <c r="K9" s="25">
        <v>83.734884242332342</v>
      </c>
      <c r="L9" s="25">
        <v>102.88549705462411</v>
      </c>
      <c r="M9" s="25">
        <v>102.08667870514623</v>
      </c>
      <c r="N9" s="25">
        <v>114.06892304069352</v>
      </c>
      <c r="O9" s="25">
        <v>78.484154378658758</v>
      </c>
      <c r="P9" s="26" t="s">
        <v>22</v>
      </c>
      <c r="Q9" s="27" t="s">
        <v>22</v>
      </c>
      <c r="R9" s="25" t="s">
        <v>22</v>
      </c>
      <c r="S9" s="25" t="s">
        <v>22</v>
      </c>
      <c r="T9" s="25" t="s">
        <v>22</v>
      </c>
    </row>
    <row r="10" spans="1:21" x14ac:dyDescent="0.3">
      <c r="A10" s="28" t="s">
        <v>26</v>
      </c>
      <c r="B10" s="23">
        <f t="shared" ca="1" si="0"/>
        <v>109.41571609209331</v>
      </c>
      <c r="C10" s="24">
        <f t="shared" ca="1" si="1"/>
        <v>107.64129866388214</v>
      </c>
      <c r="D10" s="24">
        <f t="shared" ca="1" si="2"/>
        <v>107.64129866388214</v>
      </c>
      <c r="E10" s="23">
        <f t="shared" ca="1" si="3"/>
        <v>84.806190045962111</v>
      </c>
      <c r="F10" s="23">
        <f t="shared" si="4"/>
        <v>90.290928203394671</v>
      </c>
      <c r="G10" s="23">
        <v>86.721621913199229</v>
      </c>
      <c r="H10" s="23">
        <v>93.860234493590099</v>
      </c>
      <c r="I10" s="23">
        <v>117.42777378584788</v>
      </c>
      <c r="J10" s="23">
        <v>107.16170788138311</v>
      </c>
      <c r="K10" s="25">
        <v>94.888106476161596</v>
      </c>
      <c r="L10" s="25">
        <v>102.88549705462411</v>
      </c>
      <c r="M10" s="25">
        <v>107.65115525220283</v>
      </c>
      <c r="N10" s="25">
        <v>108.44135382441611</v>
      </c>
      <c r="O10" s="25">
        <v>98.934859127656367</v>
      </c>
      <c r="P10" s="26">
        <v>115.69526486603462</v>
      </c>
      <c r="Q10" s="27">
        <v>87.644582716856846</v>
      </c>
      <c r="R10" s="25">
        <v>89.934739275064089</v>
      </c>
      <c r="S10" s="25">
        <v>164.83979955448757</v>
      </c>
      <c r="T10" s="25">
        <v>90.679041708778712</v>
      </c>
    </row>
    <row r="11" spans="1:21" x14ac:dyDescent="0.3">
      <c r="A11" s="28" t="s">
        <v>27</v>
      </c>
      <c r="B11" s="23">
        <f t="shared" ca="1" si="0"/>
        <v>101.47645338557219</v>
      </c>
      <c r="C11" s="24">
        <f t="shared" ca="1" si="1"/>
        <v>100.59472981161912</v>
      </c>
      <c r="D11" s="24">
        <f t="shared" ca="1" si="2"/>
        <v>100.59472981161912</v>
      </c>
      <c r="E11" s="23">
        <f t="shared" ca="1" si="3"/>
        <v>111.93165155181568</v>
      </c>
      <c r="F11" s="23">
        <f t="shared" si="4"/>
        <v>110.70595521873129</v>
      </c>
      <c r="G11" s="23">
        <v>118.81596806982378</v>
      </c>
      <c r="H11" s="23">
        <v>102.59594236763878</v>
      </c>
      <c r="I11" s="23">
        <v>95.73604906582058</v>
      </c>
      <c r="J11" s="23">
        <v>107.39845855514785</v>
      </c>
      <c r="K11" s="25">
        <v>94.888106476161596</v>
      </c>
      <c r="L11" s="25">
        <v>102.88549705462411</v>
      </c>
      <c r="M11" s="25">
        <v>115.99787007278773</v>
      </c>
      <c r="N11" s="25">
        <v>105.62756921627741</v>
      </c>
      <c r="O11" s="25">
        <v>98.934859127656367</v>
      </c>
      <c r="P11" s="26">
        <v>82.067949808312946</v>
      </c>
      <c r="Q11" s="27">
        <v>98.937040853060481</v>
      </c>
      <c r="R11" s="25">
        <v>97.073607971647647</v>
      </c>
      <c r="S11" s="25">
        <v>96.790039996538709</v>
      </c>
      <c r="T11" s="25">
        <v>92.58280224960815</v>
      </c>
    </row>
    <row r="12" spans="1:21" x14ac:dyDescent="0.3">
      <c r="A12" s="28" t="s">
        <v>28</v>
      </c>
      <c r="B12" s="23">
        <f t="shared" ca="1" si="0"/>
        <v>100.66635923151736</v>
      </c>
      <c r="C12" s="24">
        <f t="shared" ca="1" si="1"/>
        <v>99.875722966225993</v>
      </c>
      <c r="D12" s="24">
        <f t="shared" ca="1" si="2"/>
        <v>99.875722966225993</v>
      </c>
      <c r="E12" s="23">
        <f t="shared" ca="1" si="3"/>
        <v>83.167072061071963</v>
      </c>
      <c r="F12" s="23">
        <f ca="1">D19=IFERROR((G12*$G$2+H12*$H$2)/($G$2+$H$2),"NA")</f>
        <v>0</v>
      </c>
      <c r="G12" s="23">
        <v>96.344036063297779</v>
      </c>
      <c r="H12" s="23">
        <v>81.770571044478828</v>
      </c>
      <c r="I12" s="23">
        <v>107.03657335414916</v>
      </c>
      <c r="J12" s="23">
        <v>115.63738200216051</v>
      </c>
      <c r="K12" s="25">
        <v>94.888106476161596</v>
      </c>
      <c r="L12" s="25">
        <v>116.73588291681985</v>
      </c>
      <c r="M12" s="25">
        <v>138.25577626101415</v>
      </c>
      <c r="N12" s="25">
        <v>105.62756921627741</v>
      </c>
      <c r="O12" s="25">
        <v>109.16021150215518</v>
      </c>
      <c r="P12" s="26">
        <v>93.278068677765248</v>
      </c>
      <c r="Q12" s="27">
        <v>87.374642052858292</v>
      </c>
      <c r="R12" s="25">
        <v>90.386219932078149</v>
      </c>
      <c r="S12" s="25">
        <v>95.984907962014944</v>
      </c>
      <c r="T12" s="25">
        <v>91.253191713155843</v>
      </c>
    </row>
    <row r="13" spans="1:21" x14ac:dyDescent="0.3">
      <c r="A13" s="28" t="s">
        <v>29</v>
      </c>
      <c r="B13" s="23">
        <f t="shared" ca="1" si="0"/>
        <v>98.45088674788596</v>
      </c>
      <c r="C13" s="24">
        <f t="shared" ca="1" si="1"/>
        <v>97.909359089215101</v>
      </c>
      <c r="D13" s="24">
        <f t="shared" ca="1" si="2"/>
        <v>97.909359089215101</v>
      </c>
      <c r="E13" s="23">
        <f t="shared" ca="1" si="3"/>
        <v>110.66288323508023</v>
      </c>
      <c r="F13" s="23">
        <f t="shared" si="4"/>
        <v>109.75106125474223</v>
      </c>
      <c r="G13" s="23">
        <v>112.21997350819352</v>
      </c>
      <c r="H13" s="23">
        <v>107.28214900129097</v>
      </c>
      <c r="I13" s="23">
        <v>92.443563026701469</v>
      </c>
      <c r="J13" s="23">
        <v>92.956667455499243</v>
      </c>
      <c r="K13" s="25">
        <v>94.888106476161596</v>
      </c>
      <c r="L13" s="25">
        <v>116.73588291681985</v>
      </c>
      <c r="M13" s="25">
        <v>113.21563179925943</v>
      </c>
      <c r="N13" s="25">
        <v>83.117292351167777</v>
      </c>
      <c r="O13" s="25">
        <v>98.934859127656367</v>
      </c>
      <c r="P13" s="26">
        <v>87.885609594275252</v>
      </c>
      <c r="Q13" s="27">
        <v>88.47431186041365</v>
      </c>
      <c r="R13" s="25">
        <v>90.156118198156918</v>
      </c>
      <c r="S13" s="25">
        <v>103.16668570996696</v>
      </c>
      <c r="T13" s="25">
        <v>94.380798315947061</v>
      </c>
    </row>
    <row r="14" spans="1:21" x14ac:dyDescent="0.3">
      <c r="A14" s="28" t="s">
        <v>30</v>
      </c>
      <c r="B14" s="23">
        <f t="shared" ca="1" si="0"/>
        <v>96.310971646153391</v>
      </c>
      <c r="C14" s="24">
        <f t="shared" ca="1" si="1"/>
        <v>96.010056892051324</v>
      </c>
      <c r="D14" s="24">
        <f t="shared" ca="1" si="2"/>
        <v>96.010056892051324</v>
      </c>
      <c r="E14" s="23">
        <f t="shared" ca="1" si="3"/>
        <v>82.537025754787095</v>
      </c>
      <c r="F14" s="23">
        <f t="shared" si="4"/>
        <v>88.583121304087967</v>
      </c>
      <c r="G14" s="23">
        <v>104.98205945982129</v>
      </c>
      <c r="H14" s="23">
        <v>72.184183148354634</v>
      </c>
      <c r="I14" s="23">
        <v>101.78421309373601</v>
      </c>
      <c r="J14" s="23">
        <v>84.717744008486591</v>
      </c>
      <c r="K14" s="25">
        <v>139.50099541147858</v>
      </c>
      <c r="L14" s="25">
        <v>75.184725330232638</v>
      </c>
      <c r="M14" s="25">
        <v>79.828772516919827</v>
      </c>
      <c r="N14" s="25">
        <v>83.117292351167777</v>
      </c>
      <c r="O14" s="25">
        <v>88.709506753157569</v>
      </c>
      <c r="P14" s="26">
        <v>108.50425214341533</v>
      </c>
      <c r="Q14" s="27" t="s">
        <v>22</v>
      </c>
      <c r="R14" s="25" t="s">
        <v>22</v>
      </c>
      <c r="S14" s="25" t="s">
        <v>22</v>
      </c>
      <c r="T14" s="25" t="s">
        <v>22</v>
      </c>
    </row>
    <row r="15" spans="1:21" x14ac:dyDescent="0.3">
      <c r="A15" s="28" t="s">
        <v>31</v>
      </c>
      <c r="B15" s="23">
        <f t="shared" ca="1" si="0"/>
        <v>94.591290563475866</v>
      </c>
      <c r="C15" s="24">
        <f t="shared" ca="1" si="1"/>
        <v>94.483737433813971</v>
      </c>
      <c r="D15" s="24">
        <f t="shared" ca="1" si="2"/>
        <v>94.483737433813971</v>
      </c>
      <c r="E15" s="23">
        <f t="shared" ca="1" si="3"/>
        <v>93.456216924627682</v>
      </c>
      <c r="F15" s="23">
        <f t="shared" si="4"/>
        <v>96.801067482434703</v>
      </c>
      <c r="G15" s="23">
        <v>81.064567386445759</v>
      </c>
      <c r="H15" s="23">
        <v>112.53756757842366</v>
      </c>
      <c r="I15" s="23">
        <v>94.924103366322385</v>
      </c>
      <c r="J15" s="23">
        <v>92.246415434205048</v>
      </c>
      <c r="K15" s="25">
        <v>83.734884242332342</v>
      </c>
      <c r="L15" s="25">
        <v>116.73588291681985</v>
      </c>
      <c r="M15" s="25">
        <v>93.73996388456132</v>
      </c>
      <c r="N15" s="25">
        <v>91.558646175583888</v>
      </c>
      <c r="O15" s="25">
        <v>98.934859127656367</v>
      </c>
      <c r="P15" s="26" t="s">
        <v>22</v>
      </c>
      <c r="Q15" s="27">
        <v>86.873843776617065</v>
      </c>
      <c r="R15" s="25">
        <v>89.752362345215403</v>
      </c>
      <c r="S15" s="25">
        <v>80.787840611250829</v>
      </c>
      <c r="T15" s="25">
        <v>161.33852925634795</v>
      </c>
    </row>
    <row r="16" spans="1:21" x14ac:dyDescent="0.3">
      <c r="A16" s="28" t="s">
        <v>32</v>
      </c>
      <c r="B16" s="23">
        <f t="shared" ca="1" si="0"/>
        <v>93.812746322482468</v>
      </c>
      <c r="C16" s="24">
        <f t="shared" ca="1" si="1"/>
        <v>93.792733016717818</v>
      </c>
      <c r="D16" s="24" t="str">
        <f t="shared" ca="1" si="2"/>
        <v>NA</v>
      </c>
      <c r="E16" s="23" t="str">
        <f t="shared" ca="1" si="3"/>
        <v>NA</v>
      </c>
      <c r="F16" s="23" t="str">
        <f t="shared" si="4"/>
        <v>NA</v>
      </c>
      <c r="G16" s="23" t="s">
        <v>22</v>
      </c>
      <c r="H16" s="23" t="s">
        <v>22</v>
      </c>
      <c r="I16" s="23">
        <v>93.792733016717818</v>
      </c>
      <c r="J16" s="23">
        <v>96.460577427217274</v>
      </c>
      <c r="K16" s="25">
        <v>117.19455094382009</v>
      </c>
      <c r="L16" s="25">
        <v>116.73588291681985</v>
      </c>
      <c r="M16" s="25">
        <v>96.522202158089627</v>
      </c>
      <c r="N16" s="25">
        <v>88.744861567445184</v>
      </c>
      <c r="O16" s="25">
        <v>109.16021150215518</v>
      </c>
      <c r="P16" s="26">
        <v>87.322733826088012</v>
      </c>
      <c r="Q16" s="27">
        <v>94.098904445265347</v>
      </c>
      <c r="R16" s="25">
        <v>91.677471655711273</v>
      </c>
      <c r="S16" s="25">
        <v>91.263351090942933</v>
      </c>
      <c r="T16" s="25">
        <v>95.940640999836972</v>
      </c>
    </row>
    <row r="17" spans="1:22" x14ac:dyDescent="0.3">
      <c r="A17" s="28" t="s">
        <v>33</v>
      </c>
      <c r="B17" s="23">
        <f t="shared" ca="1" si="0"/>
        <v>89.078492764746741</v>
      </c>
      <c r="C17" s="24">
        <f t="shared" ca="1" si="1"/>
        <v>89.590800810688833</v>
      </c>
      <c r="D17" s="24" t="str">
        <f t="shared" ca="1" si="2"/>
        <v>NA</v>
      </c>
      <c r="E17" s="23" t="str">
        <f t="shared" ca="1" si="3"/>
        <v>NA</v>
      </c>
      <c r="F17" s="23" t="str">
        <f t="shared" si="4"/>
        <v>NA</v>
      </c>
      <c r="G17" s="23" t="s">
        <v>22</v>
      </c>
      <c r="H17" s="23" t="s">
        <v>22</v>
      </c>
      <c r="I17" s="23">
        <v>89.590800810688833</v>
      </c>
      <c r="J17" s="23">
        <v>87.558752093663372</v>
      </c>
      <c r="K17" s="25">
        <v>83.734884242332342</v>
      </c>
      <c r="L17" s="25">
        <v>102.88549705462411</v>
      </c>
      <c r="M17" s="25">
        <v>85.393249063976427</v>
      </c>
      <c r="N17" s="25">
        <v>83.117292351167777</v>
      </c>
      <c r="O17" s="25">
        <v>139.8362686256516</v>
      </c>
      <c r="P17" s="26" t="s">
        <v>22</v>
      </c>
      <c r="Q17" s="27" t="s">
        <v>22</v>
      </c>
      <c r="R17" s="25" t="s">
        <v>22</v>
      </c>
      <c r="S17" s="25" t="s">
        <v>22</v>
      </c>
      <c r="T17" s="25" t="s">
        <v>22</v>
      </c>
    </row>
    <row r="18" spans="1:22" ht="16" customHeight="1" x14ac:dyDescent="0.3">
      <c r="A18" s="29" t="s">
        <v>34</v>
      </c>
      <c r="B18" s="23">
        <f t="shared" ca="1" si="0"/>
        <v>88.451427088722298</v>
      </c>
      <c r="C18" s="24">
        <f t="shared" ca="1" si="1"/>
        <v>89.034242648509903</v>
      </c>
      <c r="D18" s="24">
        <f t="shared" ca="1" si="2"/>
        <v>89.034242648509903</v>
      </c>
      <c r="E18" s="23">
        <f t="shared" ca="1" si="3"/>
        <v>59.909661627278112</v>
      </c>
      <c r="F18" s="23">
        <f t="shared" si="4"/>
        <v>71.55342948301903</v>
      </c>
      <c r="G18" s="23">
        <v>75.31784998650636</v>
      </c>
      <c r="H18" s="23">
        <v>67.789008979531701</v>
      </c>
      <c r="I18" s="23">
        <v>101.51620594332353</v>
      </c>
      <c r="J18" s="23">
        <v>119.70949359091388</v>
      </c>
      <c r="K18" s="25">
        <v>94.888106476161596</v>
      </c>
      <c r="L18" s="25">
        <v>116.73588291681985</v>
      </c>
      <c r="M18" s="25">
        <v>99.30444043161792</v>
      </c>
      <c r="N18" s="25">
        <v>128.13784608138704</v>
      </c>
      <c r="O18" s="25">
        <v>98.934859127656367</v>
      </c>
      <c r="P18" s="26">
        <v>81.693699428578569</v>
      </c>
      <c r="Q18" s="27">
        <v>87.063976911164289</v>
      </c>
      <c r="R18" s="25">
        <v>89.904610485938449</v>
      </c>
      <c r="S18" s="25">
        <v>92.571148135634161</v>
      </c>
      <c r="T18" s="25">
        <v>91.494939083419894</v>
      </c>
    </row>
    <row r="19" spans="1:22" x14ac:dyDescent="0.3">
      <c r="A19" s="28" t="s">
        <v>35</v>
      </c>
      <c r="B19" s="23">
        <f t="shared" ca="1" si="0"/>
        <v>88.294070370080561</v>
      </c>
      <c r="C19" s="24">
        <f t="shared" ca="1" si="1"/>
        <v>88.894579181855192</v>
      </c>
      <c r="D19" s="24" t="str">
        <f t="shared" ca="1" si="2"/>
        <v>NA</v>
      </c>
      <c r="E19" s="23" t="str">
        <f t="shared" ca="1" si="3"/>
        <v>NA</v>
      </c>
      <c r="F19" s="23" t="str">
        <f t="shared" si="4"/>
        <v>NA</v>
      </c>
      <c r="G19" s="23" t="s">
        <v>22</v>
      </c>
      <c r="H19" s="23" t="s">
        <v>22</v>
      </c>
      <c r="I19" s="23">
        <v>88.894579181855192</v>
      </c>
      <c r="J19" s="23">
        <v>95.939725944934864</v>
      </c>
      <c r="K19" s="25">
        <v>156.23082876222247</v>
      </c>
      <c r="L19" s="25">
        <v>102.88549705462411</v>
      </c>
      <c r="M19" s="25">
        <v>79.828772516919827</v>
      </c>
      <c r="N19" s="25">
        <v>83.117292351167777</v>
      </c>
      <c r="O19" s="25">
        <v>144.948944812901</v>
      </c>
      <c r="P19" s="26">
        <v>80.162686916246329</v>
      </c>
      <c r="Q19" s="27">
        <v>87.031630707103602</v>
      </c>
      <c r="R19" s="25">
        <v>89.969304666248973</v>
      </c>
      <c r="S19" s="25">
        <v>105.51767125077635</v>
      </c>
      <c r="T19" s="25">
        <v>90.452403549156159</v>
      </c>
    </row>
    <row r="20" spans="1:22" x14ac:dyDescent="0.3">
      <c r="A20" s="30" t="s">
        <v>36</v>
      </c>
      <c r="B20" s="23">
        <f t="shared" ca="1" si="0"/>
        <v>87.471202931012371</v>
      </c>
      <c r="C20" s="24">
        <f t="shared" ca="1" si="1"/>
        <v>88.164235284692467</v>
      </c>
      <c r="D20" s="24" t="str">
        <f t="shared" ca="1" si="2"/>
        <v>NA</v>
      </c>
      <c r="E20" s="23" t="str">
        <f t="shared" ca="1" si="3"/>
        <v>NA</v>
      </c>
      <c r="F20" s="23" t="str">
        <f t="shared" si="4"/>
        <v>NA</v>
      </c>
      <c r="G20" s="23" t="s">
        <v>22</v>
      </c>
      <c r="H20" s="23" t="s">
        <v>22</v>
      </c>
      <c r="I20" s="23">
        <v>88.164235284692467</v>
      </c>
      <c r="J20" s="23">
        <v>86.706449668110338</v>
      </c>
      <c r="K20" s="25">
        <v>94.888106476161596</v>
      </c>
      <c r="L20" s="25">
        <v>102.88549705462411</v>
      </c>
      <c r="M20" s="25">
        <v>85.393249063976427</v>
      </c>
      <c r="N20" s="25">
        <v>83.117292351167777</v>
      </c>
      <c r="O20" s="25">
        <v>119.38556387665399</v>
      </c>
      <c r="P20" s="26">
        <v>86.001948163507578</v>
      </c>
      <c r="Q20" s="27">
        <v>88.024537815157046</v>
      </c>
      <c r="R20" s="25">
        <v>90.397349035548856</v>
      </c>
      <c r="S20" s="25">
        <v>91.022473018593104</v>
      </c>
      <c r="T20" s="25">
        <v>94.473303687221573</v>
      </c>
    </row>
    <row r="21" spans="1:22" x14ac:dyDescent="0.3">
      <c r="A21" s="28" t="s">
        <v>37</v>
      </c>
      <c r="B21" s="23">
        <f t="shared" ca="1" si="0"/>
        <v>83.069541320394222</v>
      </c>
      <c r="C21" s="24">
        <f t="shared" ca="1" si="1"/>
        <v>84.257498255055268</v>
      </c>
      <c r="D21" s="24" t="str">
        <f t="shared" ca="1" si="2"/>
        <v>NA</v>
      </c>
      <c r="E21" s="23" t="str">
        <f t="shared" ca="1" si="3"/>
        <v>NA</v>
      </c>
      <c r="F21" s="23" t="str">
        <f t="shared" si="4"/>
        <v>NA</v>
      </c>
      <c r="G21" s="23" t="s">
        <v>22</v>
      </c>
      <c r="H21" s="23" t="s">
        <v>22</v>
      </c>
      <c r="I21" s="23">
        <v>84.257498255055268</v>
      </c>
      <c r="J21" s="23">
        <v>82.871088753121683</v>
      </c>
      <c r="K21" s="25">
        <v>83.734884242332342</v>
      </c>
      <c r="L21" s="25">
        <v>102.88549705462411</v>
      </c>
      <c r="M21" s="25">
        <v>93.73996388456132</v>
      </c>
      <c r="N21" s="25">
        <v>83.117292351167777</v>
      </c>
      <c r="O21" s="25">
        <v>78.484154378658758</v>
      </c>
      <c r="P21" s="26" t="s">
        <v>22</v>
      </c>
      <c r="Q21" s="27" t="s">
        <v>22</v>
      </c>
      <c r="R21" s="25" t="s">
        <v>22</v>
      </c>
      <c r="S21" s="25" t="s">
        <v>22</v>
      </c>
      <c r="T21" s="25" t="s">
        <v>22</v>
      </c>
    </row>
    <row r="22" spans="1:22" x14ac:dyDescent="0.3">
      <c r="A22" s="28" t="s">
        <v>38</v>
      </c>
      <c r="B22" s="23">
        <f t="shared" ca="1" si="0"/>
        <v>80.338199754779453</v>
      </c>
      <c r="C22" s="24">
        <f t="shared" ca="1" si="1"/>
        <v>81.833269820676392</v>
      </c>
      <c r="D22" s="24" t="str">
        <f t="shared" ca="1" si="2"/>
        <v>NA</v>
      </c>
      <c r="E22" s="23" t="str">
        <f t="shared" ca="1" si="3"/>
        <v>NA</v>
      </c>
      <c r="F22" s="23" t="str">
        <f t="shared" si="4"/>
        <v>NA</v>
      </c>
      <c r="G22" s="23">
        <v>51.671544944945744</v>
      </c>
      <c r="H22" s="23" t="s">
        <v>22</v>
      </c>
      <c r="I22" s="23">
        <v>81.833269820676392</v>
      </c>
      <c r="J22" s="23">
        <v>80.740332689239111</v>
      </c>
      <c r="K22" s="25">
        <v>83.734884242332342</v>
      </c>
      <c r="L22" s="25">
        <v>102.88549705462411</v>
      </c>
      <c r="M22" s="25">
        <v>85.393249063976427</v>
      </c>
      <c r="N22" s="25">
        <v>83.117292351167777</v>
      </c>
      <c r="O22" s="25">
        <v>78.484154378658758</v>
      </c>
      <c r="P22" s="26" t="s">
        <v>22</v>
      </c>
      <c r="Q22" s="27" t="s">
        <v>22</v>
      </c>
      <c r="R22" s="25" t="s">
        <v>22</v>
      </c>
      <c r="S22" s="25" t="s">
        <v>22</v>
      </c>
      <c r="T22" s="25" t="s">
        <v>22</v>
      </c>
    </row>
    <row r="23" spans="1:22" x14ac:dyDescent="0.3">
      <c r="A23" s="28" t="s">
        <v>39</v>
      </c>
      <c r="B23" s="23">
        <f t="shared" ca="1" si="0"/>
        <v>73.490316217818318</v>
      </c>
      <c r="C23" s="24">
        <f t="shared" ca="1" si="1"/>
        <v>75.755365030368807</v>
      </c>
      <c r="D23" s="24">
        <f t="shared" ca="1" si="2"/>
        <v>75.755365030368807</v>
      </c>
      <c r="E23" s="23">
        <f t="shared" ca="1" si="3"/>
        <v>76.657675222453079</v>
      </c>
      <c r="F23" s="23">
        <f t="shared" si="4"/>
        <v>84.158234379147302</v>
      </c>
      <c r="G23" s="23">
        <v>101.37347037094167</v>
      </c>
      <c r="H23" s="23">
        <v>66.942998387352944</v>
      </c>
      <c r="I23" s="23">
        <v>75.368660662332701</v>
      </c>
      <c r="J23" s="23">
        <v>75.058316518885562</v>
      </c>
      <c r="K23" s="25">
        <v>83.734884242332342</v>
      </c>
      <c r="L23" s="25">
        <v>61.334339468036902</v>
      </c>
      <c r="M23" s="25">
        <v>79.828772516919827</v>
      </c>
      <c r="N23" s="25">
        <v>83.117292351167777</v>
      </c>
      <c r="O23" s="25">
        <v>78.484154378658758</v>
      </c>
      <c r="P23" s="26" t="s">
        <v>22</v>
      </c>
      <c r="Q23" s="27" t="s">
        <v>22</v>
      </c>
      <c r="R23" s="25" t="s">
        <v>22</v>
      </c>
      <c r="S23" s="25" t="s">
        <v>22</v>
      </c>
      <c r="T23" s="25" t="s">
        <v>22</v>
      </c>
    </row>
    <row r="24" spans="1:22" x14ac:dyDescent="0.3">
      <c r="A24" s="28" t="s">
        <v>40</v>
      </c>
      <c r="B24" s="23">
        <f t="shared" ca="1" si="0"/>
        <v>73.0546222464734</v>
      </c>
      <c r="C24" s="24">
        <f t="shared" ca="1" si="1"/>
        <v>75.368660662332701</v>
      </c>
      <c r="D24" s="24" t="str">
        <f t="shared" ca="1" si="2"/>
        <v>NA</v>
      </c>
      <c r="E24" s="23" t="str">
        <f t="shared" ca="1" si="3"/>
        <v>NA</v>
      </c>
      <c r="F24" s="23" t="str">
        <f t="shared" si="4"/>
        <v>NA</v>
      </c>
      <c r="G24" s="23" t="s">
        <v>22</v>
      </c>
      <c r="H24" s="23" t="s">
        <v>22</v>
      </c>
      <c r="I24" s="23">
        <v>75.368660662332701</v>
      </c>
      <c r="J24" s="23">
        <v>75.058316518885562</v>
      </c>
      <c r="K24" s="25">
        <v>83.734884242332342</v>
      </c>
      <c r="L24" s="25">
        <v>61.334339468036902</v>
      </c>
      <c r="M24" s="25">
        <v>79.828772516919827</v>
      </c>
      <c r="N24" s="25">
        <v>83.117292351167777</v>
      </c>
      <c r="O24" s="25">
        <v>78.484154378658758</v>
      </c>
      <c r="P24" s="26" t="s">
        <v>22</v>
      </c>
      <c r="Q24" s="27" t="s">
        <v>22</v>
      </c>
      <c r="R24" s="25" t="s">
        <v>22</v>
      </c>
      <c r="S24" s="25" t="s">
        <v>22</v>
      </c>
      <c r="T24" s="25" t="s">
        <v>22</v>
      </c>
    </row>
    <row r="25" spans="1:22" x14ac:dyDescent="0.3">
      <c r="A25" s="28" t="s">
        <v>41</v>
      </c>
      <c r="B25" s="23">
        <f t="shared" ca="1" si="0"/>
        <v>73.0546222464734</v>
      </c>
      <c r="C25" s="24">
        <f t="shared" ca="1" si="1"/>
        <v>75.368660662332701</v>
      </c>
      <c r="D25" s="24" t="str">
        <f t="shared" ca="1" si="2"/>
        <v>NA</v>
      </c>
      <c r="E25" s="23" t="str">
        <f t="shared" ca="1" si="3"/>
        <v>NA</v>
      </c>
      <c r="F25" s="23" t="str">
        <f t="shared" si="4"/>
        <v>NA</v>
      </c>
      <c r="G25" s="23" t="s">
        <v>22</v>
      </c>
      <c r="H25" s="23" t="s">
        <v>22</v>
      </c>
      <c r="I25" s="23">
        <v>75.368660662332701</v>
      </c>
      <c r="J25" s="23">
        <v>75.058316518885562</v>
      </c>
      <c r="K25" s="25">
        <v>83.734884242332342</v>
      </c>
      <c r="L25" s="25">
        <v>61.334339468036902</v>
      </c>
      <c r="M25" s="25">
        <v>79.828772516919827</v>
      </c>
      <c r="N25" s="25">
        <v>83.117292351167777</v>
      </c>
      <c r="O25" s="25">
        <v>78.484154378658758</v>
      </c>
      <c r="P25" s="26" t="s">
        <v>22</v>
      </c>
      <c r="Q25" s="27" t="s">
        <v>22</v>
      </c>
      <c r="R25" s="25" t="s">
        <v>22</v>
      </c>
      <c r="S25" s="25" t="s">
        <v>22</v>
      </c>
      <c r="T25" s="25" t="s">
        <v>22</v>
      </c>
    </row>
    <row r="26" spans="1:22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/>
      <c r="R26" s="32"/>
      <c r="S26" s="32"/>
      <c r="T26" s="32"/>
    </row>
    <row r="27" spans="1:22" x14ac:dyDescent="0.3">
      <c r="I27" s="2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2" s="21" customFormat="1" x14ac:dyDescent="0.3">
      <c r="A28" s="33" t="s">
        <v>42</v>
      </c>
      <c r="B28" s="34">
        <f ca="1">AVERAGE(B3:B25)</f>
        <v>100</v>
      </c>
      <c r="C28" s="34">
        <f ca="1">AVERAGE(C3:C25)</f>
        <v>99.284289431551372</v>
      </c>
      <c r="D28" s="34"/>
      <c r="E28" s="34">
        <f ca="1">AVERAGE(E3:E25)</f>
        <v>99.999999999999986</v>
      </c>
      <c r="F28" s="34">
        <f ca="1">AVERAGE(F3:F25)</f>
        <v>101.72601625196623</v>
      </c>
      <c r="G28" s="34"/>
      <c r="H28" s="35"/>
      <c r="I28" s="34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9"/>
      <c r="V28" s="9"/>
    </row>
    <row r="29" spans="1:22" s="21" customFormat="1" x14ac:dyDescent="0.3">
      <c r="A29" s="33" t="s">
        <v>43</v>
      </c>
      <c r="B29" s="34">
        <f ca="1">STDEV(B3:B25)</f>
        <v>20.000000000000032</v>
      </c>
      <c r="C29" s="34">
        <f ca="1">STDEV(C3:C25)</f>
        <v>17.751192050806267</v>
      </c>
      <c r="D29" s="34"/>
      <c r="E29" s="34">
        <f ca="1">STDEV(E3:E25)</f>
        <v>20.000000000000114</v>
      </c>
      <c r="F29" s="34">
        <f ca="1">STDEV(F3:F25)</f>
        <v>15.052298380937144</v>
      </c>
      <c r="G29" s="34"/>
      <c r="H29" s="35"/>
      <c r="I29" s="34"/>
      <c r="J29" s="31"/>
      <c r="K29" s="31"/>
      <c r="L29" s="31"/>
      <c r="M29" s="31"/>
      <c r="N29" s="31"/>
      <c r="O29" s="31"/>
      <c r="P29" s="31" t="s">
        <v>44</v>
      </c>
      <c r="Q29" s="31"/>
      <c r="R29" s="31"/>
      <c r="S29" s="31"/>
      <c r="T29" s="31"/>
      <c r="U29" s="9"/>
      <c r="V29" s="9"/>
    </row>
    <row r="30" spans="1:22" x14ac:dyDescent="0.3">
      <c r="I30" s="21"/>
    </row>
    <row r="31" spans="1:22" x14ac:dyDescent="0.3">
      <c r="E31" s="37"/>
      <c r="I31" s="21"/>
    </row>
    <row r="34" spans="7:21" s="21" customFormat="1" x14ac:dyDescent="0.3"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9"/>
    </row>
    <row r="35" spans="7:21" s="21" customFormat="1" x14ac:dyDescent="0.3"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9"/>
    </row>
    <row r="36" spans="7:21" s="21" customFormat="1" x14ac:dyDescent="0.3"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9"/>
    </row>
    <row r="37" spans="7:21" s="21" customFormat="1" x14ac:dyDescent="0.3"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9"/>
    </row>
    <row r="38" spans="7:21" s="21" customFormat="1" x14ac:dyDescent="0.3"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9"/>
    </row>
    <row r="39" spans="7:21" s="21" customFormat="1" x14ac:dyDescent="0.3">
      <c r="G39" s="21" t="s">
        <v>44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9"/>
    </row>
    <row r="40" spans="7:21" s="21" customFormat="1" x14ac:dyDescent="0.3"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9"/>
    </row>
    <row r="41" spans="7:21" s="21" customFormat="1" x14ac:dyDescent="0.3"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9"/>
    </row>
    <row r="42" spans="7:21" s="21" customFormat="1" x14ac:dyDescent="0.3"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9"/>
    </row>
  </sheetData>
  <mergeCells count="1">
    <mergeCell ref="A1:A2"/>
  </mergeCells>
  <phoneticPr fontId="5" type="noConversion"/>
  <conditionalFormatting sqref="B3:B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5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8696B"/>
        <color rgb="FFFCFCFF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G4:G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B2BA-9314-400F-BCC3-A5C521C047E2}">
  <dimension ref="B1:X25"/>
  <sheetViews>
    <sheetView topLeftCell="B1" zoomScale="70" zoomScaleNormal="70" workbookViewId="0">
      <selection activeCell="R2" sqref="R2:R3"/>
    </sheetView>
  </sheetViews>
  <sheetFormatPr defaultColWidth="9" defaultRowHeight="14" x14ac:dyDescent="0.3"/>
  <cols>
    <col min="1" max="2" width="9" style="174"/>
    <col min="3" max="3" width="27" style="174" customWidth="1"/>
    <col min="4" max="4" width="13.58203125" style="174" customWidth="1"/>
    <col min="5" max="16384" width="9" style="174"/>
  </cols>
  <sheetData>
    <row r="1" spans="2:24" ht="14.25" customHeight="1" x14ac:dyDescent="0.3">
      <c r="B1" s="422" t="s">
        <v>0</v>
      </c>
      <c r="C1" s="422"/>
      <c r="D1" s="423" t="s">
        <v>210</v>
      </c>
      <c r="E1" s="423"/>
      <c r="F1" s="423"/>
      <c r="G1" s="423"/>
      <c r="H1" s="424" t="s">
        <v>211</v>
      </c>
      <c r="I1" s="424"/>
      <c r="J1" s="424"/>
      <c r="K1" s="424"/>
      <c r="L1" s="425" t="s">
        <v>212</v>
      </c>
      <c r="M1" s="425"/>
      <c r="N1" s="425"/>
      <c r="O1" s="425"/>
      <c r="P1" s="426" t="s">
        <v>213</v>
      </c>
      <c r="Q1" s="426"/>
      <c r="R1" s="426"/>
      <c r="S1" s="427" t="s">
        <v>214</v>
      </c>
      <c r="T1" s="427"/>
      <c r="U1" s="427"/>
      <c r="V1" s="427"/>
      <c r="W1" s="427"/>
      <c r="X1" s="430" t="s">
        <v>215</v>
      </c>
    </row>
    <row r="2" spans="2:24" s="188" customFormat="1" ht="28.5" customHeight="1" x14ac:dyDescent="0.3">
      <c r="B2" s="422"/>
      <c r="C2" s="422"/>
      <c r="D2" s="431" t="s">
        <v>210</v>
      </c>
      <c r="E2" s="431" t="s">
        <v>216</v>
      </c>
      <c r="F2" s="431" t="s">
        <v>217</v>
      </c>
      <c r="G2" s="431" t="s">
        <v>218</v>
      </c>
      <c r="H2" s="432" t="s">
        <v>219</v>
      </c>
      <c r="I2" s="432" t="s">
        <v>220</v>
      </c>
      <c r="J2" s="432" t="s">
        <v>221</v>
      </c>
      <c r="K2" s="432" t="s">
        <v>222</v>
      </c>
      <c r="L2" s="428" t="s">
        <v>223</v>
      </c>
      <c r="M2" s="428" t="s">
        <v>224</v>
      </c>
      <c r="N2" s="428" t="s">
        <v>225</v>
      </c>
      <c r="O2" s="428" t="s">
        <v>226</v>
      </c>
      <c r="P2" s="429" t="s">
        <v>227</v>
      </c>
      <c r="Q2" s="429" t="s">
        <v>228</v>
      </c>
      <c r="R2" s="429" t="s">
        <v>229</v>
      </c>
      <c r="S2" s="452" t="s">
        <v>230</v>
      </c>
      <c r="T2" s="452" t="s">
        <v>231</v>
      </c>
      <c r="U2" s="452" t="s">
        <v>232</v>
      </c>
      <c r="V2" s="452" t="s">
        <v>233</v>
      </c>
      <c r="W2" s="452" t="s">
        <v>234</v>
      </c>
      <c r="X2" s="430"/>
    </row>
    <row r="3" spans="2:24" s="188" customFormat="1" ht="28.5" customHeight="1" x14ac:dyDescent="0.3">
      <c r="B3" s="422"/>
      <c r="C3" s="422"/>
      <c r="D3" s="431"/>
      <c r="E3" s="431"/>
      <c r="F3" s="431"/>
      <c r="G3" s="431"/>
      <c r="H3" s="432"/>
      <c r="I3" s="432"/>
      <c r="J3" s="432"/>
      <c r="K3" s="432"/>
      <c r="L3" s="428"/>
      <c r="M3" s="428"/>
      <c r="N3" s="428"/>
      <c r="O3" s="428"/>
      <c r="P3" s="429"/>
      <c r="Q3" s="429"/>
      <c r="R3" s="429"/>
      <c r="S3" s="452"/>
      <c r="T3" s="452"/>
      <c r="U3" s="452"/>
      <c r="V3" s="452"/>
      <c r="W3" s="452"/>
      <c r="X3" s="430"/>
    </row>
    <row r="4" spans="2:24" x14ac:dyDescent="0.3">
      <c r="B4" s="433" t="s">
        <v>235</v>
      </c>
      <c r="C4" s="189" t="s">
        <v>26</v>
      </c>
      <c r="D4" s="190"/>
      <c r="E4" s="434"/>
      <c r="F4" s="435"/>
      <c r="G4" s="436"/>
      <c r="H4" s="437"/>
      <c r="I4" s="438"/>
      <c r="J4" s="439"/>
      <c r="K4" s="191"/>
      <c r="L4" s="440"/>
      <c r="M4" s="441"/>
      <c r="N4" s="434"/>
      <c r="O4" s="436"/>
      <c r="P4" s="442"/>
      <c r="Q4" s="442"/>
      <c r="R4" s="192"/>
      <c r="S4" s="443"/>
      <c r="T4" s="443"/>
      <c r="U4" s="434"/>
      <c r="V4" s="435"/>
      <c r="W4" s="436"/>
      <c r="X4" s="189">
        <v>9</v>
      </c>
    </row>
    <row r="5" spans="2:24" x14ac:dyDescent="0.3">
      <c r="B5" s="433"/>
      <c r="C5" s="189" t="s">
        <v>27</v>
      </c>
      <c r="D5" s="193"/>
      <c r="E5" s="444"/>
      <c r="F5" s="444"/>
      <c r="G5" s="444"/>
      <c r="H5" s="194"/>
      <c r="I5" s="195"/>
      <c r="J5" s="437"/>
      <c r="K5" s="439"/>
      <c r="L5" s="196"/>
      <c r="M5" s="197"/>
      <c r="N5" s="198"/>
      <c r="O5" s="195"/>
      <c r="P5" s="444"/>
      <c r="Q5" s="444"/>
      <c r="R5" s="192"/>
      <c r="S5" s="445"/>
      <c r="T5" s="445"/>
      <c r="U5" s="444"/>
      <c r="V5" s="444"/>
      <c r="W5" s="444"/>
      <c r="X5" s="189">
        <v>9</v>
      </c>
    </row>
    <row r="6" spans="2:24" x14ac:dyDescent="0.3">
      <c r="B6" s="433"/>
      <c r="C6" s="189" t="s">
        <v>28</v>
      </c>
      <c r="D6" s="199"/>
      <c r="E6" s="444"/>
      <c r="F6" s="444"/>
      <c r="G6" s="444"/>
      <c r="H6" s="446"/>
      <c r="I6" s="447"/>
      <c r="J6" s="447"/>
      <c r="K6" s="448"/>
      <c r="L6" s="449"/>
      <c r="M6" s="450"/>
      <c r="N6" s="450"/>
      <c r="O6" s="451"/>
      <c r="P6" s="192"/>
      <c r="Q6" s="200"/>
      <c r="R6" s="192"/>
      <c r="S6" s="201"/>
      <c r="T6" s="444"/>
      <c r="U6" s="444"/>
      <c r="V6" s="201"/>
      <c r="W6" s="195"/>
      <c r="X6" s="189">
        <v>13</v>
      </c>
    </row>
    <row r="7" spans="2:24" x14ac:dyDescent="0.3">
      <c r="B7" s="433"/>
      <c r="C7" s="189" t="s">
        <v>29</v>
      </c>
      <c r="D7" s="193"/>
      <c r="E7" s="453"/>
      <c r="F7" s="454"/>
      <c r="G7" s="455"/>
      <c r="H7" s="446"/>
      <c r="I7" s="447"/>
      <c r="J7" s="448"/>
      <c r="K7" s="202"/>
      <c r="L7" s="453"/>
      <c r="M7" s="454"/>
      <c r="N7" s="455"/>
      <c r="O7" s="196"/>
      <c r="P7" s="453"/>
      <c r="Q7" s="454"/>
      <c r="R7" s="455"/>
      <c r="S7" s="201"/>
      <c r="T7" s="444"/>
      <c r="U7" s="444"/>
      <c r="V7" s="444"/>
      <c r="W7" s="444"/>
      <c r="X7" s="189">
        <v>6</v>
      </c>
    </row>
    <row r="8" spans="2:24" x14ac:dyDescent="0.3">
      <c r="B8" s="433"/>
      <c r="C8" s="189" t="s">
        <v>19</v>
      </c>
      <c r="D8" s="456"/>
      <c r="E8" s="457"/>
      <c r="F8" s="200"/>
      <c r="G8" s="203"/>
      <c r="H8" s="446"/>
      <c r="I8" s="447"/>
      <c r="J8" s="448"/>
      <c r="K8" s="204"/>
      <c r="L8" s="458"/>
      <c r="M8" s="459"/>
      <c r="N8" s="459"/>
      <c r="O8" s="460"/>
      <c r="P8" s="461"/>
      <c r="Q8" s="462"/>
      <c r="R8" s="463"/>
      <c r="S8" s="464"/>
      <c r="T8" s="465"/>
      <c r="U8" s="195"/>
      <c r="V8" s="464"/>
      <c r="W8" s="465"/>
      <c r="X8" s="189">
        <v>12</v>
      </c>
    </row>
    <row r="9" spans="2:24" x14ac:dyDescent="0.3">
      <c r="B9" s="433"/>
      <c r="C9" s="189" t="s">
        <v>23</v>
      </c>
      <c r="D9" s="199"/>
      <c r="E9" s="444"/>
      <c r="F9" s="444"/>
      <c r="G9" s="444"/>
      <c r="H9" s="446"/>
      <c r="I9" s="447"/>
      <c r="J9" s="448"/>
      <c r="K9" s="195"/>
      <c r="L9" s="205"/>
      <c r="M9" s="206"/>
      <c r="N9" s="200"/>
      <c r="O9" s="196"/>
      <c r="P9" s="192"/>
      <c r="Q9" s="466"/>
      <c r="R9" s="467"/>
      <c r="S9" s="207"/>
      <c r="T9" s="208"/>
      <c r="U9" s="207"/>
      <c r="V9" s="201"/>
      <c r="W9" s="195"/>
      <c r="X9" s="189">
        <v>9</v>
      </c>
    </row>
    <row r="10" spans="2:24" x14ac:dyDescent="0.3">
      <c r="B10" s="433"/>
      <c r="C10" s="189" t="s">
        <v>129</v>
      </c>
      <c r="D10" s="193"/>
      <c r="E10" s="444"/>
      <c r="F10" s="444"/>
      <c r="G10" s="444"/>
      <c r="H10" s="468"/>
      <c r="I10" s="468"/>
      <c r="J10" s="468"/>
      <c r="K10" s="468"/>
      <c r="L10" s="449"/>
      <c r="M10" s="450"/>
      <c r="N10" s="450"/>
      <c r="O10" s="451"/>
      <c r="P10" s="461"/>
      <c r="Q10" s="463"/>
      <c r="R10" s="207"/>
      <c r="S10" s="204"/>
      <c r="T10" s="209"/>
      <c r="U10" s="444"/>
      <c r="V10" s="444"/>
      <c r="W10" s="444"/>
      <c r="X10" s="189">
        <v>12</v>
      </c>
    </row>
    <row r="11" spans="2:24" x14ac:dyDescent="0.3">
      <c r="B11" s="433"/>
      <c r="C11" s="189" t="s">
        <v>18</v>
      </c>
      <c r="D11" s="193"/>
      <c r="E11" s="453"/>
      <c r="F11" s="454"/>
      <c r="G11" s="455"/>
      <c r="H11" s="446"/>
      <c r="I11" s="447"/>
      <c r="J11" s="448"/>
      <c r="K11" s="195"/>
      <c r="L11" s="449"/>
      <c r="M11" s="451"/>
      <c r="N11" s="453"/>
      <c r="O11" s="455"/>
      <c r="P11" s="469"/>
      <c r="Q11" s="469"/>
      <c r="R11" s="195"/>
      <c r="S11" s="445"/>
      <c r="T11" s="445"/>
      <c r="U11" s="195"/>
      <c r="V11" s="208"/>
      <c r="W11" s="197"/>
      <c r="X11" s="189">
        <v>11</v>
      </c>
    </row>
    <row r="12" spans="2:24" x14ac:dyDescent="0.3">
      <c r="B12" s="433"/>
      <c r="C12" s="189" t="s">
        <v>36</v>
      </c>
      <c r="D12" s="193"/>
      <c r="E12" s="453"/>
      <c r="F12" s="454"/>
      <c r="G12" s="455"/>
      <c r="H12" s="210"/>
      <c r="I12" s="207"/>
      <c r="J12" s="446"/>
      <c r="K12" s="448"/>
      <c r="L12" s="198"/>
      <c r="M12" s="444"/>
      <c r="N12" s="444"/>
      <c r="O12" s="444"/>
      <c r="P12" s="453"/>
      <c r="Q12" s="454"/>
      <c r="R12" s="455"/>
      <c r="S12" s="453"/>
      <c r="T12" s="454"/>
      <c r="U12" s="454"/>
      <c r="V12" s="455"/>
      <c r="W12" s="201"/>
      <c r="X12" s="189">
        <v>6</v>
      </c>
    </row>
    <row r="13" spans="2:24" x14ac:dyDescent="0.3">
      <c r="B13" s="433"/>
      <c r="C13" s="189" t="s">
        <v>35</v>
      </c>
      <c r="D13" s="193"/>
      <c r="E13" s="195"/>
      <c r="F13" s="193"/>
      <c r="G13" s="195"/>
      <c r="H13" s="211"/>
      <c r="I13" s="212"/>
      <c r="J13" s="213"/>
      <c r="K13" s="195"/>
      <c r="L13" s="453"/>
      <c r="M13" s="454"/>
      <c r="N13" s="454"/>
      <c r="O13" s="455"/>
      <c r="P13" s="453"/>
      <c r="Q13" s="454"/>
      <c r="R13" s="455"/>
      <c r="S13" s="195"/>
      <c r="T13" s="201"/>
      <c r="U13" s="444"/>
      <c r="V13" s="444"/>
      <c r="W13" s="201"/>
      <c r="X13" s="189">
        <v>7</v>
      </c>
    </row>
    <row r="14" spans="2:24" x14ac:dyDescent="0.3">
      <c r="B14" s="433" t="s">
        <v>236</v>
      </c>
      <c r="C14" s="189" t="s">
        <v>97</v>
      </c>
      <c r="D14" s="456"/>
      <c r="E14" s="457"/>
      <c r="F14" s="453"/>
      <c r="G14" s="455"/>
      <c r="H14" s="446"/>
      <c r="I14" s="447"/>
      <c r="J14" s="447"/>
      <c r="K14" s="448"/>
      <c r="L14" s="214"/>
      <c r="M14" s="215"/>
      <c r="N14" s="215"/>
      <c r="O14" s="216"/>
      <c r="P14" s="207"/>
      <c r="Q14" s="461"/>
      <c r="R14" s="463"/>
      <c r="S14" s="464"/>
      <c r="T14" s="465"/>
      <c r="U14" s="444"/>
      <c r="V14" s="444"/>
      <c r="W14" s="444"/>
      <c r="X14" s="189">
        <v>14</v>
      </c>
    </row>
    <row r="15" spans="2:24" x14ac:dyDescent="0.3">
      <c r="B15" s="433"/>
      <c r="C15" s="189" t="s">
        <v>21</v>
      </c>
      <c r="D15" s="456"/>
      <c r="E15" s="457"/>
      <c r="F15" s="217"/>
      <c r="G15" s="218"/>
      <c r="H15" s="470"/>
      <c r="I15" s="471"/>
      <c r="J15" s="472"/>
      <c r="K15" s="210"/>
      <c r="L15" s="473"/>
      <c r="M15" s="473"/>
      <c r="N15" s="200"/>
      <c r="O15" s="203"/>
      <c r="P15" s="206"/>
      <c r="Q15" s="461"/>
      <c r="R15" s="463"/>
      <c r="S15" s="466"/>
      <c r="T15" s="467"/>
      <c r="U15" s="470"/>
      <c r="V15" s="471"/>
      <c r="W15" s="472"/>
      <c r="X15" s="189">
        <v>7</v>
      </c>
    </row>
    <row r="16" spans="2:24" x14ac:dyDescent="0.3">
      <c r="B16" s="433"/>
      <c r="C16" s="189" t="s">
        <v>41</v>
      </c>
      <c r="D16" s="442"/>
      <c r="E16" s="442"/>
      <c r="F16" s="442"/>
      <c r="G16" s="442"/>
      <c r="H16" s="442"/>
      <c r="I16" s="442"/>
      <c r="J16" s="442"/>
      <c r="K16" s="442"/>
      <c r="L16" s="442"/>
      <c r="M16" s="442"/>
      <c r="N16" s="442"/>
      <c r="O16" s="442"/>
      <c r="P16" s="453"/>
      <c r="Q16" s="454"/>
      <c r="R16" s="455"/>
      <c r="S16" s="444"/>
      <c r="T16" s="444"/>
      <c r="U16" s="444"/>
      <c r="V16" s="444"/>
      <c r="W16" s="444"/>
      <c r="X16" s="189">
        <v>0</v>
      </c>
    </row>
    <row r="17" spans="2:24" x14ac:dyDescent="0.3">
      <c r="B17" s="433"/>
      <c r="C17" s="189" t="s">
        <v>30</v>
      </c>
      <c r="D17" s="193"/>
      <c r="E17" s="434"/>
      <c r="F17" s="436"/>
      <c r="G17" s="193"/>
      <c r="H17" s="194"/>
      <c r="I17" s="434"/>
      <c r="J17" s="435"/>
      <c r="K17" s="436"/>
      <c r="L17" s="442"/>
      <c r="M17" s="442"/>
      <c r="N17" s="442"/>
      <c r="O17" s="442"/>
      <c r="P17" s="453"/>
      <c r="Q17" s="454"/>
      <c r="R17" s="455"/>
      <c r="S17" s="207"/>
      <c r="T17" s="208"/>
      <c r="U17" s="453"/>
      <c r="V17" s="454"/>
      <c r="W17" s="455"/>
      <c r="X17" s="189">
        <v>4</v>
      </c>
    </row>
    <row r="18" spans="2:24" x14ac:dyDescent="0.3">
      <c r="B18" s="433"/>
      <c r="C18" s="189" t="s">
        <v>25</v>
      </c>
      <c r="D18" s="442"/>
      <c r="E18" s="442"/>
      <c r="F18" s="442"/>
      <c r="G18" s="442"/>
      <c r="H18" s="437"/>
      <c r="I18" s="438"/>
      <c r="J18" s="439"/>
      <c r="K18" s="202"/>
      <c r="L18" s="219"/>
      <c r="M18" s="196"/>
      <c r="N18" s="434"/>
      <c r="O18" s="436"/>
      <c r="P18" s="444"/>
      <c r="Q18" s="444"/>
      <c r="R18" s="192"/>
      <c r="S18" s="444"/>
      <c r="T18" s="444"/>
      <c r="U18" s="444"/>
      <c r="V18" s="444"/>
      <c r="W18" s="444"/>
      <c r="X18" s="189">
        <v>5</v>
      </c>
    </row>
    <row r="19" spans="2:24" x14ac:dyDescent="0.3">
      <c r="B19" s="433" t="s">
        <v>237</v>
      </c>
      <c r="C19" s="189" t="s">
        <v>32</v>
      </c>
      <c r="D19" s="193"/>
      <c r="E19" s="466"/>
      <c r="F19" s="467"/>
      <c r="G19" s="193"/>
      <c r="H19" s="468"/>
      <c r="I19" s="468"/>
      <c r="J19" s="468"/>
      <c r="K19" s="468"/>
      <c r="L19" s="207"/>
      <c r="M19" s="207"/>
      <c r="N19" s="196"/>
      <c r="O19" s="207"/>
      <c r="P19" s="474"/>
      <c r="Q19" s="475"/>
      <c r="R19" s="476"/>
      <c r="S19" s="197"/>
      <c r="T19" s="464"/>
      <c r="U19" s="465"/>
      <c r="V19" s="453"/>
      <c r="W19" s="455"/>
      <c r="X19" s="189">
        <v>9</v>
      </c>
    </row>
    <row r="20" spans="2:24" ht="12" customHeight="1" x14ac:dyDescent="0.3">
      <c r="B20" s="433"/>
      <c r="C20" s="189" t="s">
        <v>34</v>
      </c>
      <c r="D20" s="193"/>
      <c r="E20" s="200"/>
      <c r="F20" s="200"/>
      <c r="G20" s="203"/>
      <c r="H20" s="446"/>
      <c r="I20" s="447"/>
      <c r="J20" s="447"/>
      <c r="K20" s="448"/>
      <c r="L20" s="198"/>
      <c r="M20" s="206"/>
      <c r="N20" s="200"/>
      <c r="O20" s="196"/>
      <c r="P20" s="197"/>
      <c r="Q20" s="461"/>
      <c r="R20" s="463"/>
      <c r="S20" s="464"/>
      <c r="T20" s="465"/>
      <c r="U20" s="444"/>
      <c r="V20" s="444"/>
      <c r="W20" s="444"/>
      <c r="X20" s="189">
        <v>11</v>
      </c>
    </row>
    <row r="21" spans="2:24" x14ac:dyDescent="0.3">
      <c r="B21" s="433"/>
      <c r="C21" s="189" t="s">
        <v>31</v>
      </c>
      <c r="D21" s="444"/>
      <c r="E21" s="444"/>
      <c r="F21" s="444"/>
      <c r="G21" s="444"/>
      <c r="H21" s="446"/>
      <c r="I21" s="447"/>
      <c r="J21" s="448"/>
      <c r="K21" s="210"/>
      <c r="L21" s="198"/>
      <c r="M21" s="453"/>
      <c r="N21" s="454"/>
      <c r="O21" s="455"/>
      <c r="P21" s="453"/>
      <c r="Q21" s="454"/>
      <c r="R21" s="455"/>
      <c r="S21" s="201"/>
      <c r="T21" s="203"/>
      <c r="U21" s="201"/>
      <c r="V21" s="453"/>
      <c r="W21" s="455"/>
      <c r="X21" s="189">
        <v>7</v>
      </c>
    </row>
    <row r="22" spans="2:24" x14ac:dyDescent="0.3">
      <c r="B22" s="433"/>
      <c r="C22" s="189" t="s">
        <v>38</v>
      </c>
      <c r="D22" s="444"/>
      <c r="E22" s="444"/>
      <c r="F22" s="444"/>
      <c r="G22" s="444"/>
      <c r="H22" s="446"/>
      <c r="I22" s="447"/>
      <c r="J22" s="448"/>
      <c r="K22" s="195"/>
      <c r="L22" s="198"/>
      <c r="M22" s="444"/>
      <c r="N22" s="444"/>
      <c r="O22" s="444"/>
      <c r="P22" s="453"/>
      <c r="Q22" s="454"/>
      <c r="R22" s="455"/>
      <c r="S22" s="444"/>
      <c r="T22" s="444"/>
      <c r="U22" s="444"/>
      <c r="V22" s="444"/>
      <c r="W22" s="444"/>
      <c r="X22" s="189">
        <v>4</v>
      </c>
    </row>
    <row r="23" spans="2:24" x14ac:dyDescent="0.3">
      <c r="B23" s="433" t="s">
        <v>238</v>
      </c>
      <c r="C23" s="189" t="s">
        <v>33</v>
      </c>
      <c r="D23" s="444"/>
      <c r="E23" s="444"/>
      <c r="F23" s="444"/>
      <c r="G23" s="444"/>
      <c r="H23" s="446"/>
      <c r="I23" s="447"/>
      <c r="J23" s="448"/>
      <c r="K23" s="195"/>
      <c r="L23" s="198"/>
      <c r="M23" s="444"/>
      <c r="N23" s="444"/>
      <c r="O23" s="444"/>
      <c r="P23" s="453"/>
      <c r="Q23" s="454"/>
      <c r="R23" s="455"/>
      <c r="S23" s="453"/>
      <c r="T23" s="455"/>
      <c r="U23" s="201"/>
      <c r="V23" s="207"/>
      <c r="W23" s="201"/>
      <c r="X23" s="189">
        <v>6</v>
      </c>
    </row>
    <row r="24" spans="2:24" x14ac:dyDescent="0.3">
      <c r="B24" s="433"/>
      <c r="C24" s="189" t="s">
        <v>37</v>
      </c>
      <c r="D24" s="466"/>
      <c r="E24" s="478"/>
      <c r="F24" s="478"/>
      <c r="G24" s="467"/>
      <c r="H24" s="446"/>
      <c r="I24" s="447"/>
      <c r="J24" s="448"/>
      <c r="K24" s="204"/>
      <c r="L24" s="204"/>
      <c r="M24" s="196"/>
      <c r="N24" s="474"/>
      <c r="O24" s="476"/>
      <c r="P24" s="466"/>
      <c r="Q24" s="478"/>
      <c r="R24" s="467"/>
      <c r="S24" s="466"/>
      <c r="T24" s="478"/>
      <c r="U24" s="478"/>
      <c r="V24" s="478"/>
      <c r="W24" s="467"/>
      <c r="X24" s="189">
        <v>4</v>
      </c>
    </row>
    <row r="25" spans="2:24" x14ac:dyDescent="0.3">
      <c r="B25" s="477" t="s">
        <v>239</v>
      </c>
      <c r="C25" s="477"/>
      <c r="D25" s="220">
        <v>15</v>
      </c>
      <c r="E25" s="220">
        <v>3</v>
      </c>
      <c r="F25" s="220">
        <v>1</v>
      </c>
      <c r="G25" s="220">
        <v>2</v>
      </c>
      <c r="H25" s="220">
        <v>19</v>
      </c>
      <c r="I25" s="220">
        <v>16</v>
      </c>
      <c r="J25" s="220">
        <v>18</v>
      </c>
      <c r="K25" s="220">
        <v>9</v>
      </c>
      <c r="L25" s="220">
        <v>13</v>
      </c>
      <c r="M25" s="220">
        <v>8</v>
      </c>
      <c r="N25" s="220">
        <v>5</v>
      </c>
      <c r="O25" s="220">
        <v>6</v>
      </c>
      <c r="P25" s="220">
        <v>5</v>
      </c>
      <c r="Q25" s="220">
        <v>6</v>
      </c>
      <c r="R25" s="220">
        <v>8</v>
      </c>
      <c r="S25" s="220">
        <v>9</v>
      </c>
      <c r="T25" s="220">
        <v>11</v>
      </c>
      <c r="U25" s="220">
        <v>3</v>
      </c>
      <c r="V25" s="220">
        <v>4</v>
      </c>
      <c r="W25" s="220">
        <v>4</v>
      </c>
      <c r="X25" s="189">
        <v>165</v>
      </c>
    </row>
  </sheetData>
  <mergeCells count="137">
    <mergeCell ref="B25:C25"/>
    <mergeCell ref="S23:T23"/>
    <mergeCell ref="D24:G24"/>
    <mergeCell ref="H24:J24"/>
    <mergeCell ref="N24:O24"/>
    <mergeCell ref="P24:R24"/>
    <mergeCell ref="S24:W24"/>
    <mergeCell ref="D22:G22"/>
    <mergeCell ref="H22:J22"/>
    <mergeCell ref="M22:O22"/>
    <mergeCell ref="P22:R22"/>
    <mergeCell ref="S22:W22"/>
    <mergeCell ref="B23:B24"/>
    <mergeCell ref="D23:G23"/>
    <mergeCell ref="H23:J23"/>
    <mergeCell ref="M23:O23"/>
    <mergeCell ref="P23:R23"/>
    <mergeCell ref="D18:G18"/>
    <mergeCell ref="H18:J18"/>
    <mergeCell ref="N18:O18"/>
    <mergeCell ref="P18:Q18"/>
    <mergeCell ref="S18:W18"/>
    <mergeCell ref="B19:B22"/>
    <mergeCell ref="E19:F19"/>
    <mergeCell ref="H19:K19"/>
    <mergeCell ref="P19:R19"/>
    <mergeCell ref="T19:U19"/>
    <mergeCell ref="B14:B18"/>
    <mergeCell ref="V19:W19"/>
    <mergeCell ref="H20:K20"/>
    <mergeCell ref="Q20:R20"/>
    <mergeCell ref="S20:T20"/>
    <mergeCell ref="U20:W20"/>
    <mergeCell ref="D21:G21"/>
    <mergeCell ref="H21:J21"/>
    <mergeCell ref="M21:O21"/>
    <mergeCell ref="P21:R21"/>
    <mergeCell ref="V21:W21"/>
    <mergeCell ref="S16:W16"/>
    <mergeCell ref="E17:F17"/>
    <mergeCell ref="I17:K17"/>
    <mergeCell ref="L17:O17"/>
    <mergeCell ref="P17:R17"/>
    <mergeCell ref="U17:W17"/>
    <mergeCell ref="U14:W14"/>
    <mergeCell ref="D15:E15"/>
    <mergeCell ref="H15:J15"/>
    <mergeCell ref="L15:M15"/>
    <mergeCell ref="Q15:R15"/>
    <mergeCell ref="S15:T15"/>
    <mergeCell ref="U15:W15"/>
    <mergeCell ref="D14:E14"/>
    <mergeCell ref="F14:G14"/>
    <mergeCell ref="H14:K14"/>
    <mergeCell ref="Q14:R14"/>
    <mergeCell ref="S14:T14"/>
    <mergeCell ref="D16:G16"/>
    <mergeCell ref="H16:K16"/>
    <mergeCell ref="L16:O16"/>
    <mergeCell ref="P16:R16"/>
    <mergeCell ref="E12:G12"/>
    <mergeCell ref="J12:K12"/>
    <mergeCell ref="M12:O12"/>
    <mergeCell ref="P12:R12"/>
    <mergeCell ref="S12:V12"/>
    <mergeCell ref="L13:O13"/>
    <mergeCell ref="P13:R13"/>
    <mergeCell ref="U13:V13"/>
    <mergeCell ref="E11:G11"/>
    <mergeCell ref="H11:J11"/>
    <mergeCell ref="L11:M11"/>
    <mergeCell ref="N11:O11"/>
    <mergeCell ref="P11:Q11"/>
    <mergeCell ref="S11:T11"/>
    <mergeCell ref="L8:O8"/>
    <mergeCell ref="P8:R8"/>
    <mergeCell ref="S8:T8"/>
    <mergeCell ref="V8:W8"/>
    <mergeCell ref="E9:G9"/>
    <mergeCell ref="H9:J9"/>
    <mergeCell ref="Q9:R9"/>
    <mergeCell ref="E10:G10"/>
    <mergeCell ref="H10:K10"/>
    <mergeCell ref="L10:O10"/>
    <mergeCell ref="P10:Q10"/>
    <mergeCell ref="U10:W10"/>
    <mergeCell ref="B4:B13"/>
    <mergeCell ref="E4:G4"/>
    <mergeCell ref="H4:J4"/>
    <mergeCell ref="L4:M4"/>
    <mergeCell ref="N4:O4"/>
    <mergeCell ref="P4:Q4"/>
    <mergeCell ref="S4:T4"/>
    <mergeCell ref="U4:W4"/>
    <mergeCell ref="E5:G5"/>
    <mergeCell ref="J5:K5"/>
    <mergeCell ref="P5:Q5"/>
    <mergeCell ref="S5:T5"/>
    <mergeCell ref="U5:W5"/>
    <mergeCell ref="E6:G6"/>
    <mergeCell ref="H6:K6"/>
    <mergeCell ref="L6:O6"/>
    <mergeCell ref="T6:U6"/>
    <mergeCell ref="E7:G7"/>
    <mergeCell ref="H7:J7"/>
    <mergeCell ref="L7:N7"/>
    <mergeCell ref="P7:R7"/>
    <mergeCell ref="T7:W7"/>
    <mergeCell ref="D8:E8"/>
    <mergeCell ref="H8:J8"/>
    <mergeCell ref="X1:X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W2:W3"/>
    <mergeCell ref="Q2:Q3"/>
    <mergeCell ref="R2:R3"/>
    <mergeCell ref="S2:S3"/>
    <mergeCell ref="T2:T3"/>
    <mergeCell ref="U2:U3"/>
    <mergeCell ref="V2:V3"/>
    <mergeCell ref="B1:C3"/>
    <mergeCell ref="D1:G1"/>
    <mergeCell ref="H1:K1"/>
    <mergeCell ref="L1:O1"/>
    <mergeCell ref="P1:R1"/>
    <mergeCell ref="S1:W1"/>
    <mergeCell ref="M2:M3"/>
    <mergeCell ref="N2:N3"/>
    <mergeCell ref="O2:O3"/>
    <mergeCell ref="P2:P3"/>
  </mergeCells>
  <phoneticPr fontId="5" type="noConversion"/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FD43-C70C-4B8C-86D9-BEDBADD36BC5}">
  <dimension ref="A1:Y303"/>
  <sheetViews>
    <sheetView zoomScale="70" zoomScaleNormal="70" workbookViewId="0">
      <selection activeCell="R2" sqref="R2:R3"/>
    </sheetView>
  </sheetViews>
  <sheetFormatPr defaultColWidth="9" defaultRowHeight="11.5" x14ac:dyDescent="0.25"/>
  <cols>
    <col min="1" max="2" width="9" style="225"/>
    <col min="3" max="3" width="25.83203125" style="225" customWidth="1"/>
    <col min="4" max="4" width="12" style="225" customWidth="1"/>
    <col min="5" max="24" width="9" style="225"/>
    <col min="25" max="25" width="9" style="226"/>
    <col min="26" max="16384" width="9" style="225"/>
  </cols>
  <sheetData>
    <row r="1" spans="1:24" x14ac:dyDescent="0.25">
      <c r="A1" s="225" t="s">
        <v>243</v>
      </c>
      <c r="B1" s="515" t="s">
        <v>0</v>
      </c>
      <c r="C1" s="516"/>
      <c r="D1" s="492" t="s">
        <v>210</v>
      </c>
      <c r="E1" s="493"/>
      <c r="F1" s="493"/>
      <c r="G1" s="494"/>
      <c r="H1" s="495" t="s">
        <v>211</v>
      </c>
      <c r="I1" s="496"/>
      <c r="J1" s="496"/>
      <c r="K1" s="496"/>
      <c r="L1" s="497" t="s">
        <v>212</v>
      </c>
      <c r="M1" s="498"/>
      <c r="N1" s="498"/>
      <c r="O1" s="499"/>
      <c r="P1" s="500" t="s">
        <v>213</v>
      </c>
      <c r="Q1" s="501"/>
      <c r="R1" s="502"/>
      <c r="S1" s="503" t="s">
        <v>214</v>
      </c>
      <c r="T1" s="504"/>
      <c r="U1" s="504"/>
      <c r="V1" s="504"/>
      <c r="W1" s="505"/>
      <c r="X1" s="479" t="s">
        <v>215</v>
      </c>
    </row>
    <row r="2" spans="1:24" x14ac:dyDescent="0.25">
      <c r="B2" s="517"/>
      <c r="C2" s="518"/>
      <c r="D2" s="482" t="s">
        <v>244</v>
      </c>
      <c r="E2" s="484" t="s">
        <v>216</v>
      </c>
      <c r="F2" s="482" t="s">
        <v>217</v>
      </c>
      <c r="G2" s="482" t="s">
        <v>218</v>
      </c>
      <c r="H2" s="486" t="s">
        <v>219</v>
      </c>
      <c r="I2" s="488" t="s">
        <v>245</v>
      </c>
      <c r="J2" s="488" t="s">
        <v>221</v>
      </c>
      <c r="K2" s="488" t="s">
        <v>222</v>
      </c>
      <c r="L2" s="490" t="s">
        <v>223</v>
      </c>
      <c r="M2" s="490" t="s">
        <v>224</v>
      </c>
      <c r="N2" s="490" t="s">
        <v>225</v>
      </c>
      <c r="O2" s="490" t="s">
        <v>226</v>
      </c>
      <c r="P2" s="506" t="s">
        <v>227</v>
      </c>
      <c r="Q2" s="506" t="s">
        <v>228</v>
      </c>
      <c r="R2" s="506" t="s">
        <v>246</v>
      </c>
      <c r="S2" s="508" t="s">
        <v>230</v>
      </c>
      <c r="T2" s="508" t="s">
        <v>231</v>
      </c>
      <c r="U2" s="508" t="s">
        <v>232</v>
      </c>
      <c r="V2" s="508" t="s">
        <v>233</v>
      </c>
      <c r="W2" s="508" t="s">
        <v>234</v>
      </c>
      <c r="X2" s="480"/>
    </row>
    <row r="3" spans="1:24" x14ac:dyDescent="0.25">
      <c r="B3" s="519"/>
      <c r="C3" s="520"/>
      <c r="D3" s="483"/>
      <c r="E3" s="485"/>
      <c r="F3" s="483"/>
      <c r="G3" s="483"/>
      <c r="H3" s="487"/>
      <c r="I3" s="489"/>
      <c r="J3" s="489"/>
      <c r="K3" s="489"/>
      <c r="L3" s="491"/>
      <c r="M3" s="491"/>
      <c r="N3" s="491"/>
      <c r="O3" s="491"/>
      <c r="P3" s="507"/>
      <c r="Q3" s="507"/>
      <c r="R3" s="507"/>
      <c r="S3" s="509"/>
      <c r="T3" s="509"/>
      <c r="U3" s="509"/>
      <c r="V3" s="509"/>
      <c r="W3" s="509"/>
      <c r="X3" s="481"/>
    </row>
    <row r="4" spans="1:24" ht="12.5" x14ac:dyDescent="0.25">
      <c r="B4" s="510" t="s">
        <v>235</v>
      </c>
      <c r="C4" s="227" t="s">
        <v>26</v>
      </c>
      <c r="D4" s="228">
        <f>SUM(D32,D63,D93,D122,D151,D178,D205,D231,D256,D282)</f>
        <v>10</v>
      </c>
      <c r="E4" s="228">
        <f t="shared" ref="E4:W5" si="0">SUM(E32,E63,E93,E122,E151,E178,E205,E231,E256,E282)</f>
        <v>0</v>
      </c>
      <c r="F4" s="228">
        <f t="shared" si="0"/>
        <v>0</v>
      </c>
      <c r="G4" s="228">
        <f t="shared" si="0"/>
        <v>0</v>
      </c>
      <c r="H4" s="228">
        <f>SUM(H32,H63,H93,H122,H151,H178,H205,H231,H256,H282)</f>
        <v>10</v>
      </c>
      <c r="I4" s="228">
        <f t="shared" si="0"/>
        <v>10</v>
      </c>
      <c r="J4" s="228">
        <f t="shared" si="0"/>
        <v>10</v>
      </c>
      <c r="K4" s="228">
        <f t="shared" si="0"/>
        <v>0</v>
      </c>
      <c r="L4" s="228">
        <f t="shared" si="0"/>
        <v>10</v>
      </c>
      <c r="M4" s="228">
        <f t="shared" si="0"/>
        <v>7</v>
      </c>
      <c r="N4" s="228">
        <f t="shared" si="0"/>
        <v>0</v>
      </c>
      <c r="O4" s="228">
        <f t="shared" si="0"/>
        <v>0</v>
      </c>
      <c r="P4" s="228">
        <f t="shared" si="0"/>
        <v>0</v>
      </c>
      <c r="Q4" s="228">
        <f t="shared" si="0"/>
        <v>0</v>
      </c>
      <c r="R4" s="228">
        <f t="shared" si="0"/>
        <v>8</v>
      </c>
      <c r="S4" s="228">
        <f t="shared" si="0"/>
        <v>10</v>
      </c>
      <c r="T4" s="228">
        <f t="shared" si="0"/>
        <v>10</v>
      </c>
      <c r="U4" s="228">
        <f t="shared" si="0"/>
        <v>0</v>
      </c>
      <c r="V4" s="228">
        <f t="shared" si="0"/>
        <v>0</v>
      </c>
      <c r="W4" s="228">
        <f t="shared" si="0"/>
        <v>0</v>
      </c>
      <c r="X4" s="229"/>
    </row>
    <row r="5" spans="1:24" ht="12.5" x14ac:dyDescent="0.25">
      <c r="B5" s="511"/>
      <c r="C5" s="227" t="s">
        <v>27</v>
      </c>
      <c r="D5" s="228">
        <f>SUM(D33,D64,D94,D123,D152,D179,D206,D232,D257,D283)</f>
        <v>10</v>
      </c>
      <c r="E5" s="228">
        <f t="shared" si="0"/>
        <v>0</v>
      </c>
      <c r="F5" s="228">
        <f t="shared" si="0"/>
        <v>0</v>
      </c>
      <c r="G5" s="228">
        <f t="shared" si="0"/>
        <v>0</v>
      </c>
      <c r="H5" s="228">
        <f t="shared" si="0"/>
        <v>10</v>
      </c>
      <c r="I5" s="228">
        <f t="shared" si="0"/>
        <v>0</v>
      </c>
      <c r="J5" s="228">
        <f t="shared" si="0"/>
        <v>10</v>
      </c>
      <c r="K5" s="228">
        <f t="shared" si="0"/>
        <v>10</v>
      </c>
      <c r="L5" s="228">
        <f t="shared" si="0"/>
        <v>10</v>
      </c>
      <c r="M5" s="228">
        <f t="shared" si="0"/>
        <v>0</v>
      </c>
      <c r="N5" s="228">
        <f t="shared" si="0"/>
        <v>10</v>
      </c>
      <c r="O5" s="228">
        <f t="shared" si="0"/>
        <v>0</v>
      </c>
      <c r="P5" s="228">
        <f t="shared" si="0"/>
        <v>0</v>
      </c>
      <c r="Q5" s="228">
        <f t="shared" si="0"/>
        <v>0</v>
      </c>
      <c r="R5" s="228">
        <f t="shared" si="0"/>
        <v>7</v>
      </c>
      <c r="S5" s="228">
        <f t="shared" si="0"/>
        <v>10</v>
      </c>
      <c r="T5" s="228">
        <f t="shared" si="0"/>
        <v>10</v>
      </c>
      <c r="U5" s="228">
        <f t="shared" si="0"/>
        <v>0</v>
      </c>
      <c r="V5" s="228">
        <f t="shared" si="0"/>
        <v>0</v>
      </c>
      <c r="W5" s="228">
        <f t="shared" si="0"/>
        <v>0</v>
      </c>
      <c r="X5" s="229"/>
    </row>
    <row r="6" spans="1:24" ht="12.5" x14ac:dyDescent="0.25">
      <c r="B6" s="511"/>
      <c r="C6" s="227" t="s">
        <v>28</v>
      </c>
      <c r="D6" s="228">
        <f t="shared" ref="D6:W11" si="1">SUM(D35,D66,D96,D125,D153,D180,D207,D233,D258,D284)</f>
        <v>10</v>
      </c>
      <c r="E6" s="228">
        <f t="shared" si="1"/>
        <v>0</v>
      </c>
      <c r="F6" s="228">
        <f t="shared" si="1"/>
        <v>0</v>
      </c>
      <c r="G6" s="228">
        <f t="shared" si="1"/>
        <v>0</v>
      </c>
      <c r="H6" s="228">
        <f t="shared" si="1"/>
        <v>10</v>
      </c>
      <c r="I6" s="228">
        <f t="shared" si="1"/>
        <v>10</v>
      </c>
      <c r="J6" s="228">
        <f t="shared" si="1"/>
        <v>10</v>
      </c>
      <c r="K6" s="228">
        <f t="shared" si="1"/>
        <v>8</v>
      </c>
      <c r="L6" s="228">
        <f t="shared" si="1"/>
        <v>10</v>
      </c>
      <c r="M6" s="228">
        <f t="shared" si="1"/>
        <v>3</v>
      </c>
      <c r="N6" s="228">
        <f t="shared" si="1"/>
        <v>9</v>
      </c>
      <c r="O6" s="228">
        <f t="shared" si="1"/>
        <v>4</v>
      </c>
      <c r="P6" s="228">
        <f t="shared" si="1"/>
        <v>3</v>
      </c>
      <c r="Q6" s="228">
        <f t="shared" si="1"/>
        <v>0</v>
      </c>
      <c r="R6" s="228">
        <f t="shared" si="1"/>
        <v>3</v>
      </c>
      <c r="S6" s="228">
        <f t="shared" si="1"/>
        <v>10</v>
      </c>
      <c r="T6" s="228">
        <f t="shared" si="1"/>
        <v>1</v>
      </c>
      <c r="U6" s="228">
        <f t="shared" si="1"/>
        <v>0</v>
      </c>
      <c r="V6" s="228">
        <f t="shared" si="1"/>
        <v>10</v>
      </c>
      <c r="W6" s="228">
        <f t="shared" si="1"/>
        <v>0</v>
      </c>
      <c r="X6" s="229"/>
    </row>
    <row r="7" spans="1:24" ht="12.5" x14ac:dyDescent="0.25">
      <c r="B7" s="511"/>
      <c r="C7" s="227" t="s">
        <v>29</v>
      </c>
      <c r="D7" s="228">
        <f t="shared" si="1"/>
        <v>10</v>
      </c>
      <c r="E7" s="228">
        <f t="shared" si="1"/>
        <v>0</v>
      </c>
      <c r="F7" s="228">
        <f t="shared" si="1"/>
        <v>0</v>
      </c>
      <c r="G7" s="228">
        <f t="shared" si="1"/>
        <v>0</v>
      </c>
      <c r="H7" s="228">
        <f t="shared" si="1"/>
        <v>10</v>
      </c>
      <c r="I7" s="228">
        <f t="shared" si="1"/>
        <v>10</v>
      </c>
      <c r="J7" s="228">
        <f t="shared" si="1"/>
        <v>10</v>
      </c>
      <c r="K7" s="228">
        <f t="shared" si="1"/>
        <v>1</v>
      </c>
      <c r="L7" s="228">
        <f t="shared" si="1"/>
        <v>1</v>
      </c>
      <c r="M7" s="228">
        <f t="shared" si="1"/>
        <v>0</v>
      </c>
      <c r="N7" s="228">
        <f t="shared" si="1"/>
        <v>0</v>
      </c>
      <c r="O7" s="228">
        <f t="shared" si="1"/>
        <v>9</v>
      </c>
      <c r="P7" s="228">
        <f t="shared" si="1"/>
        <v>0</v>
      </c>
      <c r="Q7" s="228">
        <f t="shared" si="1"/>
        <v>0</v>
      </c>
      <c r="R7" s="228">
        <f t="shared" si="1"/>
        <v>0</v>
      </c>
      <c r="S7" s="228">
        <f t="shared" si="1"/>
        <v>10</v>
      </c>
      <c r="T7" s="228">
        <f t="shared" si="1"/>
        <v>1</v>
      </c>
      <c r="U7" s="228">
        <f t="shared" si="1"/>
        <v>0</v>
      </c>
      <c r="V7" s="228">
        <f t="shared" si="1"/>
        <v>0</v>
      </c>
      <c r="W7" s="228">
        <f t="shared" si="1"/>
        <v>0</v>
      </c>
      <c r="X7" s="229"/>
    </row>
    <row r="8" spans="1:24" ht="12.5" x14ac:dyDescent="0.25">
      <c r="B8" s="511"/>
      <c r="C8" s="227" t="s">
        <v>19</v>
      </c>
      <c r="D8" s="228">
        <f t="shared" si="1"/>
        <v>10</v>
      </c>
      <c r="E8" s="228">
        <f t="shared" si="1"/>
        <v>4</v>
      </c>
      <c r="F8" s="228">
        <f t="shared" si="1"/>
        <v>0</v>
      </c>
      <c r="G8" s="228">
        <f t="shared" si="1"/>
        <v>0</v>
      </c>
      <c r="H8" s="228">
        <f t="shared" si="1"/>
        <v>10</v>
      </c>
      <c r="I8" s="228">
        <f t="shared" si="1"/>
        <v>10</v>
      </c>
      <c r="J8" s="228">
        <f t="shared" si="1"/>
        <v>10</v>
      </c>
      <c r="K8" s="228">
        <f t="shared" si="1"/>
        <v>6</v>
      </c>
      <c r="L8" s="228">
        <f t="shared" si="1"/>
        <v>0</v>
      </c>
      <c r="M8" s="228">
        <f t="shared" si="1"/>
        <v>1</v>
      </c>
      <c r="N8" s="228">
        <f t="shared" si="1"/>
        <v>5</v>
      </c>
      <c r="O8" s="228">
        <f t="shared" si="1"/>
        <v>4</v>
      </c>
      <c r="P8" s="228">
        <f t="shared" si="1"/>
        <v>6</v>
      </c>
      <c r="Q8" s="228">
        <f t="shared" si="1"/>
        <v>9</v>
      </c>
      <c r="R8" s="228">
        <f t="shared" si="1"/>
        <v>4</v>
      </c>
      <c r="S8" s="228">
        <f t="shared" si="1"/>
        <v>10</v>
      </c>
      <c r="T8" s="228">
        <f t="shared" si="1"/>
        <v>10</v>
      </c>
      <c r="U8" s="228">
        <f t="shared" si="1"/>
        <v>0</v>
      </c>
      <c r="V8" s="228">
        <f t="shared" si="1"/>
        <v>10</v>
      </c>
      <c r="W8" s="228">
        <f t="shared" si="1"/>
        <v>5</v>
      </c>
      <c r="X8" s="229"/>
    </row>
    <row r="9" spans="1:24" ht="12.5" x14ac:dyDescent="0.25">
      <c r="B9" s="511"/>
      <c r="C9" s="227" t="s">
        <v>23</v>
      </c>
      <c r="D9" s="228">
        <f t="shared" si="1"/>
        <v>10</v>
      </c>
      <c r="E9" s="228">
        <f t="shared" si="1"/>
        <v>0</v>
      </c>
      <c r="F9" s="228">
        <f t="shared" si="1"/>
        <v>0</v>
      </c>
      <c r="G9" s="228">
        <f t="shared" si="1"/>
        <v>0</v>
      </c>
      <c r="H9" s="228">
        <f t="shared" si="1"/>
        <v>10</v>
      </c>
      <c r="I9" s="228">
        <f t="shared" si="1"/>
        <v>10</v>
      </c>
      <c r="J9" s="228">
        <f t="shared" si="1"/>
        <v>10</v>
      </c>
      <c r="K9" s="228">
        <f t="shared" si="1"/>
        <v>0</v>
      </c>
      <c r="L9" s="228">
        <f t="shared" si="1"/>
        <v>10</v>
      </c>
      <c r="M9" s="228">
        <f t="shared" si="1"/>
        <v>0</v>
      </c>
      <c r="N9" s="228">
        <f t="shared" si="1"/>
        <v>0</v>
      </c>
      <c r="O9" s="228">
        <f t="shared" si="1"/>
        <v>4</v>
      </c>
      <c r="P9" s="228">
        <f t="shared" si="1"/>
        <v>4</v>
      </c>
      <c r="Q9" s="228">
        <f t="shared" si="1"/>
        <v>1</v>
      </c>
      <c r="R9" s="228">
        <f t="shared" si="1"/>
        <v>0</v>
      </c>
      <c r="S9" s="228">
        <f t="shared" si="1"/>
        <v>0</v>
      </c>
      <c r="T9" s="228">
        <f t="shared" si="1"/>
        <v>10</v>
      </c>
      <c r="U9" s="228">
        <f t="shared" si="1"/>
        <v>0</v>
      </c>
      <c r="V9" s="228">
        <f t="shared" si="1"/>
        <v>10</v>
      </c>
      <c r="W9" s="228">
        <f t="shared" si="1"/>
        <v>0</v>
      </c>
      <c r="X9" s="229"/>
    </row>
    <row r="10" spans="1:24" ht="12.5" x14ac:dyDescent="0.25">
      <c r="B10" s="511"/>
      <c r="C10" s="227" t="s">
        <v>20</v>
      </c>
      <c r="D10" s="228">
        <f t="shared" si="1"/>
        <v>10</v>
      </c>
      <c r="E10" s="228">
        <f t="shared" si="1"/>
        <v>0</v>
      </c>
      <c r="F10" s="228">
        <f t="shared" si="1"/>
        <v>0</v>
      </c>
      <c r="G10" s="228">
        <f t="shared" si="1"/>
        <v>0</v>
      </c>
      <c r="H10" s="228">
        <f t="shared" si="1"/>
        <v>10</v>
      </c>
      <c r="I10" s="228">
        <f t="shared" si="1"/>
        <v>10</v>
      </c>
      <c r="J10" s="228">
        <f t="shared" si="1"/>
        <v>10</v>
      </c>
      <c r="K10" s="228">
        <f t="shared" si="1"/>
        <v>10</v>
      </c>
      <c r="L10" s="228">
        <f t="shared" si="1"/>
        <v>10</v>
      </c>
      <c r="M10" s="228">
        <f t="shared" si="1"/>
        <v>7</v>
      </c>
      <c r="N10" s="228">
        <f t="shared" si="1"/>
        <v>10</v>
      </c>
      <c r="O10" s="228">
        <f t="shared" si="1"/>
        <v>5</v>
      </c>
      <c r="P10" s="228">
        <f t="shared" si="1"/>
        <v>3</v>
      </c>
      <c r="Q10" s="228">
        <f t="shared" si="1"/>
        <v>8</v>
      </c>
      <c r="R10" s="228">
        <f t="shared" si="1"/>
        <v>0</v>
      </c>
      <c r="S10" s="228">
        <f t="shared" si="1"/>
        <v>6</v>
      </c>
      <c r="T10" s="228">
        <f t="shared" si="1"/>
        <v>10</v>
      </c>
      <c r="U10" s="228">
        <f t="shared" si="1"/>
        <v>0</v>
      </c>
      <c r="V10" s="228">
        <f t="shared" si="1"/>
        <v>0</v>
      </c>
      <c r="W10" s="228">
        <f t="shared" si="1"/>
        <v>0</v>
      </c>
      <c r="X10" s="229"/>
    </row>
    <row r="11" spans="1:24" ht="12.5" x14ac:dyDescent="0.25">
      <c r="B11" s="511"/>
      <c r="C11" s="227" t="s">
        <v>18</v>
      </c>
      <c r="D11" s="228">
        <f t="shared" si="1"/>
        <v>10</v>
      </c>
      <c r="E11" s="228">
        <f t="shared" si="1"/>
        <v>0</v>
      </c>
      <c r="F11" s="228">
        <f t="shared" si="1"/>
        <v>1</v>
      </c>
      <c r="G11" s="228">
        <f t="shared" si="1"/>
        <v>0</v>
      </c>
      <c r="H11" s="228">
        <f t="shared" si="1"/>
        <v>10</v>
      </c>
      <c r="I11" s="228">
        <f t="shared" si="1"/>
        <v>10</v>
      </c>
      <c r="J11" s="228">
        <f t="shared" si="1"/>
        <v>10</v>
      </c>
      <c r="K11" s="228">
        <f t="shared" si="1"/>
        <v>0</v>
      </c>
      <c r="L11" s="228">
        <f t="shared" si="1"/>
        <v>10</v>
      </c>
      <c r="M11" s="228">
        <f t="shared" si="1"/>
        <v>7</v>
      </c>
      <c r="N11" s="228">
        <f t="shared" si="1"/>
        <v>0</v>
      </c>
      <c r="O11" s="228">
        <f t="shared" si="1"/>
        <v>0</v>
      </c>
      <c r="P11" s="228">
        <f t="shared" si="1"/>
        <v>9</v>
      </c>
      <c r="Q11" s="228">
        <f t="shared" si="1"/>
        <v>9</v>
      </c>
      <c r="R11" s="228">
        <f t="shared" si="1"/>
        <v>0</v>
      </c>
      <c r="S11" s="228">
        <f t="shared" si="1"/>
        <v>7</v>
      </c>
      <c r="T11" s="228">
        <f t="shared" si="1"/>
        <v>10</v>
      </c>
      <c r="U11" s="228">
        <f t="shared" si="1"/>
        <v>0</v>
      </c>
      <c r="V11" s="228">
        <f t="shared" si="1"/>
        <v>10</v>
      </c>
      <c r="W11" s="228">
        <f t="shared" si="1"/>
        <v>0</v>
      </c>
      <c r="X11" s="229"/>
    </row>
    <row r="12" spans="1:24" ht="12.5" x14ac:dyDescent="0.25">
      <c r="B12" s="511"/>
      <c r="C12" s="227" t="s">
        <v>36</v>
      </c>
      <c r="D12" s="228">
        <f>SUM(D42,D73,D103,D132,D159,D186,D213,D239,D264,D290)</f>
        <v>7</v>
      </c>
      <c r="E12" s="228">
        <f t="shared" ref="E12:W13" si="2">SUM(E42,E73,E103,E132,E159,E186,E213,E239,E264,E290)</f>
        <v>0</v>
      </c>
      <c r="F12" s="228">
        <f t="shared" si="2"/>
        <v>0</v>
      </c>
      <c r="G12" s="228">
        <f t="shared" si="2"/>
        <v>0</v>
      </c>
      <c r="H12" s="228">
        <f t="shared" si="2"/>
        <v>10</v>
      </c>
      <c r="I12" s="228">
        <f t="shared" si="2"/>
        <v>0</v>
      </c>
      <c r="J12" s="228">
        <f t="shared" si="2"/>
        <v>7</v>
      </c>
      <c r="K12" s="228">
        <f t="shared" si="2"/>
        <v>7</v>
      </c>
      <c r="L12" s="228">
        <f t="shared" si="2"/>
        <v>10</v>
      </c>
      <c r="M12" s="228">
        <f t="shared" si="2"/>
        <v>0</v>
      </c>
      <c r="N12" s="228">
        <f t="shared" si="2"/>
        <v>0</v>
      </c>
      <c r="O12" s="228">
        <f t="shared" si="2"/>
        <v>0</v>
      </c>
      <c r="P12" s="228">
        <f t="shared" si="2"/>
        <v>0</v>
      </c>
      <c r="Q12" s="228">
        <f t="shared" si="2"/>
        <v>0</v>
      </c>
      <c r="R12" s="228">
        <f t="shared" si="2"/>
        <v>0</v>
      </c>
      <c r="S12" s="228">
        <f t="shared" si="2"/>
        <v>0</v>
      </c>
      <c r="T12" s="228">
        <f t="shared" si="2"/>
        <v>0</v>
      </c>
      <c r="U12" s="228">
        <f t="shared" si="2"/>
        <v>0</v>
      </c>
      <c r="V12" s="228">
        <f t="shared" si="2"/>
        <v>0</v>
      </c>
      <c r="W12" s="228">
        <f t="shared" si="2"/>
        <v>7</v>
      </c>
      <c r="X12" s="229"/>
    </row>
    <row r="13" spans="1:24" ht="12.5" x14ac:dyDescent="0.25">
      <c r="B13" s="511"/>
      <c r="C13" s="227" t="s">
        <v>35</v>
      </c>
      <c r="D13" s="228">
        <f>SUM(D43,D74,D104,D133,D160,D187,D214,D240,D265,D291)</f>
        <v>10</v>
      </c>
      <c r="E13" s="228">
        <f t="shared" si="2"/>
        <v>0</v>
      </c>
      <c r="F13" s="228">
        <f t="shared" si="2"/>
        <v>10</v>
      </c>
      <c r="G13" s="228">
        <f t="shared" si="2"/>
        <v>0</v>
      </c>
      <c r="H13" s="228">
        <f t="shared" si="2"/>
        <v>10</v>
      </c>
      <c r="I13" s="228">
        <f t="shared" si="2"/>
        <v>10</v>
      </c>
      <c r="J13" s="228">
        <f t="shared" si="2"/>
        <v>10</v>
      </c>
      <c r="K13" s="228">
        <f t="shared" si="2"/>
        <v>0</v>
      </c>
      <c r="L13" s="228">
        <f t="shared" si="2"/>
        <v>0</v>
      </c>
      <c r="M13" s="228">
        <f t="shared" si="2"/>
        <v>0</v>
      </c>
      <c r="N13" s="228">
        <f t="shared" si="2"/>
        <v>0</v>
      </c>
      <c r="O13" s="228">
        <f t="shared" si="2"/>
        <v>0</v>
      </c>
      <c r="P13" s="228">
        <f t="shared" si="2"/>
        <v>0</v>
      </c>
      <c r="Q13" s="228">
        <f t="shared" si="2"/>
        <v>0</v>
      </c>
      <c r="R13" s="228">
        <f t="shared" si="2"/>
        <v>0</v>
      </c>
      <c r="S13" s="228">
        <f t="shared" si="2"/>
        <v>0</v>
      </c>
      <c r="T13" s="228">
        <f t="shared" si="2"/>
        <v>10</v>
      </c>
      <c r="U13" s="228">
        <f t="shared" si="2"/>
        <v>0</v>
      </c>
      <c r="V13" s="228">
        <f t="shared" si="2"/>
        <v>0</v>
      </c>
      <c r="W13" s="228">
        <f t="shared" si="2"/>
        <v>10</v>
      </c>
      <c r="X13" s="229"/>
    </row>
    <row r="14" spans="1:24" ht="12.5" x14ac:dyDescent="0.25">
      <c r="B14" s="510" t="s">
        <v>236</v>
      </c>
      <c r="C14" s="227" t="s">
        <v>24</v>
      </c>
      <c r="D14" s="228">
        <f>SUM(D45,D76,D106,D135,D161,D188,D215,D241,D266,D292)</f>
        <v>10</v>
      </c>
      <c r="E14" s="228">
        <f t="shared" ref="E14:W15" si="3">SUM(E45,E76,E106,E135,E161,E188,E215,E241,E266,E292)</f>
        <v>4</v>
      </c>
      <c r="F14" s="228">
        <f t="shared" si="3"/>
        <v>0</v>
      </c>
      <c r="G14" s="228">
        <f t="shared" si="3"/>
        <v>0</v>
      </c>
      <c r="H14" s="228">
        <f t="shared" si="3"/>
        <v>10</v>
      </c>
      <c r="I14" s="228">
        <f t="shared" si="3"/>
        <v>10</v>
      </c>
      <c r="J14" s="228">
        <f t="shared" si="3"/>
        <v>10</v>
      </c>
      <c r="K14" s="228">
        <f t="shared" si="3"/>
        <v>4</v>
      </c>
      <c r="L14" s="228">
        <f t="shared" si="3"/>
        <v>10</v>
      </c>
      <c r="M14" s="228">
        <f t="shared" si="3"/>
        <v>4</v>
      </c>
      <c r="N14" s="228">
        <f t="shared" si="3"/>
        <v>4</v>
      </c>
      <c r="O14" s="228">
        <f t="shared" si="3"/>
        <v>4</v>
      </c>
      <c r="P14" s="228">
        <f t="shared" si="3"/>
        <v>0</v>
      </c>
      <c r="Q14" s="228">
        <f t="shared" si="3"/>
        <v>4</v>
      </c>
      <c r="R14" s="228">
        <f t="shared" si="3"/>
        <v>9</v>
      </c>
      <c r="S14" s="228">
        <f t="shared" si="3"/>
        <v>10</v>
      </c>
      <c r="T14" s="228">
        <f t="shared" si="3"/>
        <v>10</v>
      </c>
      <c r="U14" s="228">
        <f t="shared" si="3"/>
        <v>0</v>
      </c>
      <c r="V14" s="228">
        <f t="shared" si="3"/>
        <v>0</v>
      </c>
      <c r="W14" s="228">
        <f t="shared" si="3"/>
        <v>0</v>
      </c>
      <c r="X14" s="229"/>
    </row>
    <row r="15" spans="1:24" ht="12.5" x14ac:dyDescent="0.25">
      <c r="B15" s="511"/>
      <c r="C15" s="227" t="s">
        <v>21</v>
      </c>
      <c r="D15" s="228">
        <f>SUM(D46,D77,D107,D136,D162,D189,D216,D242,D267,D293)</f>
        <v>6</v>
      </c>
      <c r="E15" s="228">
        <f t="shared" si="3"/>
        <v>4</v>
      </c>
      <c r="F15" s="228">
        <f t="shared" si="3"/>
        <v>0</v>
      </c>
      <c r="G15" s="228">
        <f t="shared" si="3"/>
        <v>0</v>
      </c>
      <c r="H15" s="228">
        <f t="shared" si="3"/>
        <v>6</v>
      </c>
      <c r="I15" s="228">
        <f t="shared" si="3"/>
        <v>6</v>
      </c>
      <c r="J15" s="228">
        <f t="shared" si="3"/>
        <v>6</v>
      </c>
      <c r="K15" s="228">
        <f t="shared" si="3"/>
        <v>4</v>
      </c>
      <c r="L15" s="228">
        <f t="shared" si="3"/>
        <v>10</v>
      </c>
      <c r="M15" s="228">
        <f t="shared" si="3"/>
        <v>4</v>
      </c>
      <c r="N15" s="228">
        <f t="shared" si="3"/>
        <v>0</v>
      </c>
      <c r="O15" s="228">
        <f t="shared" si="3"/>
        <v>0</v>
      </c>
      <c r="P15" s="228">
        <f t="shared" si="3"/>
        <v>0</v>
      </c>
      <c r="Q15" s="228">
        <f t="shared" si="3"/>
        <v>4</v>
      </c>
      <c r="R15" s="228">
        <f t="shared" si="3"/>
        <v>4</v>
      </c>
      <c r="S15" s="228">
        <f t="shared" si="3"/>
        <v>6</v>
      </c>
      <c r="T15" s="228">
        <f t="shared" si="3"/>
        <v>6</v>
      </c>
      <c r="U15" s="228">
        <f t="shared" si="3"/>
        <v>0</v>
      </c>
      <c r="V15" s="228">
        <f t="shared" si="3"/>
        <v>0</v>
      </c>
      <c r="W15" s="228">
        <f t="shared" si="3"/>
        <v>0</v>
      </c>
      <c r="X15" s="229"/>
    </row>
    <row r="16" spans="1:24" ht="12.5" x14ac:dyDescent="0.25">
      <c r="B16" s="511"/>
      <c r="C16" s="227" t="s">
        <v>40</v>
      </c>
      <c r="D16" s="228">
        <f>SUM(D47,D78)</f>
        <v>0</v>
      </c>
      <c r="E16" s="228">
        <f t="shared" ref="E16:W16" si="4">SUM(E47,E78)</f>
        <v>0</v>
      </c>
      <c r="F16" s="228">
        <f t="shared" si="4"/>
        <v>0</v>
      </c>
      <c r="G16" s="228">
        <f t="shared" si="4"/>
        <v>0</v>
      </c>
      <c r="H16" s="228">
        <f t="shared" si="4"/>
        <v>0</v>
      </c>
      <c r="I16" s="228">
        <f t="shared" si="4"/>
        <v>0</v>
      </c>
      <c r="J16" s="228">
        <f t="shared" si="4"/>
        <v>0</v>
      </c>
      <c r="K16" s="228">
        <f t="shared" si="4"/>
        <v>0</v>
      </c>
      <c r="L16" s="228">
        <f t="shared" si="4"/>
        <v>0</v>
      </c>
      <c r="M16" s="228">
        <f t="shared" si="4"/>
        <v>0</v>
      </c>
      <c r="N16" s="228">
        <f t="shared" si="4"/>
        <v>0</v>
      </c>
      <c r="O16" s="228">
        <f t="shared" si="4"/>
        <v>0</v>
      </c>
      <c r="P16" s="228">
        <f t="shared" si="4"/>
        <v>0</v>
      </c>
      <c r="Q16" s="228">
        <f t="shared" si="4"/>
        <v>0</v>
      </c>
      <c r="R16" s="228">
        <f t="shared" si="4"/>
        <v>0</v>
      </c>
      <c r="S16" s="228">
        <f t="shared" si="4"/>
        <v>0</v>
      </c>
      <c r="T16" s="228">
        <f t="shared" si="4"/>
        <v>0</v>
      </c>
      <c r="U16" s="228">
        <f t="shared" si="4"/>
        <v>0</v>
      </c>
      <c r="V16" s="228">
        <f t="shared" si="4"/>
        <v>0</v>
      </c>
      <c r="W16" s="228">
        <f t="shared" si="4"/>
        <v>0</v>
      </c>
      <c r="X16" s="229"/>
    </row>
    <row r="17" spans="1:24" ht="12.5" x14ac:dyDescent="0.25">
      <c r="B17" s="511"/>
      <c r="C17" s="227" t="s">
        <v>41</v>
      </c>
      <c r="D17" s="228">
        <f t="shared" ref="D17:W25" si="5">SUM(D48,D79,D108,D137,D163,D190,D217,D243,D268,D294)</f>
        <v>0</v>
      </c>
      <c r="E17" s="228">
        <f t="shared" si="5"/>
        <v>0</v>
      </c>
      <c r="F17" s="228">
        <f t="shared" si="5"/>
        <v>0</v>
      </c>
      <c r="G17" s="228">
        <f t="shared" si="5"/>
        <v>0</v>
      </c>
      <c r="H17" s="228">
        <f t="shared" si="5"/>
        <v>0</v>
      </c>
      <c r="I17" s="228">
        <f t="shared" si="5"/>
        <v>0</v>
      </c>
      <c r="J17" s="228">
        <f t="shared" si="5"/>
        <v>0</v>
      </c>
      <c r="K17" s="228">
        <f t="shared" si="5"/>
        <v>0</v>
      </c>
      <c r="L17" s="228">
        <f t="shared" si="5"/>
        <v>0</v>
      </c>
      <c r="M17" s="228">
        <f t="shared" si="5"/>
        <v>0</v>
      </c>
      <c r="N17" s="228">
        <f t="shared" si="5"/>
        <v>0</v>
      </c>
      <c r="O17" s="228">
        <f t="shared" si="5"/>
        <v>0</v>
      </c>
      <c r="P17" s="228">
        <f t="shared" si="5"/>
        <v>0</v>
      </c>
      <c r="Q17" s="228">
        <f t="shared" si="5"/>
        <v>0</v>
      </c>
      <c r="R17" s="228">
        <f t="shared" si="5"/>
        <v>0</v>
      </c>
      <c r="S17" s="228">
        <f t="shared" si="5"/>
        <v>0</v>
      </c>
      <c r="T17" s="228">
        <f t="shared" si="5"/>
        <v>0</v>
      </c>
      <c r="U17" s="228">
        <f t="shared" si="5"/>
        <v>0</v>
      </c>
      <c r="V17" s="228">
        <f t="shared" si="5"/>
        <v>0</v>
      </c>
      <c r="W17" s="228">
        <f t="shared" si="5"/>
        <v>0</v>
      </c>
      <c r="X17" s="229"/>
    </row>
    <row r="18" spans="1:24" ht="14.15" customHeight="1" x14ac:dyDescent="0.25">
      <c r="B18" s="511"/>
      <c r="C18" s="227" t="s">
        <v>30</v>
      </c>
      <c r="D18" s="228">
        <f t="shared" si="5"/>
        <v>7</v>
      </c>
      <c r="E18" s="228">
        <f t="shared" si="5"/>
        <v>0</v>
      </c>
      <c r="F18" s="228">
        <f t="shared" si="5"/>
        <v>0</v>
      </c>
      <c r="G18" s="228">
        <f t="shared" si="5"/>
        <v>7</v>
      </c>
      <c r="H18" s="228">
        <f t="shared" si="5"/>
        <v>7</v>
      </c>
      <c r="I18" s="228">
        <f t="shared" si="5"/>
        <v>0</v>
      </c>
      <c r="J18" s="228">
        <f t="shared" si="5"/>
        <v>0</v>
      </c>
      <c r="K18" s="228">
        <f t="shared" si="5"/>
        <v>0</v>
      </c>
      <c r="L18" s="228">
        <f t="shared" si="5"/>
        <v>0</v>
      </c>
      <c r="M18" s="228">
        <f t="shared" si="5"/>
        <v>0</v>
      </c>
      <c r="N18" s="228">
        <f t="shared" si="5"/>
        <v>0</v>
      </c>
      <c r="O18" s="228">
        <f t="shared" si="5"/>
        <v>0</v>
      </c>
      <c r="P18" s="228">
        <f t="shared" si="5"/>
        <v>0</v>
      </c>
      <c r="Q18" s="228">
        <f t="shared" si="5"/>
        <v>0</v>
      </c>
      <c r="R18" s="228">
        <f t="shared" si="5"/>
        <v>0</v>
      </c>
      <c r="S18" s="228">
        <f t="shared" si="5"/>
        <v>0</v>
      </c>
      <c r="T18" s="228">
        <f t="shared" si="5"/>
        <v>7</v>
      </c>
      <c r="U18" s="228">
        <f t="shared" si="5"/>
        <v>0</v>
      </c>
      <c r="V18" s="228">
        <f t="shared" si="5"/>
        <v>0</v>
      </c>
      <c r="W18" s="228">
        <f t="shared" si="5"/>
        <v>0</v>
      </c>
      <c r="X18" s="229"/>
    </row>
    <row r="19" spans="1:24" ht="12.5" x14ac:dyDescent="0.25">
      <c r="B19" s="512"/>
      <c r="C19" s="227" t="s">
        <v>25</v>
      </c>
      <c r="D19" s="228">
        <f t="shared" si="5"/>
        <v>0</v>
      </c>
      <c r="E19" s="228">
        <f t="shared" si="5"/>
        <v>0</v>
      </c>
      <c r="F19" s="228">
        <f t="shared" si="5"/>
        <v>0</v>
      </c>
      <c r="G19" s="228">
        <f t="shared" si="5"/>
        <v>0</v>
      </c>
      <c r="H19" s="228">
        <f t="shared" si="5"/>
        <v>10</v>
      </c>
      <c r="I19" s="228">
        <f t="shared" si="5"/>
        <v>10</v>
      </c>
      <c r="J19" s="228">
        <f t="shared" si="5"/>
        <v>10</v>
      </c>
      <c r="K19" s="228">
        <f t="shared" si="5"/>
        <v>0</v>
      </c>
      <c r="L19" s="228">
        <f t="shared" si="5"/>
        <v>0</v>
      </c>
      <c r="M19" s="228">
        <f t="shared" si="5"/>
        <v>7</v>
      </c>
      <c r="N19" s="228">
        <f t="shared" si="5"/>
        <v>0</v>
      </c>
      <c r="O19" s="228">
        <f t="shared" si="5"/>
        <v>0</v>
      </c>
      <c r="P19" s="228">
        <f t="shared" si="5"/>
        <v>0</v>
      </c>
      <c r="Q19" s="228">
        <f t="shared" si="5"/>
        <v>0</v>
      </c>
      <c r="R19" s="228">
        <f t="shared" si="5"/>
        <v>10</v>
      </c>
      <c r="S19" s="228">
        <f t="shared" si="5"/>
        <v>0</v>
      </c>
      <c r="T19" s="228">
        <f t="shared" si="5"/>
        <v>0</v>
      </c>
      <c r="U19" s="228">
        <f t="shared" si="5"/>
        <v>0</v>
      </c>
      <c r="V19" s="228">
        <f t="shared" si="5"/>
        <v>0</v>
      </c>
      <c r="W19" s="228">
        <f t="shared" si="5"/>
        <v>0</v>
      </c>
      <c r="X19" s="229"/>
    </row>
    <row r="20" spans="1:24" ht="12.5" x14ac:dyDescent="0.25">
      <c r="B20" s="510" t="s">
        <v>237</v>
      </c>
      <c r="C20" s="227" t="s">
        <v>32</v>
      </c>
      <c r="D20" s="228">
        <f t="shared" si="5"/>
        <v>5</v>
      </c>
      <c r="E20" s="228">
        <f t="shared" si="5"/>
        <v>0</v>
      </c>
      <c r="F20" s="228">
        <f t="shared" si="5"/>
        <v>0</v>
      </c>
      <c r="G20" s="228">
        <f t="shared" si="5"/>
        <v>3</v>
      </c>
      <c r="H20" s="228">
        <f t="shared" si="5"/>
        <v>10</v>
      </c>
      <c r="I20" s="228">
        <f t="shared" si="5"/>
        <v>10</v>
      </c>
      <c r="J20" s="228">
        <f t="shared" si="5"/>
        <v>10</v>
      </c>
      <c r="K20" s="228">
        <f t="shared" si="5"/>
        <v>10</v>
      </c>
      <c r="L20" s="228">
        <f t="shared" si="5"/>
        <v>0</v>
      </c>
      <c r="M20" s="228">
        <f t="shared" si="5"/>
        <v>0</v>
      </c>
      <c r="N20" s="228">
        <f t="shared" si="5"/>
        <v>3</v>
      </c>
      <c r="O20" s="228">
        <f t="shared" si="5"/>
        <v>1</v>
      </c>
      <c r="P20" s="228">
        <f t="shared" si="5"/>
        <v>0</v>
      </c>
      <c r="Q20" s="228">
        <f t="shared" si="5"/>
        <v>0</v>
      </c>
      <c r="R20" s="228">
        <f t="shared" si="5"/>
        <v>1</v>
      </c>
      <c r="S20" s="228">
        <f t="shared" si="5"/>
        <v>2</v>
      </c>
      <c r="T20" s="228">
        <f t="shared" si="5"/>
        <v>10</v>
      </c>
      <c r="U20" s="228">
        <f t="shared" si="5"/>
        <v>10</v>
      </c>
      <c r="V20" s="228">
        <f t="shared" si="5"/>
        <v>0</v>
      </c>
      <c r="W20" s="228">
        <f t="shared" si="5"/>
        <v>0</v>
      </c>
      <c r="X20" s="229"/>
    </row>
    <row r="21" spans="1:24" ht="12.5" x14ac:dyDescent="0.25">
      <c r="B21" s="511"/>
      <c r="C21" s="227" t="s">
        <v>34</v>
      </c>
      <c r="D21" s="228">
        <f t="shared" si="5"/>
        <v>7</v>
      </c>
      <c r="E21" s="228">
        <f t="shared" si="5"/>
        <v>0</v>
      </c>
      <c r="F21" s="228">
        <f t="shared" si="5"/>
        <v>0</v>
      </c>
      <c r="G21" s="228">
        <f t="shared" si="5"/>
        <v>0</v>
      </c>
      <c r="H21" s="228">
        <f t="shared" si="5"/>
        <v>10</v>
      </c>
      <c r="I21" s="228">
        <f t="shared" si="5"/>
        <v>10</v>
      </c>
      <c r="J21" s="228">
        <f t="shared" si="5"/>
        <v>10</v>
      </c>
      <c r="K21" s="228">
        <f t="shared" si="5"/>
        <v>10</v>
      </c>
      <c r="L21" s="228">
        <f t="shared" si="5"/>
        <v>8</v>
      </c>
      <c r="M21" s="228">
        <f t="shared" si="5"/>
        <v>0</v>
      </c>
      <c r="N21" s="228">
        <f t="shared" si="5"/>
        <v>0</v>
      </c>
      <c r="O21" s="228">
        <f t="shared" si="5"/>
        <v>4</v>
      </c>
      <c r="P21" s="228">
        <f t="shared" si="5"/>
        <v>0</v>
      </c>
      <c r="Q21" s="228">
        <f t="shared" si="5"/>
        <v>10</v>
      </c>
      <c r="R21" s="228">
        <f t="shared" si="5"/>
        <v>4</v>
      </c>
      <c r="S21" s="228">
        <f t="shared" si="5"/>
        <v>10</v>
      </c>
      <c r="T21" s="228">
        <f t="shared" si="5"/>
        <v>10</v>
      </c>
      <c r="U21" s="228">
        <f t="shared" si="5"/>
        <v>0</v>
      </c>
      <c r="V21" s="228">
        <f t="shared" si="5"/>
        <v>0</v>
      </c>
      <c r="W21" s="228">
        <f t="shared" si="5"/>
        <v>0</v>
      </c>
      <c r="X21" s="229"/>
    </row>
    <row r="22" spans="1:24" ht="12.5" x14ac:dyDescent="0.25">
      <c r="B22" s="511"/>
      <c r="C22" s="227" t="s">
        <v>31</v>
      </c>
      <c r="D22" s="228">
        <f t="shared" si="5"/>
        <v>0</v>
      </c>
      <c r="E22" s="228">
        <f t="shared" si="5"/>
        <v>0</v>
      </c>
      <c r="F22" s="228">
        <f t="shared" si="5"/>
        <v>0</v>
      </c>
      <c r="G22" s="228">
        <f t="shared" si="5"/>
        <v>0</v>
      </c>
      <c r="H22" s="228">
        <f t="shared" si="5"/>
        <v>10</v>
      </c>
      <c r="I22" s="228">
        <f t="shared" si="5"/>
        <v>10</v>
      </c>
      <c r="J22" s="228">
        <f t="shared" si="5"/>
        <v>10</v>
      </c>
      <c r="K22" s="228">
        <f t="shared" si="5"/>
        <v>6</v>
      </c>
      <c r="L22" s="228">
        <f t="shared" si="5"/>
        <v>10</v>
      </c>
      <c r="M22" s="228">
        <f t="shared" si="5"/>
        <v>0</v>
      </c>
      <c r="N22" s="228">
        <f t="shared" si="5"/>
        <v>0</v>
      </c>
      <c r="O22" s="228">
        <f t="shared" si="5"/>
        <v>2</v>
      </c>
      <c r="P22" s="228">
        <f t="shared" si="5"/>
        <v>2</v>
      </c>
      <c r="Q22" s="228">
        <f t="shared" si="5"/>
        <v>0</v>
      </c>
      <c r="R22" s="228">
        <f t="shared" si="5"/>
        <v>0</v>
      </c>
      <c r="S22" s="228">
        <f t="shared" si="5"/>
        <v>3</v>
      </c>
      <c r="T22" s="228">
        <f t="shared" si="5"/>
        <v>0</v>
      </c>
      <c r="U22" s="228">
        <f t="shared" si="5"/>
        <v>9</v>
      </c>
      <c r="V22" s="228">
        <f t="shared" si="5"/>
        <v>0</v>
      </c>
      <c r="W22" s="228">
        <f t="shared" si="5"/>
        <v>0</v>
      </c>
      <c r="X22" s="229"/>
    </row>
    <row r="23" spans="1:24" ht="12.5" x14ac:dyDescent="0.25">
      <c r="B23" s="512"/>
      <c r="C23" s="227" t="s">
        <v>38</v>
      </c>
      <c r="D23" s="228">
        <f t="shared" si="5"/>
        <v>0</v>
      </c>
      <c r="E23" s="228">
        <f t="shared" si="5"/>
        <v>0</v>
      </c>
      <c r="F23" s="228">
        <f t="shared" si="5"/>
        <v>0</v>
      </c>
      <c r="G23" s="228">
        <f t="shared" si="5"/>
        <v>0</v>
      </c>
      <c r="H23" s="228">
        <f t="shared" si="5"/>
        <v>10</v>
      </c>
      <c r="I23" s="228">
        <f t="shared" si="5"/>
        <v>10</v>
      </c>
      <c r="J23" s="228">
        <f t="shared" si="5"/>
        <v>10</v>
      </c>
      <c r="K23" s="228">
        <f t="shared" si="5"/>
        <v>0</v>
      </c>
      <c r="L23" s="228">
        <f t="shared" si="5"/>
        <v>10</v>
      </c>
      <c r="M23" s="228">
        <f t="shared" si="5"/>
        <v>0</v>
      </c>
      <c r="N23" s="228">
        <f t="shared" si="5"/>
        <v>0</v>
      </c>
      <c r="O23" s="228">
        <f t="shared" si="5"/>
        <v>0</v>
      </c>
      <c r="P23" s="228">
        <f t="shared" si="5"/>
        <v>0</v>
      </c>
      <c r="Q23" s="228">
        <f t="shared" si="5"/>
        <v>0</v>
      </c>
      <c r="R23" s="228">
        <f t="shared" si="5"/>
        <v>0</v>
      </c>
      <c r="S23" s="228">
        <f t="shared" si="5"/>
        <v>0</v>
      </c>
      <c r="T23" s="228">
        <f t="shared" si="5"/>
        <v>0</v>
      </c>
      <c r="U23" s="228">
        <f t="shared" si="5"/>
        <v>0</v>
      </c>
      <c r="V23" s="228">
        <f t="shared" si="5"/>
        <v>0</v>
      </c>
      <c r="W23" s="228">
        <f t="shared" si="5"/>
        <v>0</v>
      </c>
      <c r="X23" s="229"/>
    </row>
    <row r="24" spans="1:24" ht="12.5" x14ac:dyDescent="0.25">
      <c r="B24" s="510" t="s">
        <v>238</v>
      </c>
      <c r="C24" s="227" t="s">
        <v>33</v>
      </c>
      <c r="D24" s="228">
        <f t="shared" si="5"/>
        <v>0</v>
      </c>
      <c r="E24" s="228">
        <f t="shared" si="5"/>
        <v>0</v>
      </c>
      <c r="F24" s="228">
        <f t="shared" si="5"/>
        <v>0</v>
      </c>
      <c r="G24" s="228">
        <f t="shared" si="5"/>
        <v>0</v>
      </c>
      <c r="H24" s="228">
        <f t="shared" si="5"/>
        <v>10</v>
      </c>
      <c r="I24" s="228">
        <f t="shared" si="5"/>
        <v>10</v>
      </c>
      <c r="J24" s="228">
        <f t="shared" si="5"/>
        <v>10</v>
      </c>
      <c r="K24" s="228">
        <f t="shared" si="5"/>
        <v>0</v>
      </c>
      <c r="L24" s="228">
        <f t="shared" si="5"/>
        <v>10</v>
      </c>
      <c r="M24" s="228">
        <f t="shared" si="5"/>
        <v>0</v>
      </c>
      <c r="N24" s="228">
        <f t="shared" si="5"/>
        <v>0</v>
      </c>
      <c r="O24" s="228">
        <f t="shared" si="5"/>
        <v>0</v>
      </c>
      <c r="P24" s="228">
        <f t="shared" si="5"/>
        <v>0</v>
      </c>
      <c r="Q24" s="228">
        <f t="shared" si="5"/>
        <v>0</v>
      </c>
      <c r="R24" s="228">
        <f t="shared" si="5"/>
        <v>0</v>
      </c>
      <c r="S24" s="228">
        <f t="shared" si="5"/>
        <v>0</v>
      </c>
      <c r="T24" s="228">
        <f t="shared" si="5"/>
        <v>0</v>
      </c>
      <c r="U24" s="228">
        <f t="shared" si="5"/>
        <v>6</v>
      </c>
      <c r="V24" s="228">
        <f t="shared" si="5"/>
        <v>0</v>
      </c>
      <c r="W24" s="228">
        <f t="shared" si="5"/>
        <v>9</v>
      </c>
      <c r="X24" s="229"/>
    </row>
    <row r="25" spans="1:24" ht="12.5" x14ac:dyDescent="0.25">
      <c r="B25" s="512"/>
      <c r="C25" s="227" t="s">
        <v>37</v>
      </c>
      <c r="D25" s="228">
        <f t="shared" si="5"/>
        <v>0</v>
      </c>
      <c r="E25" s="228">
        <f t="shared" si="5"/>
        <v>0</v>
      </c>
      <c r="F25" s="228">
        <f t="shared" si="5"/>
        <v>0</v>
      </c>
      <c r="G25" s="228">
        <f t="shared" si="5"/>
        <v>0</v>
      </c>
      <c r="H25" s="228">
        <f t="shared" si="5"/>
        <v>4</v>
      </c>
      <c r="I25" s="228">
        <f t="shared" si="5"/>
        <v>4</v>
      </c>
      <c r="J25" s="228">
        <f t="shared" si="5"/>
        <v>4</v>
      </c>
      <c r="K25" s="228">
        <f t="shared" si="5"/>
        <v>0</v>
      </c>
      <c r="L25" s="228">
        <f t="shared" si="5"/>
        <v>0</v>
      </c>
      <c r="M25" s="228">
        <f t="shared" si="5"/>
        <v>4</v>
      </c>
      <c r="N25" s="228">
        <f t="shared" si="5"/>
        <v>0</v>
      </c>
      <c r="O25" s="228">
        <f t="shared" si="5"/>
        <v>0</v>
      </c>
      <c r="P25" s="228">
        <f t="shared" si="5"/>
        <v>0</v>
      </c>
      <c r="Q25" s="228">
        <f t="shared" si="5"/>
        <v>0</v>
      </c>
      <c r="R25" s="228">
        <f t="shared" si="5"/>
        <v>0</v>
      </c>
      <c r="S25" s="228">
        <f t="shared" si="5"/>
        <v>0</v>
      </c>
      <c r="T25" s="228">
        <f t="shared" si="5"/>
        <v>0</v>
      </c>
      <c r="U25" s="228">
        <f t="shared" si="5"/>
        <v>0</v>
      </c>
      <c r="V25" s="228">
        <f t="shared" si="5"/>
        <v>0</v>
      </c>
      <c r="W25" s="228">
        <f t="shared" si="5"/>
        <v>0</v>
      </c>
      <c r="X25" s="229"/>
    </row>
    <row r="26" spans="1:24" x14ac:dyDescent="0.25">
      <c r="B26" s="513" t="s">
        <v>239</v>
      </c>
      <c r="C26" s="514"/>
      <c r="D26" s="230"/>
      <c r="E26" s="230"/>
      <c r="F26" s="231"/>
      <c r="G26" s="230"/>
      <c r="H26" s="232"/>
      <c r="I26" s="233"/>
      <c r="J26" s="233"/>
      <c r="K26" s="233"/>
      <c r="L26" s="230"/>
      <c r="M26" s="230"/>
      <c r="N26" s="230"/>
      <c r="O26" s="230"/>
      <c r="P26" s="230"/>
      <c r="Q26" s="230"/>
      <c r="R26" s="234"/>
      <c r="S26" s="230"/>
      <c r="T26" s="230"/>
      <c r="U26" s="230"/>
      <c r="V26" s="230"/>
      <c r="W26" s="230"/>
      <c r="X26" s="235"/>
    </row>
    <row r="29" spans="1:24" x14ac:dyDescent="0.25">
      <c r="A29" s="225" t="s">
        <v>247</v>
      </c>
      <c r="B29" s="515" t="s">
        <v>0</v>
      </c>
      <c r="C29" s="516"/>
      <c r="D29" s="492" t="s">
        <v>210</v>
      </c>
      <c r="E29" s="493"/>
      <c r="F29" s="493"/>
      <c r="G29" s="494"/>
      <c r="H29" s="495" t="s">
        <v>211</v>
      </c>
      <c r="I29" s="496"/>
      <c r="J29" s="496"/>
      <c r="K29" s="496"/>
      <c r="L29" s="497" t="s">
        <v>212</v>
      </c>
      <c r="M29" s="498"/>
      <c r="N29" s="498"/>
      <c r="O29" s="499"/>
      <c r="P29" s="500" t="s">
        <v>213</v>
      </c>
      <c r="Q29" s="501"/>
      <c r="R29" s="502"/>
      <c r="S29" s="503" t="s">
        <v>214</v>
      </c>
      <c r="T29" s="504"/>
      <c r="U29" s="504"/>
      <c r="V29" s="504"/>
      <c r="W29" s="505"/>
      <c r="X29" s="479" t="s">
        <v>215</v>
      </c>
    </row>
    <row r="30" spans="1:24" x14ac:dyDescent="0.25">
      <c r="A30" s="225" t="s">
        <v>248</v>
      </c>
      <c r="B30" s="517"/>
      <c r="C30" s="518"/>
      <c r="D30" s="482" t="s">
        <v>244</v>
      </c>
      <c r="E30" s="484" t="s">
        <v>216</v>
      </c>
      <c r="F30" s="482" t="s">
        <v>217</v>
      </c>
      <c r="G30" s="482" t="s">
        <v>218</v>
      </c>
      <c r="H30" s="486" t="s">
        <v>219</v>
      </c>
      <c r="I30" s="488" t="s">
        <v>245</v>
      </c>
      <c r="J30" s="488" t="s">
        <v>221</v>
      </c>
      <c r="K30" s="488" t="s">
        <v>222</v>
      </c>
      <c r="L30" s="490" t="s">
        <v>223</v>
      </c>
      <c r="M30" s="490" t="s">
        <v>224</v>
      </c>
      <c r="N30" s="490" t="s">
        <v>225</v>
      </c>
      <c r="O30" s="490" t="s">
        <v>226</v>
      </c>
      <c r="P30" s="506" t="s">
        <v>227</v>
      </c>
      <c r="Q30" s="506" t="s">
        <v>228</v>
      </c>
      <c r="R30" s="506" t="s">
        <v>246</v>
      </c>
      <c r="S30" s="508" t="s">
        <v>230</v>
      </c>
      <c r="T30" s="508" t="s">
        <v>231</v>
      </c>
      <c r="U30" s="508" t="s">
        <v>232</v>
      </c>
      <c r="V30" s="508" t="s">
        <v>233</v>
      </c>
      <c r="W30" s="508" t="s">
        <v>234</v>
      </c>
      <c r="X30" s="480"/>
    </row>
    <row r="31" spans="1:24" x14ac:dyDescent="0.25">
      <c r="B31" s="519"/>
      <c r="C31" s="520"/>
      <c r="D31" s="483"/>
      <c r="E31" s="485"/>
      <c r="F31" s="483"/>
      <c r="G31" s="483"/>
      <c r="H31" s="487"/>
      <c r="I31" s="489"/>
      <c r="J31" s="489"/>
      <c r="K31" s="489"/>
      <c r="L31" s="491"/>
      <c r="M31" s="491"/>
      <c r="N31" s="491"/>
      <c r="O31" s="491"/>
      <c r="P31" s="507"/>
      <c r="Q31" s="507"/>
      <c r="R31" s="507"/>
      <c r="S31" s="509"/>
      <c r="T31" s="509"/>
      <c r="U31" s="509"/>
      <c r="V31" s="509"/>
      <c r="W31" s="509"/>
      <c r="X31" s="481"/>
    </row>
    <row r="32" spans="1:24" ht="12.5" x14ac:dyDescent="0.25">
      <c r="B32" s="510" t="s">
        <v>235</v>
      </c>
      <c r="C32" s="227" t="s">
        <v>26</v>
      </c>
      <c r="D32" s="236">
        <v>1</v>
      </c>
      <c r="E32" s="228"/>
      <c r="F32" s="228"/>
      <c r="G32" s="228"/>
      <c r="H32" s="237">
        <v>1</v>
      </c>
      <c r="I32" s="237">
        <v>1</v>
      </c>
      <c r="J32" s="237">
        <v>1</v>
      </c>
      <c r="K32" s="228"/>
      <c r="L32" s="238">
        <v>1</v>
      </c>
      <c r="M32" s="228"/>
      <c r="N32" s="228"/>
      <c r="O32" s="228"/>
      <c r="P32" s="228"/>
      <c r="Q32" s="228"/>
      <c r="R32" s="228"/>
      <c r="S32" s="239">
        <v>1</v>
      </c>
      <c r="T32" s="239">
        <v>1</v>
      </c>
      <c r="U32" s="228"/>
      <c r="V32" s="228"/>
      <c r="W32" s="228"/>
      <c r="X32" s="229">
        <v>7</v>
      </c>
    </row>
    <row r="33" spans="2:24" ht="12.5" x14ac:dyDescent="0.25">
      <c r="B33" s="511"/>
      <c r="C33" s="227" t="s">
        <v>27</v>
      </c>
      <c r="D33" s="236">
        <v>1</v>
      </c>
      <c r="E33" s="228"/>
      <c r="F33" s="228"/>
      <c r="G33" s="228"/>
      <c r="H33" s="237">
        <v>1</v>
      </c>
      <c r="I33" s="228"/>
      <c r="J33" s="237">
        <v>1</v>
      </c>
      <c r="K33" s="237">
        <v>1</v>
      </c>
      <c r="L33" s="238">
        <v>1</v>
      </c>
      <c r="M33" s="228"/>
      <c r="N33" s="238">
        <v>1</v>
      </c>
      <c r="O33" s="228"/>
      <c r="P33" s="228"/>
      <c r="Q33" s="228"/>
      <c r="R33" s="228"/>
      <c r="S33" s="239">
        <v>1</v>
      </c>
      <c r="T33" s="239">
        <v>1</v>
      </c>
      <c r="U33" s="228"/>
      <c r="V33" s="228"/>
      <c r="W33" s="228"/>
      <c r="X33" s="229">
        <v>8</v>
      </c>
    </row>
    <row r="34" spans="2:24" ht="12.5" x14ac:dyDescent="0.25">
      <c r="B34" s="511"/>
      <c r="C34" s="227" t="s">
        <v>56</v>
      </c>
      <c r="D34" s="236">
        <v>1</v>
      </c>
      <c r="E34" s="228"/>
      <c r="F34" s="228"/>
      <c r="G34" s="228"/>
      <c r="H34" s="237">
        <v>1</v>
      </c>
      <c r="I34" s="237">
        <v>1</v>
      </c>
      <c r="J34" s="237">
        <v>1</v>
      </c>
      <c r="K34" s="228"/>
      <c r="L34" s="238">
        <v>1</v>
      </c>
      <c r="M34" s="228"/>
      <c r="N34" s="228"/>
      <c r="O34" s="228"/>
      <c r="P34" s="228"/>
      <c r="Q34" s="228"/>
      <c r="R34" s="240">
        <v>1</v>
      </c>
      <c r="S34" s="239">
        <v>1</v>
      </c>
      <c r="T34" s="239">
        <v>1</v>
      </c>
      <c r="U34" s="228"/>
      <c r="V34" s="228"/>
      <c r="W34" s="228"/>
      <c r="X34" s="229">
        <v>8</v>
      </c>
    </row>
    <row r="35" spans="2:24" ht="12.5" x14ac:dyDescent="0.25">
      <c r="B35" s="511"/>
      <c r="C35" s="227" t="s">
        <v>28</v>
      </c>
      <c r="D35" s="236">
        <v>1</v>
      </c>
      <c r="E35" s="228"/>
      <c r="F35" s="228"/>
      <c r="G35" s="228"/>
      <c r="H35" s="237">
        <v>1</v>
      </c>
      <c r="I35" s="237">
        <v>1</v>
      </c>
      <c r="J35" s="237">
        <v>1</v>
      </c>
      <c r="K35" s="228"/>
      <c r="L35" s="238">
        <v>1</v>
      </c>
      <c r="M35" s="228"/>
      <c r="N35" s="228"/>
      <c r="O35" s="228"/>
      <c r="P35" s="228"/>
      <c r="Q35" s="228"/>
      <c r="R35" s="228"/>
      <c r="S35" s="239">
        <v>1</v>
      </c>
      <c r="T35" s="239">
        <v>1</v>
      </c>
      <c r="U35" s="228"/>
      <c r="V35" s="239">
        <v>1</v>
      </c>
      <c r="W35" s="228"/>
      <c r="X35" s="229">
        <v>8</v>
      </c>
    </row>
    <row r="36" spans="2:24" ht="12.5" x14ac:dyDescent="0.25">
      <c r="B36" s="511"/>
      <c r="C36" s="227" t="s">
        <v>29</v>
      </c>
      <c r="D36" s="236">
        <v>1</v>
      </c>
      <c r="E36" s="228"/>
      <c r="F36" s="228"/>
      <c r="G36" s="228"/>
      <c r="H36" s="237">
        <v>1</v>
      </c>
      <c r="I36" s="237">
        <v>1</v>
      </c>
      <c r="J36" s="237">
        <v>1</v>
      </c>
      <c r="K36" s="237">
        <v>1</v>
      </c>
      <c r="L36" s="238">
        <v>1</v>
      </c>
      <c r="M36" s="228"/>
      <c r="N36" s="228"/>
      <c r="O36" s="228"/>
      <c r="P36" s="228"/>
      <c r="Q36" s="228"/>
      <c r="R36" s="228"/>
      <c r="S36" s="239">
        <v>1</v>
      </c>
      <c r="T36" s="239">
        <v>1</v>
      </c>
      <c r="U36" s="228"/>
      <c r="V36" s="228"/>
      <c r="W36" s="228"/>
      <c r="X36" s="229">
        <v>8</v>
      </c>
    </row>
    <row r="37" spans="2:24" ht="12.5" x14ac:dyDescent="0.25">
      <c r="B37" s="511"/>
      <c r="C37" s="227" t="s">
        <v>19</v>
      </c>
      <c r="D37" s="236">
        <v>1</v>
      </c>
      <c r="E37" s="228"/>
      <c r="F37" s="228"/>
      <c r="G37" s="228"/>
      <c r="H37" s="237">
        <v>1</v>
      </c>
      <c r="I37" s="237">
        <v>1</v>
      </c>
      <c r="J37" s="237">
        <v>1</v>
      </c>
      <c r="K37" s="237">
        <v>1</v>
      </c>
      <c r="L37" s="228"/>
      <c r="M37" s="228"/>
      <c r="N37" s="228"/>
      <c r="O37" s="228"/>
      <c r="P37" s="240">
        <v>1</v>
      </c>
      <c r="Q37" s="240">
        <v>1</v>
      </c>
      <c r="R37" s="228"/>
      <c r="S37" s="239">
        <v>1</v>
      </c>
      <c r="T37" s="239">
        <v>1</v>
      </c>
      <c r="U37" s="228"/>
      <c r="V37" s="239">
        <v>1</v>
      </c>
      <c r="W37" s="239">
        <v>1</v>
      </c>
      <c r="X37" s="229">
        <v>11</v>
      </c>
    </row>
    <row r="38" spans="2:24" ht="12.5" x14ac:dyDescent="0.25">
      <c r="B38" s="511"/>
      <c r="C38" s="227" t="s">
        <v>23</v>
      </c>
      <c r="D38" s="236">
        <v>1</v>
      </c>
      <c r="E38" s="228"/>
      <c r="F38" s="228"/>
      <c r="G38" s="228"/>
      <c r="H38" s="237">
        <v>1</v>
      </c>
      <c r="I38" s="237">
        <v>1</v>
      </c>
      <c r="J38" s="237">
        <v>1</v>
      </c>
      <c r="K38" s="228"/>
      <c r="L38" s="238">
        <v>1</v>
      </c>
      <c r="M38" s="228"/>
      <c r="N38" s="228"/>
      <c r="O38" s="228"/>
      <c r="P38" s="228"/>
      <c r="Q38" s="228"/>
      <c r="R38" s="228"/>
      <c r="S38" s="228"/>
      <c r="T38" s="239">
        <v>1</v>
      </c>
      <c r="U38" s="228"/>
      <c r="V38" s="239">
        <v>1</v>
      </c>
      <c r="W38" s="228"/>
      <c r="X38" s="229">
        <v>7</v>
      </c>
    </row>
    <row r="39" spans="2:24" ht="12.5" x14ac:dyDescent="0.25">
      <c r="B39" s="511"/>
      <c r="C39" s="227" t="s">
        <v>20</v>
      </c>
      <c r="D39" s="236">
        <v>1</v>
      </c>
      <c r="E39" s="228"/>
      <c r="F39" s="228"/>
      <c r="G39" s="228"/>
      <c r="H39" s="237">
        <v>1</v>
      </c>
      <c r="I39" s="237">
        <v>1</v>
      </c>
      <c r="J39" s="237">
        <v>1</v>
      </c>
      <c r="K39" s="237">
        <v>1</v>
      </c>
      <c r="L39" s="238">
        <v>1</v>
      </c>
      <c r="M39" s="228"/>
      <c r="N39" s="238">
        <v>1</v>
      </c>
      <c r="O39" s="238">
        <v>1</v>
      </c>
      <c r="P39" s="228"/>
      <c r="Q39" s="228"/>
      <c r="R39" s="228"/>
      <c r="S39" s="239">
        <v>1</v>
      </c>
      <c r="T39" s="239">
        <v>1</v>
      </c>
      <c r="U39" s="228"/>
      <c r="V39" s="228"/>
      <c r="W39" s="228"/>
      <c r="X39" s="229">
        <v>10</v>
      </c>
    </row>
    <row r="40" spans="2:24" ht="12.5" x14ac:dyDescent="0.25">
      <c r="B40" s="511"/>
      <c r="C40" s="227" t="s">
        <v>18</v>
      </c>
      <c r="D40" s="236">
        <v>1</v>
      </c>
      <c r="E40" s="228"/>
      <c r="F40" s="228"/>
      <c r="G40" s="228"/>
      <c r="H40" s="237">
        <v>1</v>
      </c>
      <c r="I40" s="237">
        <v>1</v>
      </c>
      <c r="J40" s="237">
        <v>1</v>
      </c>
      <c r="K40" s="228"/>
      <c r="L40" s="238">
        <v>1</v>
      </c>
      <c r="M40" s="228"/>
      <c r="N40" s="228"/>
      <c r="O40" s="228"/>
      <c r="P40" s="228"/>
      <c r="Q40" s="228"/>
      <c r="R40" s="228"/>
      <c r="S40" s="239">
        <v>1</v>
      </c>
      <c r="T40" s="239">
        <v>1</v>
      </c>
      <c r="U40" s="228"/>
      <c r="V40" s="239">
        <v>1</v>
      </c>
      <c r="W40" s="228"/>
      <c r="X40" s="229">
        <v>8</v>
      </c>
    </row>
    <row r="41" spans="2:24" ht="12.5" x14ac:dyDescent="0.25">
      <c r="B41" s="511"/>
      <c r="C41" s="227" t="s">
        <v>133</v>
      </c>
      <c r="D41" s="236">
        <v>1</v>
      </c>
      <c r="E41" s="228"/>
      <c r="F41" s="228"/>
      <c r="G41" s="228"/>
      <c r="H41" s="237">
        <v>1</v>
      </c>
      <c r="I41" s="237">
        <v>1</v>
      </c>
      <c r="J41" s="237">
        <v>1</v>
      </c>
      <c r="K41" s="237">
        <v>1</v>
      </c>
      <c r="L41" s="238">
        <v>1</v>
      </c>
      <c r="M41" s="228"/>
      <c r="N41" s="228"/>
      <c r="O41" s="228"/>
      <c r="P41" s="228"/>
      <c r="Q41" s="228"/>
      <c r="R41" s="228"/>
      <c r="S41" s="228"/>
      <c r="T41" s="239">
        <v>1</v>
      </c>
      <c r="U41" s="228"/>
      <c r="V41" s="228"/>
      <c r="W41" s="228"/>
      <c r="X41" s="229">
        <v>7</v>
      </c>
    </row>
    <row r="42" spans="2:24" ht="12.5" x14ac:dyDescent="0.25">
      <c r="B42" s="511"/>
      <c r="C42" s="227" t="s">
        <v>36</v>
      </c>
      <c r="D42" s="228"/>
      <c r="E42" s="228"/>
      <c r="F42" s="228"/>
      <c r="G42" s="228"/>
      <c r="H42" s="237">
        <v>1</v>
      </c>
      <c r="I42" s="228"/>
      <c r="J42" s="228"/>
      <c r="K42" s="228"/>
      <c r="L42" s="238">
        <v>1</v>
      </c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9">
        <v>2</v>
      </c>
    </row>
    <row r="43" spans="2:24" ht="12.5" x14ac:dyDescent="0.25">
      <c r="B43" s="511"/>
      <c r="C43" s="227" t="s">
        <v>35</v>
      </c>
      <c r="D43" s="236">
        <v>1</v>
      </c>
      <c r="E43" s="228"/>
      <c r="F43" s="236">
        <v>1</v>
      </c>
      <c r="G43" s="228"/>
      <c r="H43" s="237">
        <v>1</v>
      </c>
      <c r="I43" s="237">
        <v>1</v>
      </c>
      <c r="J43" s="237">
        <v>1</v>
      </c>
      <c r="K43" s="228"/>
      <c r="L43" s="228"/>
      <c r="M43" s="228"/>
      <c r="N43" s="228"/>
      <c r="O43" s="228"/>
      <c r="P43" s="228"/>
      <c r="Q43" s="228"/>
      <c r="R43" s="228"/>
      <c r="S43" s="228"/>
      <c r="T43" s="239">
        <v>1</v>
      </c>
      <c r="U43" s="228"/>
      <c r="V43" s="228"/>
      <c r="W43" s="239">
        <v>1</v>
      </c>
      <c r="X43" s="229">
        <v>7</v>
      </c>
    </row>
    <row r="44" spans="2:24" ht="12.5" x14ac:dyDescent="0.25">
      <c r="B44" s="512"/>
      <c r="C44" s="227" t="s">
        <v>58</v>
      </c>
      <c r="D44" s="236">
        <v>1</v>
      </c>
      <c r="E44" s="228"/>
      <c r="F44" s="228"/>
      <c r="G44" s="228"/>
      <c r="H44" s="237">
        <v>1</v>
      </c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39">
        <v>1</v>
      </c>
      <c r="U44" s="228"/>
      <c r="V44" s="228"/>
      <c r="W44" s="228"/>
      <c r="X44" s="229">
        <v>3</v>
      </c>
    </row>
    <row r="45" spans="2:24" ht="12.5" x14ac:dyDescent="0.25">
      <c r="B45" s="510" t="s">
        <v>236</v>
      </c>
      <c r="C45" s="227" t="s">
        <v>24</v>
      </c>
      <c r="D45" s="236">
        <v>1</v>
      </c>
      <c r="E45" s="228"/>
      <c r="F45" s="228"/>
      <c r="G45" s="228"/>
      <c r="H45" s="237">
        <v>1</v>
      </c>
      <c r="I45" s="237">
        <v>1</v>
      </c>
      <c r="J45" s="237">
        <v>1</v>
      </c>
      <c r="K45" s="228"/>
      <c r="L45" s="238">
        <v>1</v>
      </c>
      <c r="M45" s="228"/>
      <c r="N45" s="228"/>
      <c r="O45" s="228"/>
      <c r="P45" s="228"/>
      <c r="Q45" s="228"/>
      <c r="R45" s="228"/>
      <c r="S45" s="239">
        <v>1</v>
      </c>
      <c r="T45" s="239">
        <v>1</v>
      </c>
      <c r="U45" s="228"/>
      <c r="V45" s="228"/>
      <c r="W45" s="228"/>
      <c r="X45" s="229">
        <v>7</v>
      </c>
    </row>
    <row r="46" spans="2:24" ht="12.5" x14ac:dyDescent="0.25">
      <c r="B46" s="511"/>
      <c r="C46" s="227" t="s">
        <v>21</v>
      </c>
      <c r="D46" s="228"/>
      <c r="E46" s="228"/>
      <c r="F46" s="228"/>
      <c r="G46" s="228"/>
      <c r="H46" s="237">
        <v>1</v>
      </c>
      <c r="I46" s="237">
        <v>1</v>
      </c>
      <c r="J46" s="237">
        <v>1</v>
      </c>
      <c r="K46" s="228"/>
      <c r="L46" s="238">
        <v>1</v>
      </c>
      <c r="M46" s="228"/>
      <c r="N46" s="228"/>
      <c r="O46" s="228"/>
      <c r="P46" s="228"/>
      <c r="Q46" s="228"/>
      <c r="R46" s="228"/>
      <c r="S46" s="239">
        <v>1</v>
      </c>
      <c r="T46" s="239">
        <v>1</v>
      </c>
      <c r="U46" s="228"/>
      <c r="V46" s="228"/>
      <c r="W46" s="228"/>
      <c r="X46" s="229">
        <v>6</v>
      </c>
    </row>
    <row r="47" spans="2:24" ht="12.5" x14ac:dyDescent="0.25">
      <c r="B47" s="511"/>
      <c r="C47" s="227" t="s">
        <v>40</v>
      </c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9">
        <v>0</v>
      </c>
    </row>
    <row r="48" spans="2:24" ht="12.5" x14ac:dyDescent="0.25">
      <c r="B48" s="511"/>
      <c r="C48" s="227" t="s">
        <v>41</v>
      </c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9">
        <v>0</v>
      </c>
    </row>
    <row r="49" spans="1:24" ht="12.5" x14ac:dyDescent="0.25">
      <c r="B49" s="511"/>
      <c r="C49" s="227" t="s">
        <v>30</v>
      </c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9">
        <v>0</v>
      </c>
    </row>
    <row r="50" spans="1:24" ht="12.5" x14ac:dyDescent="0.25">
      <c r="B50" s="512"/>
      <c r="C50" s="227" t="s">
        <v>25</v>
      </c>
      <c r="D50" s="228"/>
      <c r="E50" s="228"/>
      <c r="F50" s="228"/>
      <c r="G50" s="228"/>
      <c r="H50" s="237">
        <v>1</v>
      </c>
      <c r="I50" s="237">
        <v>1</v>
      </c>
      <c r="J50" s="237">
        <v>1</v>
      </c>
      <c r="K50" s="228"/>
      <c r="L50" s="228"/>
      <c r="M50" s="228"/>
      <c r="N50" s="228"/>
      <c r="O50" s="228"/>
      <c r="P50" s="228"/>
      <c r="Q50" s="228"/>
      <c r="R50" s="240">
        <v>1</v>
      </c>
      <c r="S50" s="228"/>
      <c r="T50" s="228"/>
      <c r="U50" s="228"/>
      <c r="V50" s="228"/>
      <c r="W50" s="228"/>
      <c r="X50" s="229">
        <v>4</v>
      </c>
    </row>
    <row r="51" spans="1:24" ht="12.5" x14ac:dyDescent="0.25">
      <c r="B51" s="510" t="s">
        <v>237</v>
      </c>
      <c r="C51" s="227" t="s">
        <v>32</v>
      </c>
      <c r="D51" s="228"/>
      <c r="E51" s="228"/>
      <c r="F51" s="228"/>
      <c r="G51" s="228"/>
      <c r="H51" s="237">
        <v>1</v>
      </c>
      <c r="I51" s="237">
        <v>1</v>
      </c>
      <c r="J51" s="237">
        <v>1</v>
      </c>
      <c r="K51" s="237">
        <v>1</v>
      </c>
      <c r="L51" s="228"/>
      <c r="M51" s="228"/>
      <c r="N51" s="228"/>
      <c r="O51" s="238">
        <v>1</v>
      </c>
      <c r="P51" s="228"/>
      <c r="Q51" s="228"/>
      <c r="R51" s="228"/>
      <c r="S51" s="239">
        <v>1</v>
      </c>
      <c r="T51" s="239">
        <v>1</v>
      </c>
      <c r="U51" s="239">
        <v>1</v>
      </c>
      <c r="V51" s="228"/>
      <c r="W51" s="228"/>
      <c r="X51" s="229">
        <v>8</v>
      </c>
    </row>
    <row r="52" spans="1:24" ht="12.5" x14ac:dyDescent="0.25">
      <c r="B52" s="511"/>
      <c r="C52" s="227" t="s">
        <v>34</v>
      </c>
      <c r="D52" s="236">
        <v>1</v>
      </c>
      <c r="E52" s="228"/>
      <c r="F52" s="228"/>
      <c r="G52" s="228"/>
      <c r="H52" s="237">
        <v>1</v>
      </c>
      <c r="I52" s="237">
        <v>1</v>
      </c>
      <c r="J52" s="237">
        <v>1</v>
      </c>
      <c r="K52" s="237">
        <v>1</v>
      </c>
      <c r="L52" s="228"/>
      <c r="M52" s="228"/>
      <c r="N52" s="228"/>
      <c r="O52" s="228"/>
      <c r="P52" s="228"/>
      <c r="Q52" s="240">
        <v>1</v>
      </c>
      <c r="R52" s="228"/>
      <c r="S52" s="239">
        <v>1</v>
      </c>
      <c r="T52" s="239">
        <v>1</v>
      </c>
      <c r="U52" s="228"/>
      <c r="V52" s="228"/>
      <c r="W52" s="228"/>
      <c r="X52" s="229">
        <v>8</v>
      </c>
    </row>
    <row r="53" spans="1:24" ht="12.5" x14ac:dyDescent="0.25">
      <c r="B53" s="511"/>
      <c r="C53" s="227" t="s">
        <v>31</v>
      </c>
      <c r="D53" s="228"/>
      <c r="E53" s="228"/>
      <c r="F53" s="228"/>
      <c r="G53" s="228"/>
      <c r="H53" s="237">
        <v>1</v>
      </c>
      <c r="I53" s="237">
        <v>1</v>
      </c>
      <c r="J53" s="237">
        <v>1</v>
      </c>
      <c r="K53" s="237">
        <v>1</v>
      </c>
      <c r="L53" s="238">
        <v>1</v>
      </c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9">
        <v>5</v>
      </c>
    </row>
    <row r="54" spans="1:24" ht="12.5" x14ac:dyDescent="0.25">
      <c r="B54" s="512"/>
      <c r="C54" s="227" t="s">
        <v>38</v>
      </c>
      <c r="D54" s="228"/>
      <c r="E54" s="228"/>
      <c r="F54" s="228"/>
      <c r="G54" s="228"/>
      <c r="H54" s="237">
        <v>1</v>
      </c>
      <c r="I54" s="237">
        <v>1</v>
      </c>
      <c r="J54" s="237">
        <v>1</v>
      </c>
      <c r="K54" s="228"/>
      <c r="L54" s="238">
        <v>1</v>
      </c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9">
        <v>4</v>
      </c>
    </row>
    <row r="55" spans="1:24" ht="12.5" x14ac:dyDescent="0.25">
      <c r="B55" s="510" t="s">
        <v>238</v>
      </c>
      <c r="C55" s="227" t="s">
        <v>33</v>
      </c>
      <c r="D55" s="228"/>
      <c r="E55" s="228"/>
      <c r="F55" s="228"/>
      <c r="G55" s="228"/>
      <c r="H55" s="237">
        <v>1</v>
      </c>
      <c r="I55" s="237">
        <v>1</v>
      </c>
      <c r="J55" s="237">
        <v>1</v>
      </c>
      <c r="K55" s="228"/>
      <c r="L55" s="238">
        <v>1</v>
      </c>
      <c r="M55" s="228"/>
      <c r="N55" s="228"/>
      <c r="O55" s="228"/>
      <c r="P55" s="228"/>
      <c r="Q55" s="228"/>
      <c r="R55" s="228"/>
      <c r="S55" s="228"/>
      <c r="T55" s="228"/>
      <c r="U55" s="239">
        <v>1</v>
      </c>
      <c r="V55" s="228"/>
      <c r="W55" s="228"/>
      <c r="X55" s="229">
        <v>5</v>
      </c>
    </row>
    <row r="56" spans="1:24" ht="12.5" x14ac:dyDescent="0.25">
      <c r="B56" s="512"/>
      <c r="C56" s="227" t="s">
        <v>37</v>
      </c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9">
        <v>0</v>
      </c>
    </row>
    <row r="57" spans="1:24" x14ac:dyDescent="0.25">
      <c r="B57" s="513" t="s">
        <v>239</v>
      </c>
      <c r="C57" s="514"/>
      <c r="D57" s="230">
        <v>14</v>
      </c>
      <c r="E57" s="230">
        <v>0</v>
      </c>
      <c r="F57" s="231">
        <v>1</v>
      </c>
      <c r="G57" s="230">
        <v>0</v>
      </c>
      <c r="H57" s="232">
        <v>21</v>
      </c>
      <c r="I57" s="233">
        <v>18</v>
      </c>
      <c r="J57" s="233">
        <v>19</v>
      </c>
      <c r="K57" s="233">
        <v>8</v>
      </c>
      <c r="L57" s="230">
        <v>15</v>
      </c>
      <c r="M57" s="230">
        <v>0</v>
      </c>
      <c r="N57" s="230">
        <v>2</v>
      </c>
      <c r="O57" s="230">
        <v>2</v>
      </c>
      <c r="P57" s="230">
        <v>1</v>
      </c>
      <c r="Q57" s="230">
        <v>2</v>
      </c>
      <c r="R57" s="234">
        <v>2</v>
      </c>
      <c r="S57" s="230">
        <v>12</v>
      </c>
      <c r="T57" s="230">
        <v>16</v>
      </c>
      <c r="U57" s="230">
        <v>2</v>
      </c>
      <c r="V57" s="230">
        <v>4</v>
      </c>
      <c r="W57" s="230">
        <v>2</v>
      </c>
      <c r="X57" s="235">
        <v>141</v>
      </c>
    </row>
    <row r="60" spans="1:24" ht="14" x14ac:dyDescent="0.25">
      <c r="A60" s="225" t="s">
        <v>249</v>
      </c>
      <c r="B60" s="548" t="s">
        <v>0</v>
      </c>
      <c r="C60" s="549"/>
      <c r="D60" s="532" t="s">
        <v>210</v>
      </c>
      <c r="E60" s="533"/>
      <c r="F60" s="533"/>
      <c r="G60" s="534"/>
      <c r="H60" s="535" t="s">
        <v>211</v>
      </c>
      <c r="I60" s="536"/>
      <c r="J60" s="536"/>
      <c r="K60" s="536"/>
      <c r="L60" s="537" t="s">
        <v>212</v>
      </c>
      <c r="M60" s="538"/>
      <c r="N60" s="538"/>
      <c r="O60" s="539"/>
      <c r="P60" s="540" t="s">
        <v>213</v>
      </c>
      <c r="Q60" s="541"/>
      <c r="R60" s="542"/>
      <c r="S60" s="543" t="s">
        <v>214</v>
      </c>
      <c r="T60" s="544"/>
      <c r="U60" s="544"/>
      <c r="V60" s="544"/>
      <c r="W60" s="545"/>
      <c r="X60" s="521" t="s">
        <v>215</v>
      </c>
    </row>
    <row r="61" spans="1:24" x14ac:dyDescent="0.25">
      <c r="A61" s="225" t="s">
        <v>250</v>
      </c>
      <c r="B61" s="550"/>
      <c r="C61" s="551"/>
      <c r="D61" s="524" t="s">
        <v>210</v>
      </c>
      <c r="E61" s="526" t="s">
        <v>216</v>
      </c>
      <c r="F61" s="524" t="s">
        <v>217</v>
      </c>
      <c r="G61" s="524" t="s">
        <v>218</v>
      </c>
      <c r="H61" s="486" t="s">
        <v>251</v>
      </c>
      <c r="I61" s="528" t="s">
        <v>220</v>
      </c>
      <c r="J61" s="528" t="s">
        <v>221</v>
      </c>
      <c r="K61" s="528" t="s">
        <v>222</v>
      </c>
      <c r="L61" s="530" t="s">
        <v>223</v>
      </c>
      <c r="M61" s="530" t="s">
        <v>224</v>
      </c>
      <c r="N61" s="530" t="s">
        <v>252</v>
      </c>
      <c r="O61" s="530" t="s">
        <v>226</v>
      </c>
      <c r="P61" s="546" t="s">
        <v>227</v>
      </c>
      <c r="Q61" s="546" t="s">
        <v>228</v>
      </c>
      <c r="R61" s="546" t="s">
        <v>229</v>
      </c>
      <c r="S61" s="558" t="s">
        <v>230</v>
      </c>
      <c r="T61" s="558" t="s">
        <v>231</v>
      </c>
      <c r="U61" s="558" t="s">
        <v>232</v>
      </c>
      <c r="V61" s="558" t="s">
        <v>233</v>
      </c>
      <c r="W61" s="558" t="s">
        <v>234</v>
      </c>
      <c r="X61" s="522"/>
    </row>
    <row r="62" spans="1:24" x14ac:dyDescent="0.25">
      <c r="B62" s="552"/>
      <c r="C62" s="564"/>
      <c r="D62" s="525"/>
      <c r="E62" s="527"/>
      <c r="F62" s="525"/>
      <c r="G62" s="525"/>
      <c r="H62" s="487"/>
      <c r="I62" s="529"/>
      <c r="J62" s="529"/>
      <c r="K62" s="529"/>
      <c r="L62" s="531"/>
      <c r="M62" s="531"/>
      <c r="N62" s="531"/>
      <c r="O62" s="531"/>
      <c r="P62" s="547"/>
      <c r="Q62" s="547"/>
      <c r="R62" s="547"/>
      <c r="S62" s="559"/>
      <c r="T62" s="559"/>
      <c r="U62" s="559"/>
      <c r="V62" s="559"/>
      <c r="W62" s="559"/>
      <c r="X62" s="523"/>
    </row>
    <row r="63" spans="1:24" ht="12.5" x14ac:dyDescent="0.25">
      <c r="B63" s="560" t="s">
        <v>235</v>
      </c>
      <c r="C63" s="241" t="s">
        <v>26</v>
      </c>
      <c r="D63" s="236">
        <v>1</v>
      </c>
      <c r="E63" s="228"/>
      <c r="F63" s="228"/>
      <c r="G63" s="228"/>
      <c r="H63" s="237">
        <v>1</v>
      </c>
      <c r="I63" s="237">
        <v>1</v>
      </c>
      <c r="J63" s="237">
        <v>1</v>
      </c>
      <c r="K63" s="228"/>
      <c r="L63" s="238">
        <v>1</v>
      </c>
      <c r="M63" s="228"/>
      <c r="N63" s="228"/>
      <c r="O63" s="228"/>
      <c r="P63" s="228"/>
      <c r="Q63" s="228"/>
      <c r="R63" s="228"/>
      <c r="S63" s="239">
        <v>1</v>
      </c>
      <c r="T63" s="239">
        <v>1</v>
      </c>
      <c r="U63" s="228"/>
      <c r="V63" s="228"/>
      <c r="W63" s="228"/>
      <c r="X63" s="242">
        <v>7</v>
      </c>
    </row>
    <row r="64" spans="1:24" ht="12.5" x14ac:dyDescent="0.25">
      <c r="B64" s="561"/>
      <c r="C64" s="241" t="s">
        <v>27</v>
      </c>
      <c r="D64" s="236">
        <v>1</v>
      </c>
      <c r="E64" s="228"/>
      <c r="F64" s="228"/>
      <c r="G64" s="228"/>
      <c r="H64" s="237">
        <v>1</v>
      </c>
      <c r="I64" s="228"/>
      <c r="J64" s="237">
        <v>1</v>
      </c>
      <c r="K64" s="237">
        <v>1</v>
      </c>
      <c r="L64" s="238">
        <v>1</v>
      </c>
      <c r="M64" s="228"/>
      <c r="N64" s="238">
        <v>1</v>
      </c>
      <c r="O64" s="228"/>
      <c r="P64" s="228"/>
      <c r="Q64" s="228"/>
      <c r="R64" s="228"/>
      <c r="S64" s="239">
        <v>1</v>
      </c>
      <c r="T64" s="239">
        <v>1</v>
      </c>
      <c r="U64" s="228"/>
      <c r="V64" s="228"/>
      <c r="W64" s="228"/>
      <c r="X64" s="242">
        <v>8</v>
      </c>
    </row>
    <row r="65" spans="2:24" ht="12.5" x14ac:dyDescent="0.25">
      <c r="B65" s="561"/>
      <c r="C65" s="241" t="s">
        <v>56</v>
      </c>
      <c r="D65" s="236">
        <v>1</v>
      </c>
      <c r="E65" s="228"/>
      <c r="F65" s="228"/>
      <c r="G65" s="228"/>
      <c r="H65" s="237">
        <v>1</v>
      </c>
      <c r="I65" s="237">
        <v>1</v>
      </c>
      <c r="J65" s="237">
        <v>1</v>
      </c>
      <c r="K65" s="228"/>
      <c r="L65" s="238">
        <v>1</v>
      </c>
      <c r="M65" s="228"/>
      <c r="N65" s="228"/>
      <c r="O65" s="228"/>
      <c r="P65" s="228"/>
      <c r="Q65" s="228"/>
      <c r="R65" s="240">
        <v>1</v>
      </c>
      <c r="S65" s="239">
        <v>1</v>
      </c>
      <c r="T65" s="239">
        <v>1</v>
      </c>
      <c r="U65" s="228"/>
      <c r="V65" s="228"/>
      <c r="W65" s="228"/>
      <c r="X65" s="242">
        <v>8</v>
      </c>
    </row>
    <row r="66" spans="2:24" ht="12.5" x14ac:dyDescent="0.25">
      <c r="B66" s="561"/>
      <c r="C66" s="241" t="s">
        <v>28</v>
      </c>
      <c r="D66" s="236">
        <v>1</v>
      </c>
      <c r="E66" s="228"/>
      <c r="F66" s="228"/>
      <c r="G66" s="228"/>
      <c r="H66" s="237">
        <v>1</v>
      </c>
      <c r="I66" s="237">
        <v>1</v>
      </c>
      <c r="J66" s="237">
        <v>1</v>
      </c>
      <c r="K66" s="228"/>
      <c r="L66" s="238">
        <v>1</v>
      </c>
      <c r="M66" s="228"/>
      <c r="N66" s="238">
        <v>1</v>
      </c>
      <c r="O66" s="228"/>
      <c r="P66" s="228"/>
      <c r="Q66" s="228"/>
      <c r="R66" s="228"/>
      <c r="S66" s="239">
        <v>1</v>
      </c>
      <c r="T66" s="228"/>
      <c r="U66" s="228"/>
      <c r="V66" s="239">
        <v>1</v>
      </c>
      <c r="W66" s="228"/>
      <c r="X66" s="242">
        <v>8</v>
      </c>
    </row>
    <row r="67" spans="2:24" ht="12.5" x14ac:dyDescent="0.25">
      <c r="B67" s="561"/>
      <c r="C67" s="241" t="s">
        <v>29</v>
      </c>
      <c r="D67" s="236">
        <v>1</v>
      </c>
      <c r="E67" s="228"/>
      <c r="F67" s="228"/>
      <c r="G67" s="228"/>
      <c r="H67" s="237">
        <v>1</v>
      </c>
      <c r="I67" s="237">
        <v>1</v>
      </c>
      <c r="J67" s="237">
        <v>1</v>
      </c>
      <c r="K67" s="228"/>
      <c r="L67" s="228"/>
      <c r="M67" s="228"/>
      <c r="N67" s="228"/>
      <c r="O67" s="238">
        <v>1</v>
      </c>
      <c r="P67" s="228"/>
      <c r="Q67" s="228"/>
      <c r="R67" s="228"/>
      <c r="S67" s="239">
        <v>1</v>
      </c>
      <c r="T67" s="228"/>
      <c r="U67" s="228"/>
      <c r="V67" s="228"/>
      <c r="W67" s="228"/>
      <c r="X67" s="242">
        <v>6</v>
      </c>
    </row>
    <row r="68" spans="2:24" ht="12.5" x14ac:dyDescent="0.25">
      <c r="B68" s="561"/>
      <c r="C68" s="241" t="s">
        <v>19</v>
      </c>
      <c r="D68" s="236">
        <v>1</v>
      </c>
      <c r="E68" s="228"/>
      <c r="F68" s="228"/>
      <c r="G68" s="228"/>
      <c r="H68" s="237">
        <v>1</v>
      </c>
      <c r="I68" s="237">
        <v>1</v>
      </c>
      <c r="J68" s="237">
        <v>1</v>
      </c>
      <c r="K68" s="237">
        <v>1</v>
      </c>
      <c r="L68" s="228"/>
      <c r="M68" s="228"/>
      <c r="N68" s="238">
        <v>1</v>
      </c>
      <c r="O68" s="228"/>
      <c r="P68" s="228"/>
      <c r="Q68" s="228"/>
      <c r="R68" s="228"/>
      <c r="S68" s="239">
        <v>1</v>
      </c>
      <c r="T68" s="239">
        <v>1</v>
      </c>
      <c r="U68" s="228"/>
      <c r="V68" s="239">
        <v>1</v>
      </c>
      <c r="W68" s="228"/>
      <c r="X68" s="242">
        <v>9</v>
      </c>
    </row>
    <row r="69" spans="2:24" ht="12.5" x14ac:dyDescent="0.25">
      <c r="B69" s="561"/>
      <c r="C69" s="241" t="s">
        <v>23</v>
      </c>
      <c r="D69" s="236">
        <v>1</v>
      </c>
      <c r="E69" s="228"/>
      <c r="F69" s="228"/>
      <c r="G69" s="228"/>
      <c r="H69" s="237">
        <v>1</v>
      </c>
      <c r="I69" s="237">
        <v>1</v>
      </c>
      <c r="J69" s="237">
        <v>1</v>
      </c>
      <c r="K69" s="228"/>
      <c r="L69" s="238">
        <v>1</v>
      </c>
      <c r="M69" s="228"/>
      <c r="N69" s="228"/>
      <c r="O69" s="228"/>
      <c r="P69" s="228"/>
      <c r="Q69" s="228"/>
      <c r="R69" s="228"/>
      <c r="S69" s="228"/>
      <c r="T69" s="239">
        <v>1</v>
      </c>
      <c r="U69" s="228"/>
      <c r="V69" s="239">
        <v>1</v>
      </c>
      <c r="W69" s="228"/>
      <c r="X69" s="242">
        <v>7</v>
      </c>
    </row>
    <row r="70" spans="2:24" ht="12.5" x14ac:dyDescent="0.25">
      <c r="B70" s="561"/>
      <c r="C70" s="241" t="s">
        <v>20</v>
      </c>
      <c r="D70" s="236">
        <v>1</v>
      </c>
      <c r="E70" s="228"/>
      <c r="F70" s="228"/>
      <c r="G70" s="228"/>
      <c r="H70" s="237">
        <v>1</v>
      </c>
      <c r="I70" s="237">
        <v>1</v>
      </c>
      <c r="J70" s="237">
        <v>1</v>
      </c>
      <c r="K70" s="237">
        <v>1</v>
      </c>
      <c r="L70" s="238">
        <v>1</v>
      </c>
      <c r="M70" s="228"/>
      <c r="N70" s="238">
        <v>1</v>
      </c>
      <c r="O70" s="228"/>
      <c r="P70" s="228"/>
      <c r="Q70" s="240">
        <v>1</v>
      </c>
      <c r="R70" s="228"/>
      <c r="S70" s="239">
        <v>1</v>
      </c>
      <c r="T70" s="239">
        <v>1</v>
      </c>
      <c r="U70" s="228"/>
      <c r="V70" s="228"/>
      <c r="W70" s="228"/>
      <c r="X70" s="242">
        <v>10</v>
      </c>
    </row>
    <row r="71" spans="2:24" ht="12.5" x14ac:dyDescent="0.25">
      <c r="B71" s="561"/>
      <c r="C71" s="241" t="s">
        <v>18</v>
      </c>
      <c r="D71" s="236">
        <v>1</v>
      </c>
      <c r="E71" s="228"/>
      <c r="F71" s="236">
        <v>1</v>
      </c>
      <c r="G71" s="228"/>
      <c r="H71" s="237">
        <v>1</v>
      </c>
      <c r="I71" s="237">
        <v>1</v>
      </c>
      <c r="J71" s="237">
        <v>1</v>
      </c>
      <c r="K71" s="228"/>
      <c r="L71" s="238">
        <v>1</v>
      </c>
      <c r="M71" s="228"/>
      <c r="N71" s="228"/>
      <c r="O71" s="228"/>
      <c r="P71" s="240">
        <v>1</v>
      </c>
      <c r="Q71" s="240">
        <v>1</v>
      </c>
      <c r="R71" s="228"/>
      <c r="S71" s="239">
        <v>1</v>
      </c>
      <c r="T71" s="239">
        <v>1</v>
      </c>
      <c r="U71" s="228"/>
      <c r="V71" s="239">
        <v>1</v>
      </c>
      <c r="W71" s="228"/>
      <c r="X71" s="242">
        <v>11</v>
      </c>
    </row>
    <row r="72" spans="2:24" ht="12.5" x14ac:dyDescent="0.25">
      <c r="B72" s="561"/>
      <c r="C72" s="241" t="s">
        <v>133</v>
      </c>
      <c r="D72" s="236">
        <v>1</v>
      </c>
      <c r="E72" s="228"/>
      <c r="F72" s="228"/>
      <c r="G72" s="228"/>
      <c r="H72" s="237">
        <v>1</v>
      </c>
      <c r="I72" s="237">
        <v>1</v>
      </c>
      <c r="J72" s="237">
        <v>1</v>
      </c>
      <c r="K72" s="237">
        <v>1</v>
      </c>
      <c r="L72" s="238">
        <v>1</v>
      </c>
      <c r="M72" s="228"/>
      <c r="N72" s="228"/>
      <c r="O72" s="228"/>
      <c r="P72" s="228"/>
      <c r="Q72" s="228"/>
      <c r="R72" s="228"/>
      <c r="S72" s="228"/>
      <c r="T72" s="239">
        <v>1</v>
      </c>
      <c r="U72" s="228"/>
      <c r="V72" s="228"/>
      <c r="W72" s="228"/>
      <c r="X72" s="242">
        <v>7</v>
      </c>
    </row>
    <row r="73" spans="2:24" ht="12.5" x14ac:dyDescent="0.25">
      <c r="B73" s="561"/>
      <c r="C73" s="241" t="s">
        <v>36</v>
      </c>
      <c r="D73" s="228"/>
      <c r="E73" s="228"/>
      <c r="F73" s="228"/>
      <c r="G73" s="228"/>
      <c r="H73" s="237">
        <v>1</v>
      </c>
      <c r="I73" s="228"/>
      <c r="J73" s="228"/>
      <c r="K73" s="228"/>
      <c r="L73" s="238">
        <v>1</v>
      </c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42">
        <v>2</v>
      </c>
    </row>
    <row r="74" spans="2:24" ht="12.5" x14ac:dyDescent="0.25">
      <c r="B74" s="561"/>
      <c r="C74" s="241" t="s">
        <v>35</v>
      </c>
      <c r="D74" s="236">
        <v>1</v>
      </c>
      <c r="E74" s="228"/>
      <c r="F74" s="236">
        <v>1</v>
      </c>
      <c r="G74" s="228"/>
      <c r="H74" s="237">
        <v>1</v>
      </c>
      <c r="I74" s="237">
        <v>1</v>
      </c>
      <c r="J74" s="237">
        <v>1</v>
      </c>
      <c r="K74" s="228"/>
      <c r="L74" s="228"/>
      <c r="M74" s="228"/>
      <c r="N74" s="228"/>
      <c r="O74" s="228"/>
      <c r="P74" s="228"/>
      <c r="Q74" s="228"/>
      <c r="R74" s="228"/>
      <c r="S74" s="228"/>
      <c r="T74" s="239">
        <v>1</v>
      </c>
      <c r="U74" s="228"/>
      <c r="V74" s="228"/>
      <c r="W74" s="239">
        <v>1</v>
      </c>
      <c r="X74" s="242">
        <v>7</v>
      </c>
    </row>
    <row r="75" spans="2:24" ht="12.5" x14ac:dyDescent="0.25">
      <c r="B75" s="562"/>
      <c r="C75" s="241" t="s">
        <v>58</v>
      </c>
      <c r="D75" s="236">
        <v>1</v>
      </c>
      <c r="E75" s="243"/>
      <c r="F75" s="243"/>
      <c r="G75" s="243"/>
      <c r="H75" s="237">
        <v>1</v>
      </c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39">
        <v>1</v>
      </c>
      <c r="U75" s="228"/>
      <c r="V75" s="228"/>
      <c r="W75" s="228"/>
      <c r="X75" s="242">
        <v>3</v>
      </c>
    </row>
    <row r="76" spans="2:24" ht="12.5" x14ac:dyDescent="0.25">
      <c r="B76" s="560" t="s">
        <v>236</v>
      </c>
      <c r="C76" s="241" t="s">
        <v>24</v>
      </c>
      <c r="D76" s="236">
        <v>1</v>
      </c>
      <c r="E76" s="228"/>
      <c r="F76" s="228"/>
      <c r="G76" s="228"/>
      <c r="H76" s="237">
        <v>1</v>
      </c>
      <c r="I76" s="237">
        <v>1</v>
      </c>
      <c r="J76" s="237">
        <v>1</v>
      </c>
      <c r="K76" s="228"/>
      <c r="L76" s="238">
        <v>1</v>
      </c>
      <c r="M76" s="228"/>
      <c r="N76" s="228"/>
      <c r="O76" s="228"/>
      <c r="P76" s="228"/>
      <c r="Q76" s="228"/>
      <c r="R76" s="240">
        <v>1</v>
      </c>
      <c r="S76" s="239">
        <v>1</v>
      </c>
      <c r="T76" s="239">
        <v>1</v>
      </c>
      <c r="U76" s="228"/>
      <c r="V76" s="228"/>
      <c r="W76" s="228"/>
      <c r="X76" s="242">
        <v>8</v>
      </c>
    </row>
    <row r="77" spans="2:24" ht="12.5" x14ac:dyDescent="0.25">
      <c r="B77" s="561"/>
      <c r="C77" s="241" t="s">
        <v>21</v>
      </c>
      <c r="D77" s="228"/>
      <c r="E77" s="228"/>
      <c r="F77" s="228"/>
      <c r="G77" s="228"/>
      <c r="H77" s="237">
        <v>1</v>
      </c>
      <c r="I77" s="237">
        <v>1</v>
      </c>
      <c r="J77" s="237">
        <v>1</v>
      </c>
      <c r="K77" s="228"/>
      <c r="L77" s="238">
        <v>1</v>
      </c>
      <c r="M77" s="228"/>
      <c r="N77" s="228"/>
      <c r="O77" s="228"/>
      <c r="P77" s="228"/>
      <c r="Q77" s="228"/>
      <c r="R77" s="228"/>
      <c r="S77" s="239">
        <v>1</v>
      </c>
      <c r="T77" s="239">
        <v>1</v>
      </c>
      <c r="U77" s="228"/>
      <c r="V77" s="228"/>
      <c r="W77" s="228"/>
      <c r="X77" s="242">
        <v>6</v>
      </c>
    </row>
    <row r="78" spans="2:24" ht="12.5" x14ac:dyDescent="0.25">
      <c r="B78" s="561"/>
      <c r="C78" s="227" t="s">
        <v>40</v>
      </c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42">
        <v>0</v>
      </c>
    </row>
    <row r="79" spans="2:24" ht="12.5" x14ac:dyDescent="0.25">
      <c r="B79" s="561"/>
      <c r="C79" s="241" t="s">
        <v>41</v>
      </c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42">
        <v>0</v>
      </c>
    </row>
    <row r="80" spans="2:24" ht="12.5" x14ac:dyDescent="0.25">
      <c r="B80" s="561"/>
      <c r="C80" s="241" t="s">
        <v>30</v>
      </c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42">
        <v>0</v>
      </c>
    </row>
    <row r="81" spans="1:24" ht="12.5" x14ac:dyDescent="0.25">
      <c r="B81" s="562"/>
      <c r="C81" s="241" t="s">
        <v>25</v>
      </c>
      <c r="D81" s="228"/>
      <c r="E81" s="228"/>
      <c r="F81" s="228"/>
      <c r="G81" s="228"/>
      <c r="H81" s="237">
        <v>1</v>
      </c>
      <c r="I81" s="237">
        <v>1</v>
      </c>
      <c r="J81" s="237">
        <v>1</v>
      </c>
      <c r="K81" s="228"/>
      <c r="L81" s="228"/>
      <c r="M81" s="228"/>
      <c r="N81" s="228"/>
      <c r="O81" s="228"/>
      <c r="P81" s="228"/>
      <c r="Q81" s="228"/>
      <c r="R81" s="240">
        <v>1</v>
      </c>
      <c r="S81" s="228"/>
      <c r="T81" s="228"/>
      <c r="U81" s="228"/>
      <c r="V81" s="228"/>
      <c r="W81" s="228"/>
      <c r="X81" s="242">
        <v>4</v>
      </c>
    </row>
    <row r="82" spans="1:24" ht="12.5" x14ac:dyDescent="0.25">
      <c r="B82" s="560" t="s">
        <v>237</v>
      </c>
      <c r="C82" s="241" t="s">
        <v>32</v>
      </c>
      <c r="D82" s="228"/>
      <c r="E82" s="228"/>
      <c r="F82" s="228"/>
      <c r="G82" s="228"/>
      <c r="H82" s="237">
        <v>1</v>
      </c>
      <c r="I82" s="237">
        <v>1</v>
      </c>
      <c r="J82" s="237">
        <v>1</v>
      </c>
      <c r="K82" s="237">
        <v>1</v>
      </c>
      <c r="L82" s="228"/>
      <c r="M82" s="228"/>
      <c r="N82" s="228"/>
      <c r="O82" s="228"/>
      <c r="P82" s="228"/>
      <c r="Q82" s="228"/>
      <c r="R82" s="228"/>
      <c r="S82" s="239">
        <v>1</v>
      </c>
      <c r="T82" s="239">
        <v>1</v>
      </c>
      <c r="U82" s="239">
        <v>1</v>
      </c>
      <c r="V82" s="228"/>
      <c r="W82" s="228"/>
      <c r="X82" s="242">
        <v>7</v>
      </c>
    </row>
    <row r="83" spans="1:24" ht="12.5" x14ac:dyDescent="0.25">
      <c r="B83" s="561"/>
      <c r="C83" s="241" t="s">
        <v>34</v>
      </c>
      <c r="D83" s="236">
        <v>1</v>
      </c>
      <c r="E83" s="228"/>
      <c r="F83" s="228"/>
      <c r="G83" s="228"/>
      <c r="H83" s="237">
        <v>1</v>
      </c>
      <c r="I83" s="237">
        <v>1</v>
      </c>
      <c r="J83" s="237">
        <v>1</v>
      </c>
      <c r="K83" s="237">
        <v>1</v>
      </c>
      <c r="L83" s="228"/>
      <c r="M83" s="228"/>
      <c r="N83" s="228"/>
      <c r="O83" s="228"/>
      <c r="P83" s="228"/>
      <c r="Q83" s="240">
        <v>1</v>
      </c>
      <c r="R83" s="228"/>
      <c r="S83" s="239">
        <v>1</v>
      </c>
      <c r="T83" s="239">
        <v>1</v>
      </c>
      <c r="U83" s="228"/>
      <c r="V83" s="228"/>
      <c r="W83" s="228"/>
      <c r="X83" s="242">
        <v>8</v>
      </c>
    </row>
    <row r="84" spans="1:24" ht="12.5" x14ac:dyDescent="0.25">
      <c r="B84" s="561"/>
      <c r="C84" s="241" t="s">
        <v>31</v>
      </c>
      <c r="D84" s="228"/>
      <c r="E84" s="228"/>
      <c r="F84" s="228"/>
      <c r="G84" s="228"/>
      <c r="H84" s="237">
        <v>1</v>
      </c>
      <c r="I84" s="237">
        <v>1</v>
      </c>
      <c r="J84" s="237">
        <v>1</v>
      </c>
      <c r="K84" s="237">
        <v>1</v>
      </c>
      <c r="L84" s="238">
        <v>1</v>
      </c>
      <c r="M84" s="228"/>
      <c r="N84" s="228"/>
      <c r="O84" s="238">
        <v>1</v>
      </c>
      <c r="P84" s="240">
        <v>1</v>
      </c>
      <c r="Q84" s="228"/>
      <c r="R84" s="228"/>
      <c r="S84" s="228"/>
      <c r="T84" s="228"/>
      <c r="U84" s="239">
        <v>1</v>
      </c>
      <c r="V84" s="228"/>
      <c r="W84" s="228"/>
      <c r="X84" s="242">
        <v>8</v>
      </c>
    </row>
    <row r="85" spans="1:24" ht="12.5" x14ac:dyDescent="0.25">
      <c r="B85" s="562"/>
      <c r="C85" s="241" t="s">
        <v>38</v>
      </c>
      <c r="D85" s="228"/>
      <c r="E85" s="228"/>
      <c r="F85" s="228"/>
      <c r="G85" s="228"/>
      <c r="H85" s="237">
        <v>1</v>
      </c>
      <c r="I85" s="237">
        <v>1</v>
      </c>
      <c r="J85" s="237">
        <v>1</v>
      </c>
      <c r="K85" s="228"/>
      <c r="L85" s="238">
        <v>1</v>
      </c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42">
        <v>4</v>
      </c>
    </row>
    <row r="86" spans="1:24" ht="12.5" x14ac:dyDescent="0.25">
      <c r="B86" s="560" t="s">
        <v>238</v>
      </c>
      <c r="C86" s="241" t="s">
        <v>33</v>
      </c>
      <c r="D86" s="228"/>
      <c r="E86" s="228"/>
      <c r="F86" s="228"/>
      <c r="G86" s="228"/>
      <c r="H86" s="237">
        <v>1</v>
      </c>
      <c r="I86" s="237">
        <v>1</v>
      </c>
      <c r="J86" s="237">
        <v>1</v>
      </c>
      <c r="K86" s="228"/>
      <c r="L86" s="238">
        <v>1</v>
      </c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39">
        <v>1</v>
      </c>
      <c r="X86" s="242">
        <v>5</v>
      </c>
    </row>
    <row r="87" spans="1:24" ht="12.5" x14ac:dyDescent="0.25">
      <c r="B87" s="562"/>
      <c r="C87" s="241" t="s">
        <v>37</v>
      </c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42">
        <v>0</v>
      </c>
    </row>
    <row r="88" spans="1:24" x14ac:dyDescent="0.25">
      <c r="B88" s="556" t="s">
        <v>239</v>
      </c>
      <c r="C88" s="563"/>
      <c r="D88" s="244">
        <v>14</v>
      </c>
      <c r="E88" s="244">
        <v>0</v>
      </c>
      <c r="F88" s="245">
        <v>2</v>
      </c>
      <c r="G88" s="244">
        <v>0</v>
      </c>
      <c r="H88" s="246">
        <v>21</v>
      </c>
      <c r="I88" s="247">
        <v>18</v>
      </c>
      <c r="J88" s="247">
        <v>19</v>
      </c>
      <c r="K88" s="247">
        <v>7</v>
      </c>
      <c r="L88" s="244">
        <v>14</v>
      </c>
      <c r="M88" s="244">
        <v>0</v>
      </c>
      <c r="N88" s="244">
        <v>4</v>
      </c>
      <c r="O88" s="244">
        <v>2</v>
      </c>
      <c r="P88" s="244">
        <v>2</v>
      </c>
      <c r="Q88" s="244">
        <v>3</v>
      </c>
      <c r="R88" s="248">
        <v>3</v>
      </c>
      <c r="S88" s="244">
        <v>12</v>
      </c>
      <c r="T88" s="244">
        <v>14</v>
      </c>
      <c r="U88" s="244">
        <v>2</v>
      </c>
      <c r="V88" s="244">
        <v>4</v>
      </c>
      <c r="W88" s="244">
        <v>2</v>
      </c>
      <c r="X88" s="249">
        <v>143</v>
      </c>
    </row>
    <row r="90" spans="1:24" ht="28" x14ac:dyDescent="0.25">
      <c r="A90" s="225" t="s">
        <v>249</v>
      </c>
      <c r="B90" s="548" t="s">
        <v>0</v>
      </c>
      <c r="C90" s="549"/>
      <c r="D90" s="250" t="s">
        <v>210</v>
      </c>
      <c r="E90" s="251"/>
      <c r="F90" s="251"/>
      <c r="G90" s="252"/>
      <c r="H90" s="253" t="s">
        <v>211</v>
      </c>
      <c r="I90" s="254"/>
      <c r="J90" s="254"/>
      <c r="K90" s="254"/>
      <c r="L90" s="255" t="s">
        <v>212</v>
      </c>
      <c r="M90" s="256"/>
      <c r="N90" s="256"/>
      <c r="O90" s="257"/>
      <c r="P90" s="258" t="s">
        <v>213</v>
      </c>
      <c r="Q90" s="259"/>
      <c r="R90" s="260"/>
      <c r="S90" s="261" t="s">
        <v>214</v>
      </c>
      <c r="T90" s="262"/>
      <c r="U90" s="262"/>
      <c r="V90" s="262"/>
      <c r="W90" s="263"/>
      <c r="X90" s="264" t="s">
        <v>215</v>
      </c>
    </row>
    <row r="91" spans="1:24" ht="22" customHeight="1" x14ac:dyDescent="0.25">
      <c r="A91" s="225" t="s">
        <v>253</v>
      </c>
      <c r="B91" s="550"/>
      <c r="C91" s="551"/>
      <c r="D91" s="265" t="s">
        <v>210</v>
      </c>
      <c r="E91" s="266" t="s">
        <v>216</v>
      </c>
      <c r="F91" s="265" t="s">
        <v>217</v>
      </c>
      <c r="G91" s="265" t="s">
        <v>218</v>
      </c>
      <c r="H91" s="267" t="s">
        <v>251</v>
      </c>
      <c r="I91" s="268" t="s">
        <v>220</v>
      </c>
      <c r="J91" s="268" t="s">
        <v>221</v>
      </c>
      <c r="K91" s="268" t="s">
        <v>222</v>
      </c>
      <c r="L91" s="269" t="s">
        <v>223</v>
      </c>
      <c r="M91" s="269" t="s">
        <v>224</v>
      </c>
      <c r="N91" s="269" t="s">
        <v>252</v>
      </c>
      <c r="O91" s="269" t="s">
        <v>226</v>
      </c>
      <c r="P91" s="270" t="s">
        <v>227</v>
      </c>
      <c r="Q91" s="270" t="s">
        <v>228</v>
      </c>
      <c r="R91" s="270" t="s">
        <v>229</v>
      </c>
      <c r="S91" s="271" t="s">
        <v>230</v>
      </c>
      <c r="T91" s="271" t="s">
        <v>231</v>
      </c>
      <c r="U91" s="271" t="s">
        <v>232</v>
      </c>
      <c r="V91" s="271" t="s">
        <v>233</v>
      </c>
      <c r="W91" s="271" t="s">
        <v>234</v>
      </c>
      <c r="X91" s="272"/>
    </row>
    <row r="92" spans="1:24" ht="41.15" hidden="1" customHeight="1" x14ac:dyDescent="0.25">
      <c r="B92" s="552"/>
      <c r="C92" s="551"/>
      <c r="D92" s="273"/>
      <c r="E92" s="274"/>
      <c r="F92" s="273"/>
      <c r="G92" s="273"/>
      <c r="H92" s="275"/>
      <c r="I92" s="276"/>
      <c r="J92" s="276"/>
      <c r="K92" s="276"/>
      <c r="L92" s="277"/>
      <c r="M92" s="277"/>
      <c r="N92" s="277"/>
      <c r="O92" s="277"/>
      <c r="P92" s="278"/>
      <c r="Q92" s="278"/>
      <c r="R92" s="278"/>
      <c r="S92" s="279"/>
      <c r="T92" s="279"/>
      <c r="U92" s="279"/>
      <c r="V92" s="279"/>
      <c r="W92" s="279"/>
      <c r="X92" s="272"/>
    </row>
    <row r="93" spans="1:24" x14ac:dyDescent="0.25">
      <c r="B93" s="553" t="s">
        <v>235</v>
      </c>
      <c r="C93" s="280" t="s">
        <v>26</v>
      </c>
      <c r="D93" s="281">
        <v>1</v>
      </c>
      <c r="E93" s="282"/>
      <c r="F93" s="282"/>
      <c r="G93" s="282"/>
      <c r="H93" s="283">
        <v>1</v>
      </c>
      <c r="I93" s="283">
        <v>1</v>
      </c>
      <c r="J93" s="283">
        <v>1</v>
      </c>
      <c r="K93" s="282"/>
      <c r="L93" s="284">
        <v>1</v>
      </c>
      <c r="M93" s="282"/>
      <c r="N93" s="282"/>
      <c r="O93" s="282"/>
      <c r="P93" s="282"/>
      <c r="Q93" s="282"/>
      <c r="R93" s="285">
        <v>1</v>
      </c>
      <c r="S93" s="286">
        <v>1</v>
      </c>
      <c r="T93" s="286">
        <v>1</v>
      </c>
      <c r="U93" s="282"/>
      <c r="V93" s="282"/>
      <c r="W93" s="282"/>
      <c r="X93" s="280">
        <v>8</v>
      </c>
    </row>
    <row r="94" spans="1:24" x14ac:dyDescent="0.25">
      <c r="B94" s="554"/>
      <c r="C94" s="280" t="s">
        <v>27</v>
      </c>
      <c r="D94" s="287">
        <v>1</v>
      </c>
      <c r="E94" s="288"/>
      <c r="F94" s="288"/>
      <c r="G94" s="288"/>
      <c r="H94" s="283">
        <v>1</v>
      </c>
      <c r="I94" s="288"/>
      <c r="J94" s="283">
        <v>1</v>
      </c>
      <c r="K94" s="283">
        <v>1</v>
      </c>
      <c r="L94" s="289">
        <v>1</v>
      </c>
      <c r="M94" s="288"/>
      <c r="N94" s="289">
        <v>1</v>
      </c>
      <c r="O94" s="288"/>
      <c r="P94" s="288"/>
      <c r="Q94" s="288"/>
      <c r="R94" s="288"/>
      <c r="S94" s="290">
        <v>1</v>
      </c>
      <c r="T94" s="290">
        <v>1</v>
      </c>
      <c r="U94" s="288"/>
      <c r="V94" s="288"/>
      <c r="W94" s="288"/>
      <c r="X94" s="280">
        <v>8</v>
      </c>
    </row>
    <row r="95" spans="1:24" x14ac:dyDescent="0.25">
      <c r="B95" s="554"/>
      <c r="C95" s="280" t="s">
        <v>56</v>
      </c>
      <c r="D95" s="287">
        <v>1</v>
      </c>
      <c r="E95" s="288"/>
      <c r="F95" s="288"/>
      <c r="G95" s="288"/>
      <c r="H95" s="291">
        <v>1</v>
      </c>
      <c r="I95" s="291">
        <v>1</v>
      </c>
      <c r="J95" s="291">
        <v>1</v>
      </c>
      <c r="K95" s="288"/>
      <c r="L95" s="289">
        <v>1</v>
      </c>
      <c r="M95" s="288"/>
      <c r="N95" s="288"/>
      <c r="O95" s="288"/>
      <c r="P95" s="288"/>
      <c r="Q95" s="288"/>
      <c r="R95" s="285">
        <v>1</v>
      </c>
      <c r="S95" s="290">
        <v>1</v>
      </c>
      <c r="T95" s="290">
        <v>1</v>
      </c>
      <c r="U95" s="288"/>
      <c r="V95" s="288"/>
      <c r="W95" s="288"/>
      <c r="X95" s="280">
        <v>8</v>
      </c>
    </row>
    <row r="96" spans="1:24" ht="14" x14ac:dyDescent="0.3">
      <c r="B96" s="554"/>
      <c r="C96" s="280" t="s">
        <v>28</v>
      </c>
      <c r="D96" s="287">
        <v>1</v>
      </c>
      <c r="E96" s="288"/>
      <c r="F96" s="288"/>
      <c r="G96" s="288"/>
      <c r="H96" s="291">
        <v>1</v>
      </c>
      <c r="I96" s="291">
        <v>1</v>
      </c>
      <c r="J96" s="291">
        <v>1</v>
      </c>
      <c r="K96" s="291">
        <v>1</v>
      </c>
      <c r="L96" s="289">
        <v>1</v>
      </c>
      <c r="M96" s="288"/>
      <c r="N96" s="289">
        <v>1</v>
      </c>
      <c r="O96" s="288"/>
      <c r="P96" s="288"/>
      <c r="Q96" s="288"/>
      <c r="R96" s="292"/>
      <c r="S96" s="290">
        <v>1</v>
      </c>
      <c r="T96" s="288"/>
      <c r="U96" s="288"/>
      <c r="V96" s="290">
        <v>1</v>
      </c>
      <c r="W96" s="288"/>
      <c r="X96" s="280">
        <v>9</v>
      </c>
    </row>
    <row r="97" spans="2:24" x14ac:dyDescent="0.25">
      <c r="B97" s="554"/>
      <c r="C97" s="280" t="s">
        <v>29</v>
      </c>
      <c r="D97" s="287">
        <v>1</v>
      </c>
      <c r="E97" s="288"/>
      <c r="F97" s="288"/>
      <c r="G97" s="288"/>
      <c r="H97" s="291">
        <v>1</v>
      </c>
      <c r="I97" s="291">
        <v>1</v>
      </c>
      <c r="J97" s="291">
        <v>1</v>
      </c>
      <c r="K97" s="282"/>
      <c r="L97" s="288"/>
      <c r="M97" s="288"/>
      <c r="N97" s="288"/>
      <c r="O97" s="289">
        <v>1</v>
      </c>
      <c r="P97" s="288"/>
      <c r="Q97" s="288"/>
      <c r="R97" s="288"/>
      <c r="S97" s="290">
        <v>1</v>
      </c>
      <c r="T97" s="288"/>
      <c r="U97" s="288"/>
      <c r="V97" s="288"/>
      <c r="W97" s="288"/>
      <c r="X97" s="280">
        <v>6</v>
      </c>
    </row>
    <row r="98" spans="2:24" x14ac:dyDescent="0.25">
      <c r="B98" s="554"/>
      <c r="C98" s="280" t="s">
        <v>19</v>
      </c>
      <c r="D98" s="287">
        <v>1</v>
      </c>
      <c r="E98" s="288"/>
      <c r="F98" s="288"/>
      <c r="G98" s="288"/>
      <c r="H98" s="291">
        <v>1</v>
      </c>
      <c r="I98" s="291">
        <v>1</v>
      </c>
      <c r="J98" s="291">
        <v>1</v>
      </c>
      <c r="K98" s="291">
        <v>1</v>
      </c>
      <c r="L98" s="288"/>
      <c r="M98" s="288"/>
      <c r="N98" s="289">
        <v>1</v>
      </c>
      <c r="O98" s="289">
        <v>1</v>
      </c>
      <c r="P98" s="293">
        <v>1</v>
      </c>
      <c r="Q98" s="293">
        <v>1</v>
      </c>
      <c r="R98" s="288"/>
      <c r="S98" s="290">
        <v>1</v>
      </c>
      <c r="T98" s="290">
        <v>1</v>
      </c>
      <c r="U98" s="288"/>
      <c r="V98" s="290">
        <v>1</v>
      </c>
      <c r="W98" s="288"/>
      <c r="X98" s="280">
        <v>12</v>
      </c>
    </row>
    <row r="99" spans="2:24" x14ac:dyDescent="0.25">
      <c r="B99" s="554"/>
      <c r="C99" s="280" t="s">
        <v>23</v>
      </c>
      <c r="D99" s="287">
        <v>1</v>
      </c>
      <c r="E99" s="288"/>
      <c r="F99" s="288"/>
      <c r="G99" s="288"/>
      <c r="H99" s="291">
        <v>1</v>
      </c>
      <c r="I99" s="291">
        <v>1</v>
      </c>
      <c r="J99" s="291">
        <v>1</v>
      </c>
      <c r="K99" s="288"/>
      <c r="L99" s="294">
        <v>1</v>
      </c>
      <c r="M99" s="288"/>
      <c r="N99" s="288"/>
      <c r="O99" s="288"/>
      <c r="P99" s="288"/>
      <c r="Q99" s="288"/>
      <c r="R99" s="288"/>
      <c r="S99" s="288"/>
      <c r="T99" s="290">
        <v>1</v>
      </c>
      <c r="U99" s="288"/>
      <c r="V99" s="290">
        <v>1</v>
      </c>
      <c r="W99" s="288"/>
      <c r="X99" s="280">
        <v>7</v>
      </c>
    </row>
    <row r="100" spans="2:24" x14ac:dyDescent="0.25">
      <c r="B100" s="554"/>
      <c r="C100" s="280" t="s">
        <v>20</v>
      </c>
      <c r="D100" s="287">
        <v>1</v>
      </c>
      <c r="E100" s="288"/>
      <c r="F100" s="288"/>
      <c r="G100" s="288"/>
      <c r="H100" s="291">
        <v>1</v>
      </c>
      <c r="I100" s="291">
        <v>1</v>
      </c>
      <c r="J100" s="291">
        <v>1</v>
      </c>
      <c r="K100" s="291">
        <v>1</v>
      </c>
      <c r="L100" s="289">
        <v>1</v>
      </c>
      <c r="M100" s="288"/>
      <c r="N100" s="289">
        <v>1</v>
      </c>
      <c r="O100" s="288"/>
      <c r="P100" s="288"/>
      <c r="Q100" s="288"/>
      <c r="R100" s="288"/>
      <c r="S100" s="290">
        <v>1</v>
      </c>
      <c r="T100" s="290">
        <v>1</v>
      </c>
      <c r="U100" s="288"/>
      <c r="V100" s="288"/>
      <c r="W100" s="288"/>
      <c r="X100" s="280">
        <v>9</v>
      </c>
    </row>
    <row r="101" spans="2:24" x14ac:dyDescent="0.25">
      <c r="B101" s="554"/>
      <c r="C101" s="280" t="s">
        <v>18</v>
      </c>
      <c r="D101" s="287">
        <v>1</v>
      </c>
      <c r="E101" s="288"/>
      <c r="F101" s="288"/>
      <c r="G101" s="288"/>
      <c r="H101" s="291">
        <v>1</v>
      </c>
      <c r="I101" s="291">
        <v>1</v>
      </c>
      <c r="J101" s="291">
        <v>1</v>
      </c>
      <c r="K101" s="288"/>
      <c r="L101" s="289">
        <v>1</v>
      </c>
      <c r="M101" s="288"/>
      <c r="N101" s="288"/>
      <c r="O101" s="288"/>
      <c r="P101" s="285">
        <v>1</v>
      </c>
      <c r="Q101" s="285">
        <v>1</v>
      </c>
      <c r="R101" s="288"/>
      <c r="S101" s="290">
        <v>1</v>
      </c>
      <c r="T101" s="290">
        <v>1</v>
      </c>
      <c r="U101" s="288"/>
      <c r="V101" s="290">
        <v>1</v>
      </c>
      <c r="W101" s="288"/>
      <c r="X101" s="280">
        <v>10</v>
      </c>
    </row>
    <row r="102" spans="2:24" x14ac:dyDescent="0.25">
      <c r="B102" s="554"/>
      <c r="C102" s="280" t="s">
        <v>133</v>
      </c>
      <c r="D102" s="287">
        <v>1</v>
      </c>
      <c r="E102" s="288"/>
      <c r="F102" s="288"/>
      <c r="G102" s="288"/>
      <c r="H102" s="291">
        <v>1</v>
      </c>
      <c r="I102" s="291">
        <v>1</v>
      </c>
      <c r="J102" s="291">
        <v>1</v>
      </c>
      <c r="K102" s="291">
        <v>1</v>
      </c>
      <c r="L102" s="289">
        <v>1</v>
      </c>
      <c r="M102" s="288"/>
      <c r="N102" s="288"/>
      <c r="O102" s="288"/>
      <c r="P102" s="288"/>
      <c r="Q102" s="288"/>
      <c r="R102" s="288"/>
      <c r="S102" s="288"/>
      <c r="T102" s="290">
        <v>1</v>
      </c>
      <c r="U102" s="288"/>
      <c r="V102" s="288"/>
      <c r="W102" s="288"/>
      <c r="X102" s="280">
        <v>7</v>
      </c>
    </row>
    <row r="103" spans="2:24" x14ac:dyDescent="0.25">
      <c r="B103" s="554"/>
      <c r="C103" s="280" t="s">
        <v>36</v>
      </c>
      <c r="D103" s="288"/>
      <c r="E103" s="288"/>
      <c r="F103" s="288"/>
      <c r="G103" s="288"/>
      <c r="H103" s="291">
        <v>1</v>
      </c>
      <c r="I103" s="288"/>
      <c r="J103" s="288"/>
      <c r="K103" s="288"/>
      <c r="L103" s="289">
        <v>1</v>
      </c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0">
        <v>2</v>
      </c>
    </row>
    <row r="104" spans="2:24" x14ac:dyDescent="0.25">
      <c r="B104" s="554"/>
      <c r="C104" s="280" t="s">
        <v>35</v>
      </c>
      <c r="D104" s="287">
        <v>1</v>
      </c>
      <c r="E104" s="288"/>
      <c r="F104" s="287">
        <v>1</v>
      </c>
      <c r="G104" s="288"/>
      <c r="H104" s="291">
        <v>1</v>
      </c>
      <c r="I104" s="291">
        <v>1</v>
      </c>
      <c r="J104" s="291">
        <v>1</v>
      </c>
      <c r="K104" s="288"/>
      <c r="L104" s="288"/>
      <c r="M104" s="288"/>
      <c r="N104" s="288"/>
      <c r="O104" s="288"/>
      <c r="P104" s="288"/>
      <c r="Q104" s="288"/>
      <c r="R104" s="288"/>
      <c r="S104" s="288"/>
      <c r="T104" s="290">
        <v>1</v>
      </c>
      <c r="U104" s="288"/>
      <c r="V104" s="288"/>
      <c r="W104" s="290">
        <v>1</v>
      </c>
      <c r="X104" s="280">
        <v>7</v>
      </c>
    </row>
    <row r="105" spans="2:24" ht="14" x14ac:dyDescent="0.3">
      <c r="B105" s="555"/>
      <c r="C105" s="280" t="s">
        <v>58</v>
      </c>
      <c r="D105" s="287">
        <v>1</v>
      </c>
      <c r="E105" s="295"/>
      <c r="F105" s="295"/>
      <c r="G105" s="295"/>
      <c r="H105" s="291">
        <v>1</v>
      </c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90">
        <v>1</v>
      </c>
      <c r="U105" s="288"/>
      <c r="V105" s="288"/>
      <c r="W105" s="288"/>
      <c r="X105" s="280">
        <v>3</v>
      </c>
    </row>
    <row r="106" spans="2:24" x14ac:dyDescent="0.25">
      <c r="B106" s="553" t="s">
        <v>236</v>
      </c>
      <c r="C106" s="280" t="s">
        <v>24</v>
      </c>
      <c r="D106" s="287">
        <v>1</v>
      </c>
      <c r="E106" s="288"/>
      <c r="F106" s="288"/>
      <c r="G106" s="288"/>
      <c r="H106" s="291">
        <v>1</v>
      </c>
      <c r="I106" s="291">
        <v>1</v>
      </c>
      <c r="J106" s="291">
        <v>1</v>
      </c>
      <c r="K106" s="288"/>
      <c r="L106" s="289">
        <v>1</v>
      </c>
      <c r="M106" s="288"/>
      <c r="N106" s="288"/>
      <c r="O106" s="288"/>
      <c r="P106" s="288"/>
      <c r="Q106" s="288"/>
      <c r="R106" s="285">
        <v>1</v>
      </c>
      <c r="S106" s="290">
        <v>1</v>
      </c>
      <c r="T106" s="290">
        <v>1</v>
      </c>
      <c r="U106" s="288"/>
      <c r="V106" s="288"/>
      <c r="W106" s="288"/>
      <c r="X106" s="280">
        <v>8</v>
      </c>
    </row>
    <row r="107" spans="2:24" x14ac:dyDescent="0.25">
      <c r="B107" s="554"/>
      <c r="C107" s="280" t="s">
        <v>21</v>
      </c>
      <c r="D107" s="282"/>
      <c r="E107" s="282"/>
      <c r="F107" s="282"/>
      <c r="G107" s="282"/>
      <c r="H107" s="283">
        <v>1</v>
      </c>
      <c r="I107" s="283">
        <v>1</v>
      </c>
      <c r="J107" s="283">
        <v>1</v>
      </c>
      <c r="K107" s="282"/>
      <c r="L107" s="284">
        <v>1</v>
      </c>
      <c r="M107" s="282"/>
      <c r="N107" s="282"/>
      <c r="O107" s="282"/>
      <c r="P107" s="288"/>
      <c r="Q107" s="288"/>
      <c r="R107" s="288"/>
      <c r="S107" s="290">
        <v>1</v>
      </c>
      <c r="T107" s="290">
        <v>1</v>
      </c>
      <c r="U107" s="282"/>
      <c r="V107" s="282"/>
      <c r="W107" s="282"/>
      <c r="X107" s="280">
        <v>6</v>
      </c>
    </row>
    <row r="108" spans="2:24" x14ac:dyDescent="0.25">
      <c r="B108" s="554"/>
      <c r="C108" s="280" t="s">
        <v>41</v>
      </c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8"/>
      <c r="Q108" s="288"/>
      <c r="R108" s="288"/>
      <c r="S108" s="288"/>
      <c r="T108" s="288"/>
      <c r="U108" s="288"/>
      <c r="V108" s="288"/>
      <c r="W108" s="288"/>
      <c r="X108" s="280">
        <v>0</v>
      </c>
    </row>
    <row r="109" spans="2:24" x14ac:dyDescent="0.25">
      <c r="B109" s="554"/>
      <c r="C109" s="280" t="s">
        <v>30</v>
      </c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8"/>
      <c r="Q109" s="288"/>
      <c r="R109" s="288"/>
      <c r="S109" s="288"/>
      <c r="T109" s="288"/>
      <c r="U109" s="288"/>
      <c r="V109" s="288"/>
      <c r="W109" s="288"/>
      <c r="X109" s="280">
        <v>0</v>
      </c>
    </row>
    <row r="110" spans="2:24" x14ac:dyDescent="0.25">
      <c r="B110" s="555"/>
      <c r="C110" s="280" t="s">
        <v>25</v>
      </c>
      <c r="D110" s="282"/>
      <c r="E110" s="282"/>
      <c r="F110" s="282"/>
      <c r="G110" s="282"/>
      <c r="H110" s="283">
        <v>1</v>
      </c>
      <c r="I110" s="283">
        <v>1</v>
      </c>
      <c r="J110" s="283">
        <v>1</v>
      </c>
      <c r="K110" s="282"/>
      <c r="L110" s="282"/>
      <c r="M110" s="282"/>
      <c r="N110" s="282"/>
      <c r="O110" s="282"/>
      <c r="P110" s="288"/>
      <c r="Q110" s="288"/>
      <c r="R110" s="285">
        <v>1</v>
      </c>
      <c r="S110" s="288"/>
      <c r="T110" s="288"/>
      <c r="U110" s="288"/>
      <c r="V110" s="288"/>
      <c r="W110" s="288"/>
      <c r="X110" s="280">
        <v>4</v>
      </c>
    </row>
    <row r="111" spans="2:24" x14ac:dyDescent="0.25">
      <c r="B111" s="553" t="s">
        <v>237</v>
      </c>
      <c r="C111" s="280" t="s">
        <v>32</v>
      </c>
      <c r="D111" s="288"/>
      <c r="E111" s="288"/>
      <c r="F111" s="288"/>
      <c r="G111" s="288"/>
      <c r="H111" s="291">
        <v>1</v>
      </c>
      <c r="I111" s="291">
        <v>1</v>
      </c>
      <c r="J111" s="291">
        <v>1</v>
      </c>
      <c r="K111" s="291">
        <v>1</v>
      </c>
      <c r="L111" s="288"/>
      <c r="M111" s="288"/>
      <c r="N111" s="288"/>
      <c r="O111" s="288"/>
      <c r="P111" s="288"/>
      <c r="Q111" s="288"/>
      <c r="R111" s="285">
        <v>1</v>
      </c>
      <c r="S111" s="288"/>
      <c r="T111" s="290">
        <v>1</v>
      </c>
      <c r="U111" s="290">
        <v>1</v>
      </c>
      <c r="V111" s="288"/>
      <c r="W111" s="288"/>
      <c r="X111" s="280">
        <v>7</v>
      </c>
    </row>
    <row r="112" spans="2:24" x14ac:dyDescent="0.25">
      <c r="B112" s="554"/>
      <c r="C112" s="280" t="s">
        <v>34</v>
      </c>
      <c r="D112" s="288"/>
      <c r="E112" s="288"/>
      <c r="F112" s="288"/>
      <c r="G112" s="288"/>
      <c r="H112" s="291">
        <v>1</v>
      </c>
      <c r="I112" s="283">
        <v>1</v>
      </c>
      <c r="J112" s="291">
        <v>1</v>
      </c>
      <c r="K112" s="291">
        <v>1</v>
      </c>
      <c r="L112" s="289">
        <v>1</v>
      </c>
      <c r="M112" s="288"/>
      <c r="N112" s="288"/>
      <c r="O112" s="288"/>
      <c r="P112" s="288"/>
      <c r="Q112" s="285">
        <v>1</v>
      </c>
      <c r="R112" s="288"/>
      <c r="S112" s="290">
        <v>1</v>
      </c>
      <c r="T112" s="290">
        <v>1</v>
      </c>
      <c r="U112" s="288"/>
      <c r="V112" s="288"/>
      <c r="W112" s="288"/>
      <c r="X112" s="280">
        <v>8</v>
      </c>
    </row>
    <row r="113" spans="1:24" x14ac:dyDescent="0.25">
      <c r="B113" s="554"/>
      <c r="C113" s="280" t="s">
        <v>31</v>
      </c>
      <c r="D113" s="288"/>
      <c r="E113" s="288"/>
      <c r="F113" s="288"/>
      <c r="G113" s="288"/>
      <c r="H113" s="291">
        <v>1</v>
      </c>
      <c r="I113" s="291">
        <v>1</v>
      </c>
      <c r="J113" s="291">
        <v>1</v>
      </c>
      <c r="K113" s="291">
        <v>1</v>
      </c>
      <c r="L113" s="289">
        <v>1</v>
      </c>
      <c r="M113" s="288"/>
      <c r="N113" s="288"/>
      <c r="O113" s="289">
        <v>1</v>
      </c>
      <c r="P113" s="285">
        <v>1</v>
      </c>
      <c r="Q113" s="288"/>
      <c r="R113" s="288"/>
      <c r="S113" s="288"/>
      <c r="T113" s="288"/>
      <c r="U113" s="290">
        <v>1</v>
      </c>
      <c r="V113" s="288"/>
      <c r="W113" s="288"/>
      <c r="X113" s="280">
        <v>8</v>
      </c>
    </row>
    <row r="114" spans="1:24" x14ac:dyDescent="0.25">
      <c r="B114" s="555"/>
      <c r="C114" s="280" t="s">
        <v>38</v>
      </c>
      <c r="D114" s="288"/>
      <c r="E114" s="288"/>
      <c r="F114" s="288"/>
      <c r="G114" s="288"/>
      <c r="H114" s="291">
        <v>1</v>
      </c>
      <c r="I114" s="291">
        <v>1</v>
      </c>
      <c r="J114" s="291">
        <v>1</v>
      </c>
      <c r="K114" s="288"/>
      <c r="L114" s="289">
        <v>1</v>
      </c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0">
        <v>4</v>
      </c>
    </row>
    <row r="115" spans="1:24" x14ac:dyDescent="0.25">
      <c r="B115" s="553" t="s">
        <v>238</v>
      </c>
      <c r="C115" s="280" t="s">
        <v>33</v>
      </c>
      <c r="D115" s="288"/>
      <c r="E115" s="288"/>
      <c r="F115" s="288"/>
      <c r="G115" s="288"/>
      <c r="H115" s="291">
        <v>1</v>
      </c>
      <c r="I115" s="291">
        <v>1</v>
      </c>
      <c r="J115" s="291">
        <v>1</v>
      </c>
      <c r="K115" s="288"/>
      <c r="L115" s="289">
        <v>1</v>
      </c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90">
        <v>1</v>
      </c>
      <c r="X115" s="280">
        <v>5</v>
      </c>
    </row>
    <row r="116" spans="1:24" x14ac:dyDescent="0.25">
      <c r="B116" s="555"/>
      <c r="C116" s="280" t="s">
        <v>37</v>
      </c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0">
        <v>0</v>
      </c>
    </row>
    <row r="117" spans="1:24" x14ac:dyDescent="0.25">
      <c r="B117" s="556" t="s">
        <v>239</v>
      </c>
      <c r="C117" s="557"/>
      <c r="D117" s="296">
        <f>SUM(D93:D106)</f>
        <v>13</v>
      </c>
      <c r="E117" s="296">
        <v>0</v>
      </c>
      <c r="F117" s="297">
        <v>1</v>
      </c>
      <c r="G117" s="296">
        <v>0</v>
      </c>
      <c r="H117" s="246">
        <f>SUM(H93:H115)</f>
        <v>21</v>
      </c>
      <c r="I117" s="247">
        <v>18</v>
      </c>
      <c r="J117" s="247">
        <v>19</v>
      </c>
      <c r="K117" s="247">
        <v>8</v>
      </c>
      <c r="L117" s="296">
        <v>15</v>
      </c>
      <c r="M117" s="296">
        <v>0</v>
      </c>
      <c r="N117" s="296">
        <v>4</v>
      </c>
      <c r="O117" s="296">
        <v>3</v>
      </c>
      <c r="P117" s="296">
        <v>3</v>
      </c>
      <c r="Q117" s="296">
        <v>3</v>
      </c>
      <c r="R117" s="298">
        <v>5</v>
      </c>
      <c r="S117" s="296">
        <v>11</v>
      </c>
      <c r="T117" s="296">
        <v>14</v>
      </c>
      <c r="U117" s="296">
        <v>2</v>
      </c>
      <c r="V117" s="296">
        <v>4</v>
      </c>
      <c r="W117" s="296">
        <v>2</v>
      </c>
      <c r="X117" s="296">
        <v>146</v>
      </c>
    </row>
    <row r="119" spans="1:24" ht="14" x14ac:dyDescent="0.25">
      <c r="A119" s="225" t="s">
        <v>249</v>
      </c>
      <c r="B119" s="579" t="s">
        <v>0</v>
      </c>
      <c r="C119" s="579"/>
      <c r="D119" s="570" t="s">
        <v>210</v>
      </c>
      <c r="E119" s="570"/>
      <c r="F119" s="570"/>
      <c r="G119" s="570"/>
      <c r="H119" s="571" t="s">
        <v>211</v>
      </c>
      <c r="I119" s="571"/>
      <c r="J119" s="571"/>
      <c r="K119" s="571"/>
      <c r="L119" s="572" t="s">
        <v>212</v>
      </c>
      <c r="M119" s="572"/>
      <c r="N119" s="572"/>
      <c r="O119" s="572"/>
      <c r="P119" s="573" t="s">
        <v>213</v>
      </c>
      <c r="Q119" s="573"/>
      <c r="R119" s="573"/>
      <c r="S119" s="574" t="s">
        <v>214</v>
      </c>
      <c r="T119" s="574"/>
      <c r="U119" s="574"/>
      <c r="V119" s="574"/>
      <c r="W119" s="574"/>
      <c r="X119" s="565" t="s">
        <v>215</v>
      </c>
    </row>
    <row r="120" spans="1:24" x14ac:dyDescent="0.25">
      <c r="A120" s="225" t="s">
        <v>254</v>
      </c>
      <c r="B120" s="579"/>
      <c r="C120" s="579"/>
      <c r="D120" s="566" t="s">
        <v>210</v>
      </c>
      <c r="E120" s="566" t="s">
        <v>216</v>
      </c>
      <c r="F120" s="566" t="s">
        <v>217</v>
      </c>
      <c r="G120" s="566" t="s">
        <v>218</v>
      </c>
      <c r="H120" s="567" t="s">
        <v>251</v>
      </c>
      <c r="I120" s="568" t="s">
        <v>220</v>
      </c>
      <c r="J120" s="568" t="s">
        <v>221</v>
      </c>
      <c r="K120" s="568" t="s">
        <v>222</v>
      </c>
      <c r="L120" s="569" t="s">
        <v>223</v>
      </c>
      <c r="M120" s="569" t="s">
        <v>224</v>
      </c>
      <c r="N120" s="569" t="s">
        <v>252</v>
      </c>
      <c r="O120" s="569" t="s">
        <v>226</v>
      </c>
      <c r="P120" s="575" t="s">
        <v>227</v>
      </c>
      <c r="Q120" s="575" t="s">
        <v>228</v>
      </c>
      <c r="R120" s="575" t="s">
        <v>229</v>
      </c>
      <c r="S120" s="576" t="s">
        <v>230</v>
      </c>
      <c r="T120" s="576" t="s">
        <v>231</v>
      </c>
      <c r="U120" s="576" t="s">
        <v>232</v>
      </c>
      <c r="V120" s="576" t="s">
        <v>233</v>
      </c>
      <c r="W120" s="576" t="s">
        <v>234</v>
      </c>
      <c r="X120" s="565"/>
    </row>
    <row r="121" spans="1:24" ht="30" customHeight="1" x14ac:dyDescent="0.25">
      <c r="B121" s="579"/>
      <c r="C121" s="579"/>
      <c r="D121" s="566"/>
      <c r="E121" s="566"/>
      <c r="F121" s="566"/>
      <c r="G121" s="566"/>
      <c r="H121" s="567"/>
      <c r="I121" s="568"/>
      <c r="J121" s="568"/>
      <c r="K121" s="568"/>
      <c r="L121" s="569"/>
      <c r="M121" s="569"/>
      <c r="N121" s="569"/>
      <c r="O121" s="569"/>
      <c r="P121" s="575"/>
      <c r="Q121" s="575"/>
      <c r="R121" s="575"/>
      <c r="S121" s="576"/>
      <c r="T121" s="576"/>
      <c r="U121" s="576"/>
      <c r="V121" s="576"/>
      <c r="W121" s="576"/>
      <c r="X121" s="565"/>
    </row>
    <row r="122" spans="1:24" x14ac:dyDescent="0.25">
      <c r="B122" s="577" t="s">
        <v>235</v>
      </c>
      <c r="C122" s="299" t="s">
        <v>26</v>
      </c>
      <c r="D122" s="281">
        <v>1</v>
      </c>
      <c r="E122" s="300"/>
      <c r="F122" s="300"/>
      <c r="G122" s="300"/>
      <c r="H122" s="283">
        <v>1</v>
      </c>
      <c r="I122" s="291">
        <v>1</v>
      </c>
      <c r="J122" s="291">
        <v>1</v>
      </c>
      <c r="K122" s="301"/>
      <c r="L122" s="284">
        <v>1</v>
      </c>
      <c r="M122" s="289">
        <v>1</v>
      </c>
      <c r="N122" s="302"/>
      <c r="O122" s="302"/>
      <c r="P122" s="300"/>
      <c r="Q122" s="300"/>
      <c r="R122" s="285">
        <v>1</v>
      </c>
      <c r="S122" s="290">
        <v>1</v>
      </c>
      <c r="T122" s="290">
        <v>1</v>
      </c>
      <c r="U122" s="300"/>
      <c r="V122" s="300"/>
      <c r="W122" s="300"/>
      <c r="X122" s="303">
        <v>9</v>
      </c>
    </row>
    <row r="123" spans="1:24" x14ac:dyDescent="0.25">
      <c r="B123" s="577"/>
      <c r="C123" s="299" t="s">
        <v>27</v>
      </c>
      <c r="D123" s="287">
        <v>1</v>
      </c>
      <c r="E123" s="304"/>
      <c r="F123" s="304"/>
      <c r="G123" s="304"/>
      <c r="H123" s="283">
        <v>1</v>
      </c>
      <c r="I123" s="301"/>
      <c r="J123" s="291">
        <v>1</v>
      </c>
      <c r="K123" s="291">
        <v>1</v>
      </c>
      <c r="L123" s="289">
        <v>1</v>
      </c>
      <c r="M123" s="301"/>
      <c r="N123" s="289">
        <v>1</v>
      </c>
      <c r="O123" s="301"/>
      <c r="P123" s="304"/>
      <c r="Q123" s="304"/>
      <c r="R123" s="285">
        <v>1</v>
      </c>
      <c r="S123" s="290">
        <v>1</v>
      </c>
      <c r="T123" s="290">
        <v>1</v>
      </c>
      <c r="U123" s="304"/>
      <c r="V123" s="304"/>
      <c r="W123" s="304"/>
      <c r="X123" s="303">
        <v>9</v>
      </c>
    </row>
    <row r="124" spans="1:24" x14ac:dyDescent="0.25">
      <c r="B124" s="577"/>
      <c r="C124" s="299" t="s">
        <v>56</v>
      </c>
      <c r="D124" s="287">
        <v>1</v>
      </c>
      <c r="E124" s="304"/>
      <c r="F124" s="304"/>
      <c r="G124" s="304"/>
      <c r="H124" s="291">
        <v>1</v>
      </c>
      <c r="I124" s="291">
        <v>1</v>
      </c>
      <c r="J124" s="291">
        <v>1</v>
      </c>
      <c r="K124" s="301"/>
      <c r="L124" s="289">
        <v>1</v>
      </c>
      <c r="M124" s="301"/>
      <c r="N124" s="301"/>
      <c r="O124" s="301"/>
      <c r="P124" s="304"/>
      <c r="Q124" s="304"/>
      <c r="R124" s="285">
        <v>1</v>
      </c>
      <c r="S124" s="290">
        <v>1</v>
      </c>
      <c r="T124" s="290">
        <v>1</v>
      </c>
      <c r="U124" s="304"/>
      <c r="V124" s="304"/>
      <c r="W124" s="304"/>
      <c r="X124" s="303">
        <v>8</v>
      </c>
    </row>
    <row r="125" spans="1:24" x14ac:dyDescent="0.25">
      <c r="B125" s="577"/>
      <c r="C125" s="299" t="s">
        <v>28</v>
      </c>
      <c r="D125" s="287">
        <v>1</v>
      </c>
      <c r="E125" s="304"/>
      <c r="F125" s="304"/>
      <c r="G125" s="304"/>
      <c r="H125" s="291">
        <v>1</v>
      </c>
      <c r="I125" s="291">
        <v>1</v>
      </c>
      <c r="J125" s="291">
        <v>1</v>
      </c>
      <c r="K125" s="291">
        <v>1</v>
      </c>
      <c r="L125" s="289">
        <v>1</v>
      </c>
      <c r="M125" s="301"/>
      <c r="N125" s="289">
        <v>1</v>
      </c>
      <c r="O125" s="301"/>
      <c r="P125" s="301"/>
      <c r="Q125" s="301"/>
      <c r="R125" s="301"/>
      <c r="S125" s="290">
        <v>1</v>
      </c>
      <c r="T125" s="301"/>
      <c r="U125" s="304"/>
      <c r="V125" s="290">
        <v>1</v>
      </c>
      <c r="W125" s="304"/>
      <c r="X125" s="303">
        <v>9</v>
      </c>
    </row>
    <row r="126" spans="1:24" x14ac:dyDescent="0.25">
      <c r="B126" s="577"/>
      <c r="C126" s="299" t="s">
        <v>29</v>
      </c>
      <c r="D126" s="287">
        <v>1</v>
      </c>
      <c r="E126" s="304"/>
      <c r="F126" s="304"/>
      <c r="G126" s="304"/>
      <c r="H126" s="291">
        <v>1</v>
      </c>
      <c r="I126" s="291">
        <v>1</v>
      </c>
      <c r="J126" s="291">
        <v>1</v>
      </c>
      <c r="K126" s="302"/>
      <c r="L126" s="301"/>
      <c r="M126" s="301"/>
      <c r="N126" s="301"/>
      <c r="O126" s="289">
        <v>1</v>
      </c>
      <c r="P126" s="301"/>
      <c r="Q126" s="301"/>
      <c r="R126" s="301"/>
      <c r="S126" s="290">
        <v>1</v>
      </c>
      <c r="T126" s="301"/>
      <c r="U126" s="304"/>
      <c r="V126" s="304"/>
      <c r="W126" s="304"/>
      <c r="X126" s="303">
        <v>6</v>
      </c>
    </row>
    <row r="127" spans="1:24" x14ac:dyDescent="0.25">
      <c r="B127" s="577"/>
      <c r="C127" s="299" t="s">
        <v>19</v>
      </c>
      <c r="D127" s="287">
        <v>1</v>
      </c>
      <c r="E127" s="304"/>
      <c r="F127" s="304"/>
      <c r="G127" s="304"/>
      <c r="H127" s="291">
        <v>1</v>
      </c>
      <c r="I127" s="291">
        <v>1</v>
      </c>
      <c r="J127" s="291">
        <v>1</v>
      </c>
      <c r="K127" s="291">
        <v>1</v>
      </c>
      <c r="L127" s="301"/>
      <c r="M127" s="301"/>
      <c r="N127" s="289">
        <v>1</v>
      </c>
      <c r="O127" s="289">
        <v>1</v>
      </c>
      <c r="P127" s="301"/>
      <c r="Q127" s="285">
        <v>1</v>
      </c>
      <c r="R127" s="301"/>
      <c r="S127" s="290">
        <v>1</v>
      </c>
      <c r="T127" s="290">
        <v>1</v>
      </c>
      <c r="U127" s="301"/>
      <c r="V127" s="290">
        <v>1</v>
      </c>
      <c r="W127" s="301"/>
      <c r="X127" s="303">
        <v>11</v>
      </c>
    </row>
    <row r="128" spans="1:24" x14ac:dyDescent="0.25">
      <c r="B128" s="577"/>
      <c r="C128" s="299" t="s">
        <v>23</v>
      </c>
      <c r="D128" s="287">
        <v>1</v>
      </c>
      <c r="E128" s="304"/>
      <c r="F128" s="304"/>
      <c r="G128" s="304"/>
      <c r="H128" s="291">
        <v>1</v>
      </c>
      <c r="I128" s="291">
        <v>1</v>
      </c>
      <c r="J128" s="291">
        <v>1</v>
      </c>
      <c r="K128" s="301"/>
      <c r="L128" s="294">
        <v>1</v>
      </c>
      <c r="M128" s="301"/>
      <c r="N128" s="301"/>
      <c r="O128" s="301"/>
      <c r="P128" s="301"/>
      <c r="Q128" s="301"/>
      <c r="R128" s="301"/>
      <c r="S128" s="301"/>
      <c r="T128" s="290">
        <v>1</v>
      </c>
      <c r="U128" s="301"/>
      <c r="V128" s="290">
        <v>1</v>
      </c>
      <c r="W128" s="301"/>
      <c r="X128" s="303">
        <v>7</v>
      </c>
    </row>
    <row r="129" spans="2:25" x14ac:dyDescent="0.25">
      <c r="B129" s="577"/>
      <c r="C129" s="299" t="s">
        <v>20</v>
      </c>
      <c r="D129" s="287">
        <v>1</v>
      </c>
      <c r="E129" s="304"/>
      <c r="F129" s="304"/>
      <c r="G129" s="304"/>
      <c r="H129" s="291">
        <v>1</v>
      </c>
      <c r="I129" s="291">
        <v>1</v>
      </c>
      <c r="J129" s="291">
        <v>1</v>
      </c>
      <c r="K129" s="291">
        <v>1</v>
      </c>
      <c r="L129" s="289">
        <v>1</v>
      </c>
      <c r="M129" s="289">
        <v>1</v>
      </c>
      <c r="N129" s="289">
        <v>1</v>
      </c>
      <c r="O129" s="301"/>
      <c r="P129" s="301"/>
      <c r="Q129" s="285">
        <v>1</v>
      </c>
      <c r="R129" s="301"/>
      <c r="S129" s="290">
        <v>1</v>
      </c>
      <c r="T129" s="290">
        <v>1</v>
      </c>
      <c r="U129" s="301"/>
      <c r="V129" s="301"/>
      <c r="W129" s="301"/>
      <c r="X129" s="303">
        <v>11</v>
      </c>
    </row>
    <row r="130" spans="2:25" x14ac:dyDescent="0.25">
      <c r="B130" s="577"/>
      <c r="C130" s="299" t="s">
        <v>18</v>
      </c>
      <c r="D130" s="287">
        <v>1</v>
      </c>
      <c r="E130" s="304"/>
      <c r="F130" s="304"/>
      <c r="G130" s="304"/>
      <c r="H130" s="291">
        <v>1</v>
      </c>
      <c r="I130" s="291">
        <v>1</v>
      </c>
      <c r="J130" s="291">
        <v>1</v>
      </c>
      <c r="K130" s="301"/>
      <c r="L130" s="289">
        <v>1</v>
      </c>
      <c r="M130" s="289">
        <v>1</v>
      </c>
      <c r="N130" s="301"/>
      <c r="O130" s="301"/>
      <c r="P130" s="285">
        <v>1</v>
      </c>
      <c r="Q130" s="285">
        <v>1</v>
      </c>
      <c r="R130" s="301"/>
      <c r="S130" s="290">
        <v>1</v>
      </c>
      <c r="T130" s="290">
        <v>1</v>
      </c>
      <c r="U130" s="301"/>
      <c r="V130" s="290">
        <v>1</v>
      </c>
      <c r="W130" s="301"/>
      <c r="X130" s="303">
        <v>11</v>
      </c>
    </row>
    <row r="131" spans="2:25" x14ac:dyDescent="0.25">
      <c r="B131" s="577"/>
      <c r="C131" s="299" t="s">
        <v>133</v>
      </c>
      <c r="D131" s="301"/>
      <c r="E131" s="304"/>
      <c r="F131" s="304"/>
      <c r="G131" s="304"/>
      <c r="H131" s="291">
        <v>1</v>
      </c>
      <c r="I131" s="291">
        <v>1</v>
      </c>
      <c r="J131" s="301"/>
      <c r="K131" s="301"/>
      <c r="L131" s="289">
        <v>1</v>
      </c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3">
        <v>3</v>
      </c>
    </row>
    <row r="132" spans="2:25" x14ac:dyDescent="0.25">
      <c r="B132" s="577"/>
      <c r="C132" s="299" t="s">
        <v>36</v>
      </c>
      <c r="D132" s="287">
        <v>1</v>
      </c>
      <c r="E132" s="301"/>
      <c r="F132" s="301"/>
      <c r="G132" s="301"/>
      <c r="H132" s="291">
        <v>1</v>
      </c>
      <c r="I132" s="301"/>
      <c r="J132" s="291">
        <v>1</v>
      </c>
      <c r="K132" s="291">
        <v>1</v>
      </c>
      <c r="L132" s="289">
        <v>1</v>
      </c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290">
        <v>1</v>
      </c>
      <c r="X132" s="303">
        <v>6</v>
      </c>
    </row>
    <row r="133" spans="2:25" x14ac:dyDescent="0.25">
      <c r="B133" s="577"/>
      <c r="C133" s="299" t="s">
        <v>35</v>
      </c>
      <c r="D133" s="287">
        <v>1</v>
      </c>
      <c r="E133" s="301"/>
      <c r="F133" s="287">
        <v>1</v>
      </c>
      <c r="G133" s="301"/>
      <c r="H133" s="291">
        <v>1</v>
      </c>
      <c r="I133" s="291">
        <v>1</v>
      </c>
      <c r="J133" s="291">
        <v>1</v>
      </c>
      <c r="K133" s="301"/>
      <c r="L133" s="301"/>
      <c r="M133" s="301"/>
      <c r="N133" s="301"/>
      <c r="O133" s="301"/>
      <c r="P133" s="301"/>
      <c r="Q133" s="301"/>
      <c r="R133" s="301"/>
      <c r="S133" s="301"/>
      <c r="T133" s="290">
        <v>1</v>
      </c>
      <c r="U133" s="301"/>
      <c r="V133" s="301"/>
      <c r="W133" s="290">
        <v>1</v>
      </c>
      <c r="X133" s="305">
        <v>7</v>
      </c>
      <c r="Y133" s="306"/>
    </row>
    <row r="134" spans="2:25" ht="14" x14ac:dyDescent="0.3">
      <c r="B134" s="577"/>
      <c r="C134" s="299" t="s">
        <v>58</v>
      </c>
      <c r="D134" s="301"/>
      <c r="E134" s="307"/>
      <c r="F134" s="307"/>
      <c r="G134" s="307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290">
        <v>1</v>
      </c>
      <c r="U134" s="301"/>
      <c r="V134" s="301"/>
      <c r="W134" s="301"/>
      <c r="X134" s="308">
        <v>1</v>
      </c>
      <c r="Y134" s="309"/>
    </row>
    <row r="135" spans="2:25" x14ac:dyDescent="0.25">
      <c r="B135" s="577" t="s">
        <v>236</v>
      </c>
      <c r="C135" s="299" t="s">
        <v>24</v>
      </c>
      <c r="D135" s="287">
        <v>1</v>
      </c>
      <c r="E135" s="301"/>
      <c r="F135" s="301"/>
      <c r="G135" s="301"/>
      <c r="H135" s="291">
        <v>1</v>
      </c>
      <c r="I135" s="291">
        <v>1</v>
      </c>
      <c r="J135" s="291">
        <v>1</v>
      </c>
      <c r="K135" s="301"/>
      <c r="L135" s="289">
        <v>1</v>
      </c>
      <c r="M135" s="301"/>
      <c r="N135" s="301"/>
      <c r="O135" s="301"/>
      <c r="P135" s="301"/>
      <c r="Q135" s="301"/>
      <c r="R135" s="285">
        <v>1</v>
      </c>
      <c r="S135" s="290">
        <v>1</v>
      </c>
      <c r="T135" s="290">
        <v>1</v>
      </c>
      <c r="U135" s="301"/>
      <c r="V135" s="301"/>
      <c r="W135" s="301"/>
      <c r="X135" s="310">
        <v>8</v>
      </c>
      <c r="Y135" s="306"/>
    </row>
    <row r="136" spans="2:25" x14ac:dyDescent="0.25">
      <c r="B136" s="577"/>
      <c r="C136" s="299" t="s">
        <v>21</v>
      </c>
      <c r="D136" s="302"/>
      <c r="E136" s="302"/>
      <c r="F136" s="302"/>
      <c r="G136" s="301"/>
      <c r="H136" s="283">
        <v>1</v>
      </c>
      <c r="I136" s="283">
        <v>1</v>
      </c>
      <c r="J136" s="283">
        <v>1</v>
      </c>
      <c r="K136" s="302"/>
      <c r="L136" s="284">
        <v>1</v>
      </c>
      <c r="M136" s="302"/>
      <c r="N136" s="302"/>
      <c r="O136" s="302"/>
      <c r="P136" s="301"/>
      <c r="Q136" s="301"/>
      <c r="R136" s="301"/>
      <c r="S136" s="290">
        <v>1</v>
      </c>
      <c r="T136" s="290">
        <v>1</v>
      </c>
      <c r="U136" s="302"/>
      <c r="V136" s="302"/>
      <c r="W136" s="302"/>
      <c r="X136" s="303">
        <v>6</v>
      </c>
      <c r="Y136" s="306"/>
    </row>
    <row r="137" spans="2:25" x14ac:dyDescent="0.25">
      <c r="B137" s="577"/>
      <c r="C137" s="299" t="s">
        <v>41</v>
      </c>
      <c r="D137" s="302"/>
      <c r="E137" s="302"/>
      <c r="F137" s="302"/>
      <c r="G137" s="302"/>
      <c r="H137" s="300"/>
      <c r="I137" s="300"/>
      <c r="J137" s="300"/>
      <c r="K137" s="300"/>
      <c r="L137" s="302"/>
      <c r="M137" s="302"/>
      <c r="N137" s="302"/>
      <c r="O137" s="302"/>
      <c r="P137" s="301"/>
      <c r="Q137" s="301"/>
      <c r="R137" s="301"/>
      <c r="S137" s="301"/>
      <c r="T137" s="301"/>
      <c r="U137" s="301"/>
      <c r="V137" s="301"/>
      <c r="W137" s="301"/>
      <c r="X137" s="303">
        <v>0</v>
      </c>
      <c r="Y137" s="306"/>
    </row>
    <row r="138" spans="2:25" ht="12" customHeight="1" x14ac:dyDescent="0.25">
      <c r="B138" s="577"/>
      <c r="C138" s="299" t="s">
        <v>30</v>
      </c>
      <c r="D138" s="287">
        <v>1</v>
      </c>
      <c r="E138" s="302"/>
      <c r="F138" s="302"/>
      <c r="G138" s="287">
        <v>1</v>
      </c>
      <c r="H138" s="283">
        <v>1</v>
      </c>
      <c r="I138" s="302"/>
      <c r="J138" s="302"/>
      <c r="K138" s="302"/>
      <c r="L138" s="302"/>
      <c r="M138" s="302"/>
      <c r="N138" s="302"/>
      <c r="O138" s="302"/>
      <c r="P138" s="301"/>
      <c r="Q138" s="301"/>
      <c r="R138" s="301"/>
      <c r="S138" s="301"/>
      <c r="T138" s="290">
        <v>1</v>
      </c>
      <c r="U138" s="301"/>
      <c r="V138" s="301"/>
      <c r="W138" s="301"/>
      <c r="X138" s="303">
        <v>4</v>
      </c>
      <c r="Y138" s="306"/>
    </row>
    <row r="139" spans="2:25" x14ac:dyDescent="0.25">
      <c r="B139" s="577"/>
      <c r="C139" s="299" t="s">
        <v>25</v>
      </c>
      <c r="D139" s="302"/>
      <c r="E139" s="302"/>
      <c r="F139" s="302"/>
      <c r="G139" s="302"/>
      <c r="H139" s="283">
        <v>1</v>
      </c>
      <c r="I139" s="283">
        <v>1</v>
      </c>
      <c r="J139" s="283">
        <v>1</v>
      </c>
      <c r="K139" s="302"/>
      <c r="L139" s="302"/>
      <c r="M139" s="289">
        <v>1</v>
      </c>
      <c r="N139" s="302"/>
      <c r="O139" s="302"/>
      <c r="P139" s="301"/>
      <c r="Q139" s="301"/>
      <c r="R139" s="285">
        <v>1</v>
      </c>
      <c r="S139" s="301"/>
      <c r="T139" s="301"/>
      <c r="U139" s="301"/>
      <c r="V139" s="301"/>
      <c r="W139" s="301"/>
      <c r="X139" s="303">
        <v>5</v>
      </c>
      <c r="Y139" s="306"/>
    </row>
    <row r="140" spans="2:25" x14ac:dyDescent="0.25">
      <c r="B140" s="577" t="s">
        <v>237</v>
      </c>
      <c r="C140" s="299" t="s">
        <v>32</v>
      </c>
      <c r="D140" s="301"/>
      <c r="E140" s="301"/>
      <c r="F140" s="301"/>
      <c r="G140" s="301"/>
      <c r="H140" s="291">
        <v>1</v>
      </c>
      <c r="I140" s="291">
        <v>1</v>
      </c>
      <c r="J140" s="291">
        <v>1</v>
      </c>
      <c r="K140" s="291">
        <v>1</v>
      </c>
      <c r="L140" s="301"/>
      <c r="M140" s="301"/>
      <c r="N140" s="301"/>
      <c r="O140" s="301"/>
      <c r="P140" s="301"/>
      <c r="Q140" s="301"/>
      <c r="R140" s="301"/>
      <c r="S140" s="301"/>
      <c r="T140" s="290">
        <v>1</v>
      </c>
      <c r="U140" s="290">
        <v>1</v>
      </c>
      <c r="V140" s="301"/>
      <c r="W140" s="301"/>
      <c r="X140" s="303">
        <v>6</v>
      </c>
      <c r="Y140" s="311"/>
    </row>
    <row r="141" spans="2:25" x14ac:dyDescent="0.25">
      <c r="B141" s="577"/>
      <c r="C141" s="299" t="s">
        <v>34</v>
      </c>
      <c r="D141" s="288"/>
      <c r="E141" s="301"/>
      <c r="F141" s="301"/>
      <c r="G141" s="301"/>
      <c r="H141" s="291">
        <v>1</v>
      </c>
      <c r="I141" s="283">
        <v>1</v>
      </c>
      <c r="J141" s="291">
        <v>1</v>
      </c>
      <c r="K141" s="291">
        <v>1</v>
      </c>
      <c r="L141" s="289">
        <v>1</v>
      </c>
      <c r="M141" s="301"/>
      <c r="N141" s="301"/>
      <c r="O141" s="301"/>
      <c r="P141" s="301"/>
      <c r="Q141" s="285">
        <v>1</v>
      </c>
      <c r="R141" s="301"/>
      <c r="S141" s="290">
        <v>1</v>
      </c>
      <c r="T141" s="290">
        <v>1</v>
      </c>
      <c r="U141" s="301"/>
      <c r="V141" s="301"/>
      <c r="W141" s="301"/>
      <c r="X141" s="303">
        <v>8</v>
      </c>
      <c r="Y141" s="311"/>
    </row>
    <row r="142" spans="2:25" x14ac:dyDescent="0.25">
      <c r="B142" s="577"/>
      <c r="C142" s="299" t="s">
        <v>31</v>
      </c>
      <c r="D142" s="301"/>
      <c r="E142" s="301"/>
      <c r="F142" s="301"/>
      <c r="G142" s="301"/>
      <c r="H142" s="291">
        <v>1</v>
      </c>
      <c r="I142" s="291">
        <v>1</v>
      </c>
      <c r="J142" s="291">
        <v>1</v>
      </c>
      <c r="K142" s="301"/>
      <c r="L142" s="289">
        <v>1</v>
      </c>
      <c r="M142" s="301"/>
      <c r="N142" s="301"/>
      <c r="O142" s="301"/>
      <c r="P142" s="301"/>
      <c r="Q142" s="301"/>
      <c r="R142" s="301"/>
      <c r="S142" s="301"/>
      <c r="T142" s="301"/>
      <c r="U142" s="290">
        <v>1</v>
      </c>
      <c r="V142" s="301"/>
      <c r="W142" s="301"/>
      <c r="X142" s="303">
        <v>5</v>
      </c>
      <c r="Y142" s="311"/>
    </row>
    <row r="143" spans="2:25" x14ac:dyDescent="0.25">
      <c r="B143" s="577"/>
      <c r="C143" s="299" t="s">
        <v>38</v>
      </c>
      <c r="D143" s="301"/>
      <c r="E143" s="301"/>
      <c r="F143" s="301"/>
      <c r="G143" s="301"/>
      <c r="H143" s="291">
        <v>1</v>
      </c>
      <c r="I143" s="291">
        <v>1</v>
      </c>
      <c r="J143" s="291">
        <v>1</v>
      </c>
      <c r="K143" s="301"/>
      <c r="L143" s="289">
        <v>1</v>
      </c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3">
        <v>4</v>
      </c>
      <c r="Y143" s="306"/>
    </row>
    <row r="144" spans="2:25" x14ac:dyDescent="0.25">
      <c r="B144" s="577" t="s">
        <v>238</v>
      </c>
      <c r="C144" s="299" t="s">
        <v>33</v>
      </c>
      <c r="D144" s="301"/>
      <c r="E144" s="301"/>
      <c r="F144" s="301"/>
      <c r="G144" s="301"/>
      <c r="H144" s="291">
        <v>1</v>
      </c>
      <c r="I144" s="291">
        <v>1</v>
      </c>
      <c r="J144" s="291">
        <v>1</v>
      </c>
      <c r="K144" s="301"/>
      <c r="L144" s="289">
        <v>1</v>
      </c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290">
        <v>1</v>
      </c>
      <c r="X144" s="303">
        <v>5</v>
      </c>
      <c r="Y144" s="306"/>
    </row>
    <row r="145" spans="1:25" ht="15" customHeight="1" x14ac:dyDescent="0.25">
      <c r="B145" s="577"/>
      <c r="C145" s="299" t="s">
        <v>37</v>
      </c>
      <c r="D145" s="301"/>
      <c r="E145" s="301"/>
      <c r="F145" s="301"/>
      <c r="G145" s="301"/>
      <c r="H145" s="304"/>
      <c r="I145" s="304"/>
      <c r="J145" s="304"/>
      <c r="K145" s="304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3">
        <v>0</v>
      </c>
      <c r="Y145" s="306"/>
    </row>
    <row r="146" spans="1:25" s="312" customFormat="1" x14ac:dyDescent="0.25">
      <c r="B146" s="578" t="s">
        <v>239</v>
      </c>
      <c r="C146" s="578"/>
      <c r="D146" s="308">
        <v>13</v>
      </c>
      <c r="E146" s="308">
        <v>0</v>
      </c>
      <c r="F146" s="308">
        <v>1</v>
      </c>
      <c r="G146" s="308">
        <v>1</v>
      </c>
      <c r="H146" s="308">
        <v>21</v>
      </c>
      <c r="I146" s="308">
        <v>18</v>
      </c>
      <c r="J146" s="308">
        <v>19</v>
      </c>
      <c r="K146" s="308">
        <v>7</v>
      </c>
      <c r="L146" s="308">
        <v>15</v>
      </c>
      <c r="M146" s="308">
        <v>4</v>
      </c>
      <c r="N146" s="308">
        <v>4</v>
      </c>
      <c r="O146" s="308">
        <v>2</v>
      </c>
      <c r="P146" s="308">
        <v>1</v>
      </c>
      <c r="Q146" s="308">
        <v>4</v>
      </c>
      <c r="R146" s="308">
        <v>5</v>
      </c>
      <c r="S146" s="308">
        <v>11</v>
      </c>
      <c r="T146" s="308">
        <v>14</v>
      </c>
      <c r="U146" s="308">
        <v>2</v>
      </c>
      <c r="V146" s="308">
        <v>4</v>
      </c>
      <c r="W146" s="308">
        <v>3</v>
      </c>
      <c r="X146" s="308">
        <v>149</v>
      </c>
      <c r="Y146" s="313"/>
    </row>
    <row r="147" spans="1:25" x14ac:dyDescent="0.25">
      <c r="O147" s="314"/>
      <c r="P147" s="311"/>
      <c r="Q147" s="311"/>
      <c r="R147" s="311"/>
      <c r="S147" s="311"/>
      <c r="T147" s="311"/>
      <c r="U147" s="315"/>
    </row>
    <row r="148" spans="1:25" ht="14" x14ac:dyDescent="0.25">
      <c r="B148" s="594" t="s">
        <v>0</v>
      </c>
      <c r="C148" s="594"/>
      <c r="D148" s="585" t="s">
        <v>210</v>
      </c>
      <c r="E148" s="585"/>
      <c r="F148" s="585"/>
      <c r="G148" s="585"/>
      <c r="H148" s="586" t="s">
        <v>211</v>
      </c>
      <c r="I148" s="586"/>
      <c r="J148" s="586"/>
      <c r="K148" s="586"/>
      <c r="L148" s="587" t="s">
        <v>212</v>
      </c>
      <c r="M148" s="587"/>
      <c r="N148" s="587"/>
      <c r="O148" s="587"/>
      <c r="P148" s="588" t="s">
        <v>213</v>
      </c>
      <c r="Q148" s="588"/>
      <c r="R148" s="588"/>
      <c r="S148" s="589" t="s">
        <v>214</v>
      </c>
      <c r="T148" s="589"/>
      <c r="U148" s="589"/>
      <c r="V148" s="589"/>
      <c r="W148" s="589"/>
      <c r="X148" s="580" t="s">
        <v>215</v>
      </c>
    </row>
    <row r="149" spans="1:25" x14ac:dyDescent="0.25">
      <c r="A149" s="225" t="s">
        <v>249</v>
      </c>
      <c r="B149" s="594"/>
      <c r="C149" s="594"/>
      <c r="D149" s="581" t="s">
        <v>210</v>
      </c>
      <c r="E149" s="581" t="s">
        <v>216</v>
      </c>
      <c r="F149" s="581" t="s">
        <v>217</v>
      </c>
      <c r="G149" s="581" t="s">
        <v>218</v>
      </c>
      <c r="H149" s="582" t="s">
        <v>251</v>
      </c>
      <c r="I149" s="583" t="s">
        <v>220</v>
      </c>
      <c r="J149" s="583" t="s">
        <v>221</v>
      </c>
      <c r="K149" s="583" t="s">
        <v>222</v>
      </c>
      <c r="L149" s="584" t="s">
        <v>223</v>
      </c>
      <c r="M149" s="584" t="s">
        <v>224</v>
      </c>
      <c r="N149" s="584" t="s">
        <v>252</v>
      </c>
      <c r="O149" s="584" t="s">
        <v>226</v>
      </c>
      <c r="P149" s="590" t="s">
        <v>227</v>
      </c>
      <c r="Q149" s="590" t="s">
        <v>228</v>
      </c>
      <c r="R149" s="590" t="s">
        <v>229</v>
      </c>
      <c r="S149" s="592" t="s">
        <v>230</v>
      </c>
      <c r="T149" s="592" t="s">
        <v>231</v>
      </c>
      <c r="U149" s="592" t="s">
        <v>232</v>
      </c>
      <c r="V149" s="592" t="s">
        <v>233</v>
      </c>
      <c r="W149" s="592" t="s">
        <v>234</v>
      </c>
      <c r="X149" s="580"/>
    </row>
    <row r="150" spans="1:25" x14ac:dyDescent="0.25">
      <c r="A150" s="225" t="s">
        <v>255</v>
      </c>
      <c r="B150" s="594"/>
      <c r="C150" s="594"/>
      <c r="D150" s="581"/>
      <c r="E150" s="581"/>
      <c r="F150" s="581"/>
      <c r="G150" s="581"/>
      <c r="H150" s="582"/>
      <c r="I150" s="583"/>
      <c r="J150" s="583"/>
      <c r="K150" s="583"/>
      <c r="L150" s="584"/>
      <c r="M150" s="584"/>
      <c r="N150" s="584"/>
      <c r="O150" s="584"/>
      <c r="P150" s="590"/>
      <c r="Q150" s="590"/>
      <c r="R150" s="590"/>
      <c r="S150" s="592"/>
      <c r="T150" s="592"/>
      <c r="U150" s="592"/>
      <c r="V150" s="592"/>
      <c r="W150" s="592"/>
      <c r="X150" s="580"/>
    </row>
    <row r="151" spans="1:25" x14ac:dyDescent="0.25">
      <c r="B151" s="591" t="s">
        <v>235</v>
      </c>
      <c r="C151" s="316" t="s">
        <v>26</v>
      </c>
      <c r="D151" s="317">
        <v>1</v>
      </c>
      <c r="E151" s="318"/>
      <c r="F151" s="318"/>
      <c r="G151" s="318"/>
      <c r="H151" s="319">
        <v>1</v>
      </c>
      <c r="I151" s="319">
        <v>1</v>
      </c>
      <c r="J151" s="319">
        <v>1</v>
      </c>
      <c r="K151" s="318"/>
      <c r="L151" s="320">
        <v>1</v>
      </c>
      <c r="M151" s="321">
        <v>1</v>
      </c>
      <c r="N151" s="318"/>
      <c r="O151" s="318"/>
      <c r="P151" s="318"/>
      <c r="Q151" s="318"/>
      <c r="R151" s="322">
        <v>1</v>
      </c>
      <c r="S151" s="323">
        <v>1</v>
      </c>
      <c r="T151" s="323">
        <v>1</v>
      </c>
      <c r="U151" s="318"/>
      <c r="V151" s="318"/>
      <c r="W151" s="318"/>
      <c r="X151" s="316">
        <v>9</v>
      </c>
    </row>
    <row r="152" spans="1:25" x14ac:dyDescent="0.25">
      <c r="B152" s="591"/>
      <c r="C152" s="316" t="s">
        <v>27</v>
      </c>
      <c r="D152" s="324">
        <v>1</v>
      </c>
      <c r="E152" s="325"/>
      <c r="F152" s="325"/>
      <c r="G152" s="325"/>
      <c r="H152" s="319">
        <v>1</v>
      </c>
      <c r="I152" s="325"/>
      <c r="J152" s="319">
        <v>1</v>
      </c>
      <c r="K152" s="319">
        <v>1</v>
      </c>
      <c r="L152" s="321">
        <v>1</v>
      </c>
      <c r="M152" s="325"/>
      <c r="N152" s="321">
        <v>1</v>
      </c>
      <c r="O152" s="325"/>
      <c r="P152" s="325"/>
      <c r="Q152" s="325"/>
      <c r="R152" s="322">
        <v>1</v>
      </c>
      <c r="S152" s="326">
        <v>1</v>
      </c>
      <c r="T152" s="326">
        <v>1</v>
      </c>
      <c r="U152" s="325"/>
      <c r="V152" s="325"/>
      <c r="W152" s="325"/>
      <c r="X152" s="316">
        <v>9</v>
      </c>
    </row>
    <row r="153" spans="1:25" x14ac:dyDescent="0.25">
      <c r="B153" s="591"/>
      <c r="C153" s="316" t="s">
        <v>28</v>
      </c>
      <c r="D153" s="324">
        <v>1</v>
      </c>
      <c r="E153" s="325"/>
      <c r="F153" s="325"/>
      <c r="G153" s="325"/>
      <c r="H153" s="327">
        <v>1</v>
      </c>
      <c r="I153" s="327">
        <v>1</v>
      </c>
      <c r="J153" s="327">
        <v>1</v>
      </c>
      <c r="K153" s="327">
        <v>1</v>
      </c>
      <c r="L153" s="321">
        <v>1</v>
      </c>
      <c r="M153" s="325"/>
      <c r="N153" s="321">
        <v>1</v>
      </c>
      <c r="O153" s="325"/>
      <c r="P153" s="325"/>
      <c r="Q153" s="325"/>
      <c r="R153" s="325"/>
      <c r="S153" s="326">
        <v>1</v>
      </c>
      <c r="T153" s="325"/>
      <c r="U153" s="328"/>
      <c r="V153" s="326">
        <v>1</v>
      </c>
      <c r="W153" s="325"/>
      <c r="X153" s="316">
        <v>9</v>
      </c>
    </row>
    <row r="154" spans="1:25" x14ac:dyDescent="0.25">
      <c r="B154" s="591"/>
      <c r="C154" s="316" t="s">
        <v>29</v>
      </c>
      <c r="D154" s="324">
        <v>1</v>
      </c>
      <c r="E154" s="325"/>
      <c r="F154" s="325"/>
      <c r="G154" s="325"/>
      <c r="H154" s="327">
        <v>1</v>
      </c>
      <c r="I154" s="327">
        <v>1</v>
      </c>
      <c r="J154" s="327">
        <v>1</v>
      </c>
      <c r="K154" s="318"/>
      <c r="L154" s="325"/>
      <c r="M154" s="328"/>
      <c r="N154" s="328"/>
      <c r="O154" s="321">
        <v>1</v>
      </c>
      <c r="P154" s="325"/>
      <c r="Q154" s="325"/>
      <c r="R154" s="325"/>
      <c r="S154" s="326">
        <v>1</v>
      </c>
      <c r="T154" s="325"/>
      <c r="U154" s="325"/>
      <c r="V154" s="325"/>
      <c r="W154" s="325"/>
      <c r="X154" s="316">
        <v>6</v>
      </c>
    </row>
    <row r="155" spans="1:25" x14ac:dyDescent="0.25">
      <c r="B155" s="591"/>
      <c r="C155" s="316" t="s">
        <v>19</v>
      </c>
      <c r="D155" s="324">
        <v>1</v>
      </c>
      <c r="E155" s="325"/>
      <c r="F155" s="325"/>
      <c r="G155" s="325"/>
      <c r="H155" s="327">
        <v>1</v>
      </c>
      <c r="I155" s="327">
        <v>1</v>
      </c>
      <c r="J155" s="327">
        <v>1</v>
      </c>
      <c r="K155" s="327">
        <v>1</v>
      </c>
      <c r="L155" s="328"/>
      <c r="M155" s="328"/>
      <c r="N155" s="321">
        <v>1</v>
      </c>
      <c r="O155" s="321">
        <v>1</v>
      </c>
      <c r="P155" s="325"/>
      <c r="Q155" s="322">
        <v>1</v>
      </c>
      <c r="R155" s="325"/>
      <c r="S155" s="326">
        <v>1</v>
      </c>
      <c r="T155" s="326">
        <v>1</v>
      </c>
      <c r="U155" s="325"/>
      <c r="V155" s="326">
        <v>1</v>
      </c>
      <c r="W155" s="325"/>
      <c r="X155" s="316">
        <v>11</v>
      </c>
    </row>
    <row r="156" spans="1:25" x14ac:dyDescent="0.25">
      <c r="B156" s="591"/>
      <c r="C156" s="316" t="s">
        <v>23</v>
      </c>
      <c r="D156" s="324">
        <v>1</v>
      </c>
      <c r="E156" s="325"/>
      <c r="F156" s="325"/>
      <c r="G156" s="325"/>
      <c r="H156" s="327">
        <v>1</v>
      </c>
      <c r="I156" s="327">
        <v>1</v>
      </c>
      <c r="J156" s="327">
        <v>1</v>
      </c>
      <c r="K156" s="325"/>
      <c r="L156" s="329">
        <v>1</v>
      </c>
      <c r="M156" s="325"/>
      <c r="N156" s="325"/>
      <c r="O156" s="325"/>
      <c r="P156" s="328"/>
      <c r="Q156" s="328"/>
      <c r="R156" s="325"/>
      <c r="S156" s="325"/>
      <c r="T156" s="326">
        <v>1</v>
      </c>
      <c r="U156" s="325"/>
      <c r="V156" s="326">
        <v>1</v>
      </c>
      <c r="W156" s="325"/>
      <c r="X156" s="316">
        <v>7</v>
      </c>
    </row>
    <row r="157" spans="1:25" x14ac:dyDescent="0.25">
      <c r="B157" s="591"/>
      <c r="C157" s="316" t="s">
        <v>20</v>
      </c>
      <c r="D157" s="324">
        <v>1</v>
      </c>
      <c r="E157" s="325"/>
      <c r="F157" s="325"/>
      <c r="G157" s="325"/>
      <c r="H157" s="327">
        <v>1</v>
      </c>
      <c r="I157" s="327">
        <v>1</v>
      </c>
      <c r="J157" s="327">
        <v>1</v>
      </c>
      <c r="K157" s="327">
        <v>1</v>
      </c>
      <c r="L157" s="321">
        <v>1</v>
      </c>
      <c r="M157" s="321">
        <v>1</v>
      </c>
      <c r="N157" s="321">
        <v>1</v>
      </c>
      <c r="O157" s="325"/>
      <c r="P157" s="325"/>
      <c r="Q157" s="322">
        <v>1</v>
      </c>
      <c r="R157" s="325"/>
      <c r="S157" s="326">
        <v>1</v>
      </c>
      <c r="T157" s="326">
        <v>1</v>
      </c>
      <c r="U157" s="325"/>
      <c r="V157" s="325"/>
      <c r="W157" s="325"/>
      <c r="X157" s="316">
        <v>11</v>
      </c>
    </row>
    <row r="158" spans="1:25" x14ac:dyDescent="0.25">
      <c r="B158" s="591"/>
      <c r="C158" s="316" t="s">
        <v>18</v>
      </c>
      <c r="D158" s="324">
        <v>1</v>
      </c>
      <c r="E158" s="325"/>
      <c r="F158" s="325"/>
      <c r="G158" s="325"/>
      <c r="H158" s="327">
        <v>1</v>
      </c>
      <c r="I158" s="327">
        <v>1</v>
      </c>
      <c r="J158" s="327">
        <v>1</v>
      </c>
      <c r="K158" s="325"/>
      <c r="L158" s="321">
        <v>1</v>
      </c>
      <c r="M158" s="321">
        <v>1</v>
      </c>
      <c r="N158" s="325"/>
      <c r="O158" s="325"/>
      <c r="P158" s="322">
        <v>1</v>
      </c>
      <c r="Q158" s="322">
        <v>1</v>
      </c>
      <c r="R158" s="325"/>
      <c r="S158" s="326">
        <v>1</v>
      </c>
      <c r="T158" s="326">
        <v>1</v>
      </c>
      <c r="U158" s="325"/>
      <c r="V158" s="326">
        <v>1</v>
      </c>
      <c r="W158" s="325"/>
      <c r="X158" s="316">
        <v>11</v>
      </c>
    </row>
    <row r="159" spans="1:25" x14ac:dyDescent="0.25">
      <c r="B159" s="591"/>
      <c r="C159" s="316" t="s">
        <v>36</v>
      </c>
      <c r="D159" s="324">
        <v>1</v>
      </c>
      <c r="E159" s="325"/>
      <c r="F159" s="325"/>
      <c r="G159" s="325"/>
      <c r="H159" s="327">
        <v>1</v>
      </c>
      <c r="I159" s="325"/>
      <c r="J159" s="327">
        <v>1</v>
      </c>
      <c r="K159" s="327">
        <v>1</v>
      </c>
      <c r="L159" s="321">
        <v>1</v>
      </c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6">
        <v>1</v>
      </c>
      <c r="X159" s="316">
        <v>6</v>
      </c>
    </row>
    <row r="160" spans="1:25" x14ac:dyDescent="0.25">
      <c r="B160" s="591"/>
      <c r="C160" s="316" t="s">
        <v>35</v>
      </c>
      <c r="D160" s="324">
        <v>1</v>
      </c>
      <c r="E160" s="325"/>
      <c r="F160" s="324">
        <v>1</v>
      </c>
      <c r="G160" s="325"/>
      <c r="H160" s="327">
        <v>1</v>
      </c>
      <c r="I160" s="327">
        <v>1</v>
      </c>
      <c r="J160" s="327">
        <v>1</v>
      </c>
      <c r="K160" s="325"/>
      <c r="L160" s="325"/>
      <c r="M160" s="325"/>
      <c r="N160" s="325"/>
      <c r="O160" s="325"/>
      <c r="P160" s="325"/>
      <c r="Q160" s="325"/>
      <c r="R160" s="325"/>
      <c r="S160" s="325"/>
      <c r="T160" s="326">
        <v>1</v>
      </c>
      <c r="U160" s="325"/>
      <c r="V160" s="325"/>
      <c r="W160" s="326">
        <v>1</v>
      </c>
      <c r="X160" s="316">
        <v>7</v>
      </c>
    </row>
    <row r="161" spans="2:24" x14ac:dyDescent="0.25">
      <c r="B161" s="591" t="s">
        <v>236</v>
      </c>
      <c r="C161" s="316" t="s">
        <v>24</v>
      </c>
      <c r="D161" s="324">
        <v>1</v>
      </c>
      <c r="E161" s="325"/>
      <c r="F161" s="325"/>
      <c r="G161" s="325"/>
      <c r="H161" s="327">
        <v>1</v>
      </c>
      <c r="I161" s="327">
        <v>1</v>
      </c>
      <c r="J161" s="327">
        <v>1</v>
      </c>
      <c r="K161" s="325"/>
      <c r="L161" s="321">
        <v>1</v>
      </c>
      <c r="M161" s="325"/>
      <c r="N161" s="325"/>
      <c r="O161" s="325"/>
      <c r="P161" s="325"/>
      <c r="Q161" s="325"/>
      <c r="R161" s="322">
        <v>1</v>
      </c>
      <c r="S161" s="326">
        <v>1</v>
      </c>
      <c r="T161" s="326">
        <v>1</v>
      </c>
      <c r="U161" s="325"/>
      <c r="V161" s="325"/>
      <c r="W161" s="325"/>
      <c r="X161" s="316">
        <v>8</v>
      </c>
    </row>
    <row r="162" spans="2:24" x14ac:dyDescent="0.25">
      <c r="B162" s="591"/>
      <c r="C162" s="316" t="s">
        <v>21</v>
      </c>
      <c r="D162" s="324">
        <v>1</v>
      </c>
      <c r="E162" s="318"/>
      <c r="F162" s="318"/>
      <c r="G162" s="325"/>
      <c r="H162" s="319">
        <v>1</v>
      </c>
      <c r="I162" s="319">
        <v>1</v>
      </c>
      <c r="J162" s="319">
        <v>1</v>
      </c>
      <c r="K162" s="318"/>
      <c r="L162" s="320">
        <v>1</v>
      </c>
      <c r="M162" s="325"/>
      <c r="N162" s="318"/>
      <c r="O162" s="318"/>
      <c r="P162" s="325"/>
      <c r="Q162" s="325"/>
      <c r="R162" s="325"/>
      <c r="S162" s="326">
        <v>1</v>
      </c>
      <c r="T162" s="326">
        <v>1</v>
      </c>
      <c r="U162" s="318"/>
      <c r="V162" s="318"/>
      <c r="W162" s="318"/>
      <c r="X162" s="316">
        <v>7</v>
      </c>
    </row>
    <row r="163" spans="2:24" x14ac:dyDescent="0.25">
      <c r="B163" s="591"/>
      <c r="C163" s="316" t="s">
        <v>41</v>
      </c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25"/>
      <c r="Q163" s="325"/>
      <c r="R163" s="325"/>
      <c r="S163" s="325"/>
      <c r="T163" s="325"/>
      <c r="U163" s="325"/>
      <c r="V163" s="325"/>
      <c r="W163" s="325"/>
      <c r="X163" s="316">
        <v>0</v>
      </c>
    </row>
    <row r="164" spans="2:24" x14ac:dyDescent="0.25">
      <c r="B164" s="591"/>
      <c r="C164" s="316" t="s">
        <v>30</v>
      </c>
      <c r="D164" s="324">
        <v>1</v>
      </c>
      <c r="E164" s="318"/>
      <c r="F164" s="318"/>
      <c r="G164" s="324">
        <v>1</v>
      </c>
      <c r="H164" s="319">
        <v>1</v>
      </c>
      <c r="I164" s="318"/>
      <c r="J164" s="318"/>
      <c r="K164" s="318"/>
      <c r="L164" s="318"/>
      <c r="M164" s="318"/>
      <c r="N164" s="318"/>
      <c r="O164" s="318"/>
      <c r="P164" s="325"/>
      <c r="Q164" s="325"/>
      <c r="R164" s="325"/>
      <c r="S164" s="325"/>
      <c r="T164" s="326">
        <v>1</v>
      </c>
      <c r="U164" s="325"/>
      <c r="V164" s="325"/>
      <c r="W164" s="325"/>
      <c r="X164" s="316">
        <v>4</v>
      </c>
    </row>
    <row r="165" spans="2:24" x14ac:dyDescent="0.25">
      <c r="B165" s="591"/>
      <c r="C165" s="316" t="s">
        <v>25</v>
      </c>
      <c r="D165" s="318"/>
      <c r="E165" s="318"/>
      <c r="F165" s="318"/>
      <c r="G165" s="318"/>
      <c r="H165" s="319">
        <v>1</v>
      </c>
      <c r="I165" s="319">
        <v>1</v>
      </c>
      <c r="J165" s="319">
        <v>1</v>
      </c>
      <c r="K165" s="318"/>
      <c r="L165" s="318"/>
      <c r="M165" s="321">
        <v>1</v>
      </c>
      <c r="N165" s="318"/>
      <c r="O165" s="318"/>
      <c r="P165" s="325"/>
      <c r="Q165" s="325"/>
      <c r="R165" s="322">
        <v>1</v>
      </c>
      <c r="S165" s="325"/>
      <c r="T165" s="325"/>
      <c r="U165" s="325"/>
      <c r="V165" s="325"/>
      <c r="W165" s="325"/>
      <c r="X165" s="316">
        <v>5</v>
      </c>
    </row>
    <row r="166" spans="2:24" x14ac:dyDescent="0.25">
      <c r="B166" s="591" t="s">
        <v>237</v>
      </c>
      <c r="C166" s="316" t="s">
        <v>32</v>
      </c>
      <c r="D166" s="325"/>
      <c r="E166" s="325"/>
      <c r="F166" s="325"/>
      <c r="G166" s="325"/>
      <c r="H166" s="327">
        <v>1</v>
      </c>
      <c r="I166" s="319">
        <v>1</v>
      </c>
      <c r="J166" s="327">
        <v>1</v>
      </c>
      <c r="K166" s="327">
        <v>1</v>
      </c>
      <c r="L166" s="325"/>
      <c r="M166" s="325"/>
      <c r="N166" s="325"/>
      <c r="O166" s="325"/>
      <c r="P166" s="325"/>
      <c r="Q166" s="325"/>
      <c r="R166" s="325"/>
      <c r="S166" s="325"/>
      <c r="T166" s="326">
        <v>1</v>
      </c>
      <c r="U166" s="326">
        <v>1</v>
      </c>
      <c r="V166" s="325"/>
      <c r="W166" s="325"/>
      <c r="X166" s="316">
        <v>6</v>
      </c>
    </row>
    <row r="167" spans="2:24" x14ac:dyDescent="0.25">
      <c r="B167" s="591"/>
      <c r="C167" s="316" t="s">
        <v>34</v>
      </c>
      <c r="D167" s="330"/>
      <c r="E167" s="325"/>
      <c r="F167" s="325"/>
      <c r="G167" s="325"/>
      <c r="H167" s="327">
        <v>1</v>
      </c>
      <c r="I167" s="319">
        <v>1</v>
      </c>
      <c r="J167" s="327">
        <v>1</v>
      </c>
      <c r="K167" s="327">
        <v>1</v>
      </c>
      <c r="L167" s="321">
        <v>1</v>
      </c>
      <c r="M167" s="325"/>
      <c r="N167" s="325"/>
      <c r="O167" s="325"/>
      <c r="P167" s="325"/>
      <c r="Q167" s="322">
        <v>1</v>
      </c>
      <c r="R167" s="325"/>
      <c r="S167" s="326">
        <v>1</v>
      </c>
      <c r="T167" s="326">
        <v>1</v>
      </c>
      <c r="U167" s="325"/>
      <c r="V167" s="325"/>
      <c r="W167" s="325"/>
      <c r="X167" s="316">
        <v>8</v>
      </c>
    </row>
    <row r="168" spans="2:24" x14ac:dyDescent="0.25">
      <c r="B168" s="591"/>
      <c r="C168" s="316" t="s">
        <v>31</v>
      </c>
      <c r="D168" s="325"/>
      <c r="E168" s="325"/>
      <c r="F168" s="325"/>
      <c r="G168" s="325"/>
      <c r="H168" s="327">
        <v>1</v>
      </c>
      <c r="I168" s="327">
        <v>1</v>
      </c>
      <c r="J168" s="327">
        <v>1</v>
      </c>
      <c r="K168" s="325"/>
      <c r="L168" s="321">
        <v>1</v>
      </c>
      <c r="M168" s="325"/>
      <c r="N168" s="325"/>
      <c r="O168" s="325"/>
      <c r="P168" s="325"/>
      <c r="Q168" s="325"/>
      <c r="R168" s="325"/>
      <c r="S168" s="325"/>
      <c r="T168" s="325"/>
      <c r="U168" s="326">
        <v>1</v>
      </c>
      <c r="V168" s="325"/>
      <c r="W168" s="325"/>
      <c r="X168" s="316">
        <v>5</v>
      </c>
    </row>
    <row r="169" spans="2:24" x14ac:dyDescent="0.25">
      <c r="B169" s="591"/>
      <c r="C169" s="316" t="s">
        <v>38</v>
      </c>
      <c r="D169" s="325"/>
      <c r="E169" s="325"/>
      <c r="F169" s="325"/>
      <c r="G169" s="325"/>
      <c r="H169" s="327">
        <v>1</v>
      </c>
      <c r="I169" s="327">
        <v>1</v>
      </c>
      <c r="J169" s="327">
        <v>1</v>
      </c>
      <c r="K169" s="325"/>
      <c r="L169" s="321">
        <v>1</v>
      </c>
      <c r="M169" s="325"/>
      <c r="N169" s="325"/>
      <c r="O169" s="325"/>
      <c r="P169" s="325"/>
      <c r="Q169" s="325"/>
      <c r="R169" s="325"/>
      <c r="S169" s="325"/>
      <c r="T169" s="325"/>
      <c r="U169" s="325"/>
      <c r="V169" s="325"/>
      <c r="W169" s="325"/>
      <c r="X169" s="316">
        <v>4</v>
      </c>
    </row>
    <row r="170" spans="2:24" x14ac:dyDescent="0.25">
      <c r="B170" s="591" t="s">
        <v>238</v>
      </c>
      <c r="C170" s="316" t="s">
        <v>33</v>
      </c>
      <c r="D170" s="325"/>
      <c r="E170" s="325"/>
      <c r="F170" s="325"/>
      <c r="G170" s="325"/>
      <c r="H170" s="327">
        <v>1</v>
      </c>
      <c r="I170" s="327">
        <v>1</v>
      </c>
      <c r="J170" s="327">
        <v>1</v>
      </c>
      <c r="K170" s="325"/>
      <c r="L170" s="321">
        <v>1</v>
      </c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6">
        <v>1</v>
      </c>
      <c r="X170" s="316">
        <v>5</v>
      </c>
    </row>
    <row r="171" spans="2:24" x14ac:dyDescent="0.25">
      <c r="B171" s="591"/>
      <c r="C171" s="316" t="s">
        <v>37</v>
      </c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16">
        <v>0</v>
      </c>
    </row>
    <row r="172" spans="2:24" x14ac:dyDescent="0.25">
      <c r="B172" s="593" t="s">
        <v>239</v>
      </c>
      <c r="C172" s="593"/>
      <c r="D172" s="316">
        <v>13</v>
      </c>
      <c r="E172" s="316">
        <v>0</v>
      </c>
      <c r="F172" s="316">
        <v>1</v>
      </c>
      <c r="G172" s="316">
        <v>1</v>
      </c>
      <c r="H172" s="316">
        <v>19</v>
      </c>
      <c r="I172" s="316">
        <v>16</v>
      </c>
      <c r="J172" s="316">
        <v>18</v>
      </c>
      <c r="K172" s="316">
        <v>7</v>
      </c>
      <c r="L172" s="316">
        <v>13</v>
      </c>
      <c r="M172" s="316">
        <v>4</v>
      </c>
      <c r="N172" s="316">
        <v>4</v>
      </c>
      <c r="O172" s="316">
        <v>2</v>
      </c>
      <c r="P172" s="316">
        <v>1</v>
      </c>
      <c r="Q172" s="316">
        <v>4</v>
      </c>
      <c r="R172" s="316">
        <v>4</v>
      </c>
      <c r="S172" s="316">
        <v>10</v>
      </c>
      <c r="T172" s="316">
        <v>12</v>
      </c>
      <c r="U172" s="316">
        <v>2</v>
      </c>
      <c r="V172" s="316">
        <v>4</v>
      </c>
      <c r="W172" s="316">
        <v>3</v>
      </c>
      <c r="X172" s="316">
        <v>138</v>
      </c>
    </row>
    <row r="176" spans="2:24" ht="14.25" customHeight="1" x14ac:dyDescent="0.25">
      <c r="B176" s="331" t="s">
        <v>0</v>
      </c>
      <c r="C176" s="331"/>
      <c r="D176" s="332" t="s">
        <v>210</v>
      </c>
      <c r="E176" s="332"/>
      <c r="F176" s="332"/>
      <c r="G176" s="332"/>
      <c r="H176" s="333" t="s">
        <v>211</v>
      </c>
      <c r="I176" s="333"/>
      <c r="J176" s="333"/>
      <c r="K176" s="333"/>
      <c r="L176" s="334" t="s">
        <v>212</v>
      </c>
      <c r="M176" s="334"/>
      <c r="N176" s="334"/>
      <c r="O176" s="334"/>
      <c r="P176" s="335" t="s">
        <v>213</v>
      </c>
      <c r="Q176" s="335"/>
      <c r="R176" s="335"/>
      <c r="S176" s="336" t="s">
        <v>214</v>
      </c>
      <c r="T176" s="336"/>
      <c r="U176" s="336"/>
      <c r="V176" s="336"/>
      <c r="W176" s="336"/>
      <c r="X176" s="337" t="s">
        <v>215</v>
      </c>
    </row>
    <row r="177" spans="1:25" s="344" customFormat="1" ht="39" customHeight="1" x14ac:dyDescent="0.25">
      <c r="A177" s="225" t="s">
        <v>249</v>
      </c>
      <c r="B177" s="331"/>
      <c r="C177" s="331"/>
      <c r="D177" s="338" t="s">
        <v>210</v>
      </c>
      <c r="E177" s="338" t="s">
        <v>216</v>
      </c>
      <c r="F177" s="338" t="s">
        <v>217</v>
      </c>
      <c r="G177" s="338" t="s">
        <v>218</v>
      </c>
      <c r="H177" s="339" t="s">
        <v>219</v>
      </c>
      <c r="I177" s="339" t="s">
        <v>220</v>
      </c>
      <c r="J177" s="339" t="s">
        <v>221</v>
      </c>
      <c r="K177" s="339" t="s">
        <v>222</v>
      </c>
      <c r="L177" s="340" t="s">
        <v>223</v>
      </c>
      <c r="M177" s="340" t="s">
        <v>224</v>
      </c>
      <c r="N177" s="340" t="s">
        <v>225</v>
      </c>
      <c r="O177" s="340" t="s">
        <v>226</v>
      </c>
      <c r="P177" s="341" t="s">
        <v>227</v>
      </c>
      <c r="Q177" s="341" t="s">
        <v>228</v>
      </c>
      <c r="R177" s="341" t="s">
        <v>229</v>
      </c>
      <c r="S177" s="342" t="s">
        <v>230</v>
      </c>
      <c r="T177" s="342" t="s">
        <v>231</v>
      </c>
      <c r="U177" s="342" t="s">
        <v>232</v>
      </c>
      <c r="V177" s="342" t="s">
        <v>233</v>
      </c>
      <c r="W177" s="342" t="s">
        <v>234</v>
      </c>
      <c r="X177" s="337"/>
      <c r="Y177" s="343"/>
    </row>
    <row r="178" spans="1:25" s="347" customFormat="1" x14ac:dyDescent="0.25">
      <c r="A178" s="225" t="s">
        <v>256</v>
      </c>
      <c r="B178" s="591" t="s">
        <v>235</v>
      </c>
      <c r="C178" s="345" t="s">
        <v>26</v>
      </c>
      <c r="D178" s="317">
        <v>1</v>
      </c>
      <c r="E178" s="346"/>
      <c r="F178" s="346"/>
      <c r="G178" s="346"/>
      <c r="H178" s="319">
        <v>1</v>
      </c>
      <c r="I178" s="319">
        <v>1</v>
      </c>
      <c r="J178" s="319">
        <v>1</v>
      </c>
      <c r="K178" s="346"/>
      <c r="L178" s="320">
        <v>1</v>
      </c>
      <c r="M178" s="320">
        <v>1</v>
      </c>
      <c r="N178" s="346"/>
      <c r="O178" s="346"/>
      <c r="P178" s="346"/>
      <c r="Q178" s="346"/>
      <c r="R178" s="322">
        <v>1</v>
      </c>
      <c r="S178" s="323">
        <v>1</v>
      </c>
      <c r="T178" s="323">
        <v>1</v>
      </c>
      <c r="U178" s="346"/>
      <c r="V178" s="346"/>
      <c r="W178" s="346"/>
      <c r="X178" s="345">
        <v>9</v>
      </c>
      <c r="Y178" s="315"/>
    </row>
    <row r="179" spans="1:25" s="347" customFormat="1" x14ac:dyDescent="0.25">
      <c r="B179" s="591"/>
      <c r="C179" s="345" t="s">
        <v>27</v>
      </c>
      <c r="D179" s="317">
        <v>1</v>
      </c>
      <c r="E179" s="330"/>
      <c r="F179" s="330"/>
      <c r="G179" s="330"/>
      <c r="H179" s="319">
        <v>1</v>
      </c>
      <c r="I179" s="330"/>
      <c r="J179" s="319">
        <v>1</v>
      </c>
      <c r="K179" s="319">
        <v>1</v>
      </c>
      <c r="L179" s="321">
        <v>1</v>
      </c>
      <c r="M179" s="330"/>
      <c r="N179" s="321">
        <v>1</v>
      </c>
      <c r="O179" s="330"/>
      <c r="P179" s="330"/>
      <c r="Q179" s="330"/>
      <c r="R179" s="322">
        <v>1</v>
      </c>
      <c r="S179" s="326">
        <v>1</v>
      </c>
      <c r="T179" s="326">
        <v>1</v>
      </c>
      <c r="U179" s="330"/>
      <c r="V179" s="330"/>
      <c r="W179" s="330"/>
      <c r="X179" s="345">
        <v>9</v>
      </c>
      <c r="Y179" s="315"/>
    </row>
    <row r="180" spans="1:25" s="347" customFormat="1" x14ac:dyDescent="0.25">
      <c r="B180" s="591"/>
      <c r="C180" s="345" t="s">
        <v>28</v>
      </c>
      <c r="D180" s="317">
        <v>1</v>
      </c>
      <c r="E180" s="330"/>
      <c r="F180" s="330"/>
      <c r="G180" s="330"/>
      <c r="H180" s="327">
        <v>1</v>
      </c>
      <c r="I180" s="327">
        <v>1</v>
      </c>
      <c r="J180" s="327">
        <v>1</v>
      </c>
      <c r="K180" s="327">
        <v>1</v>
      </c>
      <c r="L180" s="321">
        <v>1</v>
      </c>
      <c r="M180" s="330"/>
      <c r="N180" s="321">
        <v>1</v>
      </c>
      <c r="O180" s="330"/>
      <c r="P180" s="330"/>
      <c r="Q180" s="330"/>
      <c r="R180" s="330"/>
      <c r="S180" s="326">
        <v>1</v>
      </c>
      <c r="T180" s="330"/>
      <c r="U180" s="330"/>
      <c r="V180" s="326">
        <v>1</v>
      </c>
      <c r="W180" s="330"/>
      <c r="X180" s="345">
        <v>9</v>
      </c>
      <c r="Y180" s="315"/>
    </row>
    <row r="181" spans="1:25" s="347" customFormat="1" x14ac:dyDescent="0.25">
      <c r="B181" s="591"/>
      <c r="C181" s="345" t="s">
        <v>29</v>
      </c>
      <c r="D181" s="317">
        <v>1</v>
      </c>
      <c r="E181" s="330"/>
      <c r="F181" s="330"/>
      <c r="G181" s="330"/>
      <c r="H181" s="327">
        <v>1</v>
      </c>
      <c r="I181" s="327">
        <v>1</v>
      </c>
      <c r="J181" s="327">
        <v>1</v>
      </c>
      <c r="K181" s="346"/>
      <c r="L181" s="330"/>
      <c r="M181" s="330"/>
      <c r="N181" s="330"/>
      <c r="O181" s="321">
        <v>1</v>
      </c>
      <c r="P181" s="330"/>
      <c r="Q181" s="330"/>
      <c r="R181" s="330"/>
      <c r="S181" s="326">
        <v>1</v>
      </c>
      <c r="T181" s="330"/>
      <c r="U181" s="330"/>
      <c r="V181" s="330"/>
      <c r="W181" s="330"/>
      <c r="X181" s="345">
        <v>6</v>
      </c>
      <c r="Y181" s="315"/>
    </row>
    <row r="182" spans="1:25" s="347" customFormat="1" x14ac:dyDescent="0.25">
      <c r="B182" s="591"/>
      <c r="C182" s="345" t="s">
        <v>19</v>
      </c>
      <c r="D182" s="317">
        <v>1</v>
      </c>
      <c r="E182" s="330"/>
      <c r="F182" s="330"/>
      <c r="G182" s="330"/>
      <c r="H182" s="327">
        <v>1</v>
      </c>
      <c r="I182" s="327">
        <v>1</v>
      </c>
      <c r="J182" s="327">
        <v>1</v>
      </c>
      <c r="K182" s="327">
        <v>1</v>
      </c>
      <c r="L182" s="330"/>
      <c r="M182" s="330"/>
      <c r="N182" s="321">
        <v>1</v>
      </c>
      <c r="O182" s="321">
        <v>1</v>
      </c>
      <c r="P182" s="330"/>
      <c r="Q182" s="322">
        <v>1</v>
      </c>
      <c r="R182" s="330"/>
      <c r="S182" s="326">
        <v>1</v>
      </c>
      <c r="T182" s="326">
        <v>1</v>
      </c>
      <c r="U182" s="330"/>
      <c r="V182" s="326">
        <v>1</v>
      </c>
      <c r="W182" s="330"/>
      <c r="X182" s="345">
        <v>11</v>
      </c>
      <c r="Y182" s="315"/>
    </row>
    <row r="183" spans="1:25" s="347" customFormat="1" x14ac:dyDescent="0.25">
      <c r="B183" s="591"/>
      <c r="C183" s="345" t="s">
        <v>23</v>
      </c>
      <c r="D183" s="317">
        <v>1</v>
      </c>
      <c r="E183" s="330"/>
      <c r="F183" s="330"/>
      <c r="G183" s="330"/>
      <c r="H183" s="327">
        <v>1</v>
      </c>
      <c r="I183" s="327">
        <v>1</v>
      </c>
      <c r="J183" s="327">
        <v>1</v>
      </c>
      <c r="K183" s="330"/>
      <c r="L183" s="329">
        <v>1</v>
      </c>
      <c r="M183" s="330"/>
      <c r="N183" s="330"/>
      <c r="O183" s="321">
        <v>1</v>
      </c>
      <c r="P183" s="330"/>
      <c r="Q183" s="322">
        <v>1</v>
      </c>
      <c r="R183" s="330"/>
      <c r="S183" s="330"/>
      <c r="T183" s="326">
        <v>1</v>
      </c>
      <c r="U183" s="330"/>
      <c r="V183" s="326">
        <v>1</v>
      </c>
      <c r="W183" s="330"/>
      <c r="X183" s="345">
        <v>9</v>
      </c>
      <c r="Y183" s="315"/>
    </row>
    <row r="184" spans="1:25" s="347" customFormat="1" x14ac:dyDescent="0.25">
      <c r="B184" s="591"/>
      <c r="C184" s="345" t="s">
        <v>20</v>
      </c>
      <c r="D184" s="317">
        <v>1</v>
      </c>
      <c r="E184" s="330"/>
      <c r="F184" s="330"/>
      <c r="G184" s="330"/>
      <c r="H184" s="327">
        <v>1</v>
      </c>
      <c r="I184" s="327">
        <v>1</v>
      </c>
      <c r="J184" s="327">
        <v>1</v>
      </c>
      <c r="K184" s="327">
        <v>1</v>
      </c>
      <c r="L184" s="321">
        <v>1</v>
      </c>
      <c r="M184" s="321">
        <v>1</v>
      </c>
      <c r="N184" s="321">
        <v>1</v>
      </c>
      <c r="O184" s="330"/>
      <c r="P184" s="330"/>
      <c r="Q184" s="322">
        <v>1</v>
      </c>
      <c r="R184" s="330"/>
      <c r="S184" s="326">
        <v>1</v>
      </c>
      <c r="T184" s="326">
        <v>1</v>
      </c>
      <c r="U184" s="330"/>
      <c r="V184" s="330"/>
      <c r="W184" s="330"/>
      <c r="X184" s="345">
        <v>11</v>
      </c>
      <c r="Y184" s="315"/>
    </row>
    <row r="185" spans="1:25" s="347" customFormat="1" x14ac:dyDescent="0.25">
      <c r="B185" s="591"/>
      <c r="C185" s="345" t="s">
        <v>18</v>
      </c>
      <c r="D185" s="317">
        <v>1</v>
      </c>
      <c r="E185" s="330"/>
      <c r="F185" s="330"/>
      <c r="G185" s="330"/>
      <c r="H185" s="327">
        <v>1</v>
      </c>
      <c r="I185" s="327">
        <v>1</v>
      </c>
      <c r="J185" s="327">
        <v>1</v>
      </c>
      <c r="K185" s="330"/>
      <c r="L185" s="321">
        <v>1</v>
      </c>
      <c r="M185" s="321">
        <v>1</v>
      </c>
      <c r="N185" s="330"/>
      <c r="O185" s="330"/>
      <c r="P185" s="322">
        <v>1</v>
      </c>
      <c r="Q185" s="322">
        <v>1</v>
      </c>
      <c r="R185" s="330"/>
      <c r="S185" s="326">
        <v>1</v>
      </c>
      <c r="T185" s="326">
        <v>1</v>
      </c>
      <c r="U185" s="330"/>
      <c r="V185" s="326">
        <v>1</v>
      </c>
      <c r="W185" s="330"/>
      <c r="X185" s="345">
        <v>11</v>
      </c>
      <c r="Y185" s="315"/>
    </row>
    <row r="186" spans="1:25" s="347" customFormat="1" x14ac:dyDescent="0.25">
      <c r="B186" s="591"/>
      <c r="C186" s="345" t="s">
        <v>36</v>
      </c>
      <c r="D186" s="317">
        <v>1</v>
      </c>
      <c r="E186" s="330"/>
      <c r="F186" s="330"/>
      <c r="G186" s="330"/>
      <c r="H186" s="327">
        <v>1</v>
      </c>
      <c r="I186" s="330"/>
      <c r="J186" s="327">
        <v>1</v>
      </c>
      <c r="K186" s="327">
        <v>1</v>
      </c>
      <c r="L186" s="321">
        <v>1</v>
      </c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26">
        <v>1</v>
      </c>
      <c r="X186" s="345">
        <v>6</v>
      </c>
      <c r="Y186" s="315"/>
    </row>
    <row r="187" spans="1:25" s="347" customFormat="1" x14ac:dyDescent="0.25">
      <c r="B187" s="591"/>
      <c r="C187" s="345" t="s">
        <v>35</v>
      </c>
      <c r="D187" s="317">
        <v>1</v>
      </c>
      <c r="E187" s="330"/>
      <c r="F187" s="324">
        <v>1</v>
      </c>
      <c r="G187" s="330"/>
      <c r="H187" s="327">
        <v>1</v>
      </c>
      <c r="I187" s="327">
        <v>1</v>
      </c>
      <c r="J187" s="327">
        <v>1</v>
      </c>
      <c r="K187" s="330"/>
      <c r="L187" s="330"/>
      <c r="M187" s="330"/>
      <c r="N187" s="330"/>
      <c r="O187" s="330"/>
      <c r="P187" s="330"/>
      <c r="Q187" s="330"/>
      <c r="R187" s="330"/>
      <c r="S187" s="330"/>
      <c r="T187" s="326">
        <v>1</v>
      </c>
      <c r="U187" s="330"/>
      <c r="V187" s="330"/>
      <c r="W187" s="326">
        <v>1</v>
      </c>
      <c r="X187" s="345">
        <v>7</v>
      </c>
      <c r="Y187" s="315"/>
    </row>
    <row r="188" spans="1:25" s="347" customFormat="1" x14ac:dyDescent="0.25">
      <c r="B188" s="591" t="s">
        <v>236</v>
      </c>
      <c r="C188" s="345" t="s">
        <v>24</v>
      </c>
      <c r="D188" s="317">
        <v>1</v>
      </c>
      <c r="E188" s="330"/>
      <c r="F188" s="330"/>
      <c r="G188" s="330"/>
      <c r="H188" s="327">
        <v>1</v>
      </c>
      <c r="I188" s="327">
        <v>1</v>
      </c>
      <c r="J188" s="327">
        <v>1</v>
      </c>
      <c r="K188" s="330"/>
      <c r="L188" s="321">
        <v>1</v>
      </c>
      <c r="M188" s="330"/>
      <c r="N188" s="330"/>
      <c r="O188" s="330"/>
      <c r="P188" s="330"/>
      <c r="Q188" s="330"/>
      <c r="R188" s="322">
        <v>1</v>
      </c>
      <c r="S188" s="326">
        <v>1</v>
      </c>
      <c r="T188" s="326">
        <v>1</v>
      </c>
      <c r="U188" s="330"/>
      <c r="V188" s="330"/>
      <c r="W188" s="330"/>
      <c r="X188" s="345">
        <v>8</v>
      </c>
      <c r="Y188" s="315"/>
    </row>
    <row r="189" spans="1:25" s="347" customFormat="1" x14ac:dyDescent="0.25">
      <c r="B189" s="591"/>
      <c r="C189" s="345" t="s">
        <v>21</v>
      </c>
      <c r="D189" s="317">
        <v>1</v>
      </c>
      <c r="E189" s="346"/>
      <c r="F189" s="346"/>
      <c r="G189" s="346"/>
      <c r="H189" s="319">
        <v>1</v>
      </c>
      <c r="I189" s="319">
        <v>1</v>
      </c>
      <c r="J189" s="319">
        <v>1</v>
      </c>
      <c r="K189" s="346"/>
      <c r="L189" s="321">
        <v>1</v>
      </c>
      <c r="M189" s="330"/>
      <c r="N189" s="330"/>
      <c r="O189" s="330"/>
      <c r="P189" s="330"/>
      <c r="Q189" s="330"/>
      <c r="R189" s="330"/>
      <c r="S189" s="326">
        <v>1</v>
      </c>
      <c r="T189" s="326">
        <v>1</v>
      </c>
      <c r="U189" s="346"/>
      <c r="V189" s="346"/>
      <c r="W189" s="346"/>
      <c r="X189" s="345">
        <v>7</v>
      </c>
      <c r="Y189" s="315"/>
    </row>
    <row r="190" spans="1:25" s="347" customFormat="1" x14ac:dyDescent="0.25">
      <c r="B190" s="591"/>
      <c r="C190" s="345" t="s">
        <v>41</v>
      </c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30"/>
      <c r="Q190" s="330"/>
      <c r="R190" s="330"/>
      <c r="S190" s="330"/>
      <c r="T190" s="330"/>
      <c r="U190" s="330"/>
      <c r="V190" s="330"/>
      <c r="W190" s="330"/>
      <c r="X190" s="345">
        <v>0</v>
      </c>
      <c r="Y190" s="315"/>
    </row>
    <row r="191" spans="1:25" s="347" customFormat="1" x14ac:dyDescent="0.25">
      <c r="B191" s="591"/>
      <c r="C191" s="345" t="s">
        <v>30</v>
      </c>
      <c r="D191" s="324">
        <v>1</v>
      </c>
      <c r="E191" s="346"/>
      <c r="F191" s="346"/>
      <c r="G191" s="324">
        <v>1</v>
      </c>
      <c r="H191" s="319">
        <v>1</v>
      </c>
      <c r="I191" s="346"/>
      <c r="J191" s="346"/>
      <c r="K191" s="346"/>
      <c r="L191" s="346"/>
      <c r="M191" s="346"/>
      <c r="N191" s="346"/>
      <c r="O191" s="346"/>
      <c r="P191" s="330"/>
      <c r="Q191" s="330"/>
      <c r="R191" s="330"/>
      <c r="S191" s="330"/>
      <c r="T191" s="326">
        <v>1</v>
      </c>
      <c r="U191" s="330"/>
      <c r="V191" s="330"/>
      <c r="W191" s="330"/>
      <c r="X191" s="345">
        <v>4</v>
      </c>
      <c r="Y191" s="315"/>
    </row>
    <row r="192" spans="1:25" s="347" customFormat="1" x14ac:dyDescent="0.25">
      <c r="B192" s="591"/>
      <c r="C192" s="345" t="s">
        <v>25</v>
      </c>
      <c r="D192" s="346"/>
      <c r="E192" s="346"/>
      <c r="F192" s="346"/>
      <c r="G192" s="346"/>
      <c r="H192" s="319">
        <v>1</v>
      </c>
      <c r="I192" s="319">
        <v>1</v>
      </c>
      <c r="J192" s="319">
        <v>1</v>
      </c>
      <c r="K192" s="346"/>
      <c r="L192" s="346"/>
      <c r="M192" s="321">
        <v>1</v>
      </c>
      <c r="N192" s="346"/>
      <c r="O192" s="346"/>
      <c r="P192" s="330"/>
      <c r="Q192" s="330"/>
      <c r="R192" s="322">
        <v>1</v>
      </c>
      <c r="S192" s="330"/>
      <c r="T192" s="330"/>
      <c r="U192" s="330"/>
      <c r="V192" s="330"/>
      <c r="W192" s="330"/>
      <c r="X192" s="345">
        <v>5</v>
      </c>
      <c r="Y192" s="315"/>
    </row>
    <row r="193" spans="1:25" s="347" customFormat="1" x14ac:dyDescent="0.25">
      <c r="B193" s="591" t="s">
        <v>237</v>
      </c>
      <c r="C193" s="345" t="s">
        <v>32</v>
      </c>
      <c r="D193" s="324">
        <v>1</v>
      </c>
      <c r="E193" s="330"/>
      <c r="F193" s="330"/>
      <c r="G193" s="330"/>
      <c r="H193" s="327">
        <v>1</v>
      </c>
      <c r="I193" s="327">
        <v>1</v>
      </c>
      <c r="J193" s="327">
        <v>1</v>
      </c>
      <c r="K193" s="327">
        <v>1</v>
      </c>
      <c r="L193" s="330"/>
      <c r="M193" s="330"/>
      <c r="N193" s="330"/>
      <c r="O193" s="330"/>
      <c r="P193" s="330"/>
      <c r="Q193" s="330"/>
      <c r="R193" s="330"/>
      <c r="S193" s="330"/>
      <c r="T193" s="326">
        <v>1</v>
      </c>
      <c r="U193" s="326">
        <v>1</v>
      </c>
      <c r="V193" s="330"/>
      <c r="W193" s="330"/>
      <c r="X193" s="345">
        <v>7</v>
      </c>
      <c r="Y193" s="315"/>
    </row>
    <row r="194" spans="1:25" s="347" customFormat="1" x14ac:dyDescent="0.25">
      <c r="B194" s="591"/>
      <c r="C194" s="345" t="s">
        <v>34</v>
      </c>
      <c r="D194" s="324">
        <v>1</v>
      </c>
      <c r="E194" s="330"/>
      <c r="F194" s="330"/>
      <c r="G194" s="330"/>
      <c r="H194" s="327">
        <v>1</v>
      </c>
      <c r="I194" s="327">
        <v>1</v>
      </c>
      <c r="J194" s="327">
        <v>1</v>
      </c>
      <c r="K194" s="327">
        <v>1</v>
      </c>
      <c r="L194" s="321">
        <v>1</v>
      </c>
      <c r="M194" s="330"/>
      <c r="N194" s="330"/>
      <c r="O194" s="330"/>
      <c r="P194" s="330"/>
      <c r="Q194" s="322">
        <v>1</v>
      </c>
      <c r="R194" s="330"/>
      <c r="S194" s="326">
        <v>1</v>
      </c>
      <c r="T194" s="326">
        <v>1</v>
      </c>
      <c r="U194" s="330"/>
      <c r="V194" s="330"/>
      <c r="W194" s="330"/>
      <c r="X194" s="345">
        <v>9</v>
      </c>
      <c r="Y194" s="315"/>
    </row>
    <row r="195" spans="1:25" s="347" customFormat="1" x14ac:dyDescent="0.25">
      <c r="B195" s="591"/>
      <c r="C195" s="345" t="s">
        <v>31</v>
      </c>
      <c r="D195" s="330"/>
      <c r="E195" s="330"/>
      <c r="F195" s="330"/>
      <c r="G195" s="330"/>
      <c r="H195" s="327">
        <v>1</v>
      </c>
      <c r="I195" s="327">
        <v>1</v>
      </c>
      <c r="J195" s="327">
        <v>1</v>
      </c>
      <c r="K195" s="330"/>
      <c r="L195" s="321">
        <v>1</v>
      </c>
      <c r="M195" s="330"/>
      <c r="N195" s="330"/>
      <c r="O195" s="330"/>
      <c r="P195" s="330"/>
      <c r="Q195" s="330"/>
      <c r="R195" s="330"/>
      <c r="S195" s="330"/>
      <c r="T195" s="330"/>
      <c r="U195" s="326">
        <v>1</v>
      </c>
      <c r="V195" s="330"/>
      <c r="W195" s="330"/>
      <c r="X195" s="345">
        <v>5</v>
      </c>
      <c r="Y195" s="315"/>
    </row>
    <row r="196" spans="1:25" s="347" customFormat="1" x14ac:dyDescent="0.25">
      <c r="B196" s="591"/>
      <c r="C196" s="345" t="s">
        <v>38</v>
      </c>
      <c r="D196" s="330"/>
      <c r="E196" s="330"/>
      <c r="F196" s="330"/>
      <c r="G196" s="330"/>
      <c r="H196" s="327">
        <v>1</v>
      </c>
      <c r="I196" s="327">
        <v>1</v>
      </c>
      <c r="J196" s="327">
        <v>1</v>
      </c>
      <c r="K196" s="330"/>
      <c r="L196" s="321">
        <v>1</v>
      </c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45">
        <v>4</v>
      </c>
      <c r="Y196" s="315"/>
    </row>
    <row r="197" spans="1:25" s="347" customFormat="1" x14ac:dyDescent="0.25">
      <c r="B197" s="591" t="s">
        <v>238</v>
      </c>
      <c r="C197" s="345" t="s">
        <v>33</v>
      </c>
      <c r="D197" s="330"/>
      <c r="E197" s="330"/>
      <c r="F197" s="330"/>
      <c r="G197" s="330"/>
      <c r="H197" s="327">
        <v>1</v>
      </c>
      <c r="I197" s="327">
        <v>1</v>
      </c>
      <c r="J197" s="327">
        <v>1</v>
      </c>
      <c r="K197" s="330"/>
      <c r="L197" s="321">
        <v>1</v>
      </c>
      <c r="M197" s="330"/>
      <c r="N197" s="330"/>
      <c r="O197" s="330"/>
      <c r="P197" s="330"/>
      <c r="Q197" s="330"/>
      <c r="R197" s="330"/>
      <c r="S197" s="330"/>
      <c r="T197" s="330"/>
      <c r="U197" s="326">
        <v>1</v>
      </c>
      <c r="V197" s="330"/>
      <c r="W197" s="326">
        <v>1</v>
      </c>
      <c r="X197" s="345">
        <v>6</v>
      </c>
      <c r="Y197" s="315"/>
    </row>
    <row r="198" spans="1:25" s="347" customFormat="1" x14ac:dyDescent="0.25">
      <c r="B198" s="591"/>
      <c r="C198" s="345" t="s">
        <v>37</v>
      </c>
      <c r="D198" s="330"/>
      <c r="E198" s="330"/>
      <c r="F198" s="330"/>
      <c r="G198" s="330"/>
      <c r="H198" s="325"/>
      <c r="I198" s="325"/>
      <c r="J198" s="325"/>
      <c r="K198" s="325"/>
      <c r="L198" s="325"/>
      <c r="M198" s="325"/>
      <c r="N198" s="325"/>
      <c r="O198" s="325"/>
      <c r="P198" s="330"/>
      <c r="Q198" s="330"/>
      <c r="R198" s="330"/>
      <c r="S198" s="325"/>
      <c r="T198" s="325"/>
      <c r="U198" s="325"/>
      <c r="V198" s="325"/>
      <c r="W198" s="325"/>
      <c r="X198" s="345">
        <v>0</v>
      </c>
      <c r="Y198" s="315"/>
    </row>
    <row r="199" spans="1:25" s="347" customFormat="1" x14ac:dyDescent="0.25">
      <c r="B199" s="348" t="s">
        <v>239</v>
      </c>
      <c r="C199" s="348"/>
      <c r="D199" s="316">
        <v>15</v>
      </c>
      <c r="E199" s="316">
        <v>0</v>
      </c>
      <c r="F199" s="316">
        <v>1</v>
      </c>
      <c r="G199" s="316">
        <v>1</v>
      </c>
      <c r="H199" s="316">
        <v>19</v>
      </c>
      <c r="I199" s="316">
        <v>16</v>
      </c>
      <c r="J199" s="316">
        <v>18</v>
      </c>
      <c r="K199" s="316">
        <v>7</v>
      </c>
      <c r="L199" s="316">
        <v>13</v>
      </c>
      <c r="M199" s="316">
        <v>4</v>
      </c>
      <c r="N199" s="316">
        <v>4</v>
      </c>
      <c r="O199" s="316">
        <v>3</v>
      </c>
      <c r="P199" s="316">
        <v>1</v>
      </c>
      <c r="Q199" s="316">
        <v>5</v>
      </c>
      <c r="R199" s="316">
        <v>4</v>
      </c>
      <c r="S199" s="316">
        <v>10</v>
      </c>
      <c r="T199" s="316">
        <v>12</v>
      </c>
      <c r="U199" s="316">
        <v>3</v>
      </c>
      <c r="V199" s="316">
        <v>4</v>
      </c>
      <c r="W199" s="316">
        <v>3</v>
      </c>
      <c r="X199" s="345">
        <v>143</v>
      </c>
      <c r="Y199" s="315"/>
    </row>
    <row r="202" spans="1:25" ht="14" x14ac:dyDescent="0.25">
      <c r="A202" s="225" t="s">
        <v>257</v>
      </c>
      <c r="B202" s="422" t="s">
        <v>0</v>
      </c>
      <c r="C202" s="422"/>
      <c r="D202" s="423" t="s">
        <v>210</v>
      </c>
      <c r="E202" s="423"/>
      <c r="F202" s="423"/>
      <c r="G202" s="423"/>
      <c r="H202" s="424" t="s">
        <v>211</v>
      </c>
      <c r="I202" s="424"/>
      <c r="J202" s="424"/>
      <c r="K202" s="424"/>
      <c r="L202" s="425" t="s">
        <v>212</v>
      </c>
      <c r="M202" s="425"/>
      <c r="N202" s="425"/>
      <c r="O202" s="425"/>
      <c r="P202" s="426" t="s">
        <v>213</v>
      </c>
      <c r="Q202" s="426"/>
      <c r="R202" s="426"/>
      <c r="S202" s="427" t="s">
        <v>214</v>
      </c>
      <c r="T202" s="427"/>
      <c r="U202" s="427"/>
      <c r="V202" s="427"/>
      <c r="W202" s="427"/>
      <c r="X202" s="430" t="s">
        <v>215</v>
      </c>
    </row>
    <row r="203" spans="1:25" x14ac:dyDescent="0.25">
      <c r="A203" s="225" t="s">
        <v>258</v>
      </c>
      <c r="B203" s="422"/>
      <c r="C203" s="422"/>
      <c r="D203" s="431" t="s">
        <v>210</v>
      </c>
      <c r="E203" s="431" t="s">
        <v>216</v>
      </c>
      <c r="F203" s="431" t="s">
        <v>217</v>
      </c>
      <c r="G203" s="431" t="s">
        <v>218</v>
      </c>
      <c r="H203" s="432" t="s">
        <v>219</v>
      </c>
      <c r="I203" s="432" t="s">
        <v>220</v>
      </c>
      <c r="J203" s="432" t="s">
        <v>221</v>
      </c>
      <c r="K203" s="432" t="s">
        <v>222</v>
      </c>
      <c r="L203" s="428" t="s">
        <v>223</v>
      </c>
      <c r="M203" s="428" t="s">
        <v>224</v>
      </c>
      <c r="N203" s="428" t="s">
        <v>225</v>
      </c>
      <c r="O203" s="428" t="s">
        <v>226</v>
      </c>
      <c r="P203" s="429" t="s">
        <v>227</v>
      </c>
      <c r="Q203" s="429" t="s">
        <v>228</v>
      </c>
      <c r="R203" s="429" t="s">
        <v>229</v>
      </c>
      <c r="S203" s="452" t="s">
        <v>230</v>
      </c>
      <c r="T203" s="452" t="s">
        <v>231</v>
      </c>
      <c r="U203" s="452" t="s">
        <v>232</v>
      </c>
      <c r="V203" s="452" t="s">
        <v>233</v>
      </c>
      <c r="W203" s="452" t="s">
        <v>234</v>
      </c>
      <c r="X203" s="430"/>
    </row>
    <row r="204" spans="1:25" x14ac:dyDescent="0.25">
      <c r="B204" s="422"/>
      <c r="C204" s="422"/>
      <c r="D204" s="431"/>
      <c r="E204" s="431"/>
      <c r="F204" s="431"/>
      <c r="G204" s="431"/>
      <c r="H204" s="432"/>
      <c r="I204" s="432"/>
      <c r="J204" s="432"/>
      <c r="K204" s="432"/>
      <c r="L204" s="428"/>
      <c r="M204" s="428"/>
      <c r="N204" s="428"/>
      <c r="O204" s="428"/>
      <c r="P204" s="429"/>
      <c r="Q204" s="429"/>
      <c r="R204" s="429"/>
      <c r="S204" s="452"/>
      <c r="T204" s="452"/>
      <c r="U204" s="452"/>
      <c r="V204" s="452"/>
      <c r="W204" s="452"/>
      <c r="X204" s="430"/>
    </row>
    <row r="205" spans="1:25" x14ac:dyDescent="0.25">
      <c r="B205" s="433" t="s">
        <v>235</v>
      </c>
      <c r="C205" s="189" t="s">
        <v>26</v>
      </c>
      <c r="D205" s="349">
        <v>1</v>
      </c>
      <c r="E205" s="202"/>
      <c r="F205" s="202"/>
      <c r="G205" s="202"/>
      <c r="H205" s="350">
        <v>1</v>
      </c>
      <c r="I205" s="350">
        <v>1</v>
      </c>
      <c r="J205" s="350">
        <v>1</v>
      </c>
      <c r="K205" s="202"/>
      <c r="L205" s="351">
        <v>1</v>
      </c>
      <c r="M205" s="351">
        <v>1</v>
      </c>
      <c r="N205" s="202"/>
      <c r="O205" s="202"/>
      <c r="P205" s="202"/>
      <c r="Q205" s="202"/>
      <c r="R205" s="352">
        <v>1</v>
      </c>
      <c r="S205" s="353">
        <v>1</v>
      </c>
      <c r="T205" s="353">
        <v>1</v>
      </c>
      <c r="U205" s="202"/>
      <c r="V205" s="202"/>
      <c r="W205" s="202"/>
      <c r="X205" s="189">
        <v>9</v>
      </c>
    </row>
    <row r="206" spans="1:25" x14ac:dyDescent="0.25">
      <c r="B206" s="433"/>
      <c r="C206" s="189" t="s">
        <v>27</v>
      </c>
      <c r="D206" s="349">
        <v>1</v>
      </c>
      <c r="E206" s="195"/>
      <c r="F206" s="195"/>
      <c r="G206" s="195"/>
      <c r="H206" s="350">
        <v>1</v>
      </c>
      <c r="I206" s="195"/>
      <c r="J206" s="350">
        <v>1</v>
      </c>
      <c r="K206" s="350">
        <v>1</v>
      </c>
      <c r="L206" s="351">
        <v>1</v>
      </c>
      <c r="M206" s="195"/>
      <c r="N206" s="198">
        <v>1</v>
      </c>
      <c r="O206" s="195"/>
      <c r="P206" s="195"/>
      <c r="Q206" s="195"/>
      <c r="R206" s="352">
        <v>1</v>
      </c>
      <c r="S206" s="353">
        <v>1</v>
      </c>
      <c r="T206" s="353">
        <v>1</v>
      </c>
      <c r="U206" s="195"/>
      <c r="V206" s="195"/>
      <c r="W206" s="195"/>
      <c r="X206" s="189">
        <v>9</v>
      </c>
    </row>
    <row r="207" spans="1:25" x14ac:dyDescent="0.25">
      <c r="B207" s="433"/>
      <c r="C207" s="189" t="s">
        <v>28</v>
      </c>
      <c r="D207" s="349">
        <v>1</v>
      </c>
      <c r="E207" s="195"/>
      <c r="F207" s="195"/>
      <c r="G207" s="195"/>
      <c r="H207" s="350">
        <v>1</v>
      </c>
      <c r="I207" s="354">
        <v>1</v>
      </c>
      <c r="J207" s="350">
        <v>1</v>
      </c>
      <c r="K207" s="354">
        <v>1</v>
      </c>
      <c r="L207" s="351">
        <v>1</v>
      </c>
      <c r="M207" s="195"/>
      <c r="N207" s="198">
        <v>1</v>
      </c>
      <c r="O207" s="198">
        <v>1</v>
      </c>
      <c r="P207" s="195"/>
      <c r="Q207" s="195"/>
      <c r="R207" s="195"/>
      <c r="S207" s="353">
        <v>1</v>
      </c>
      <c r="T207" s="195"/>
      <c r="U207" s="195"/>
      <c r="V207" s="201">
        <v>1</v>
      </c>
      <c r="W207" s="195"/>
      <c r="X207" s="189">
        <v>10</v>
      </c>
    </row>
    <row r="208" spans="1:25" x14ac:dyDescent="0.25">
      <c r="B208" s="433"/>
      <c r="C208" s="189" t="s">
        <v>29</v>
      </c>
      <c r="D208" s="349">
        <v>1</v>
      </c>
      <c r="E208" s="195"/>
      <c r="F208" s="195"/>
      <c r="G208" s="195"/>
      <c r="H208" s="350">
        <v>1</v>
      </c>
      <c r="I208" s="354">
        <v>1</v>
      </c>
      <c r="J208" s="350">
        <v>1</v>
      </c>
      <c r="K208" s="202"/>
      <c r="L208" s="195"/>
      <c r="M208" s="195"/>
      <c r="N208" s="195"/>
      <c r="O208" s="198">
        <v>1</v>
      </c>
      <c r="P208" s="195"/>
      <c r="Q208" s="195"/>
      <c r="R208" s="195"/>
      <c r="S208" s="353">
        <v>1</v>
      </c>
      <c r="T208" s="195"/>
      <c r="U208" s="195"/>
      <c r="V208" s="195"/>
      <c r="W208" s="195"/>
      <c r="X208" s="189">
        <v>6</v>
      </c>
    </row>
    <row r="209" spans="2:24" x14ac:dyDescent="0.25">
      <c r="B209" s="433"/>
      <c r="C209" s="189" t="s">
        <v>19</v>
      </c>
      <c r="D209" s="349">
        <v>1</v>
      </c>
      <c r="E209" s="193">
        <v>1</v>
      </c>
      <c r="F209" s="195"/>
      <c r="G209" s="195"/>
      <c r="H209" s="350">
        <v>1</v>
      </c>
      <c r="I209" s="354">
        <v>1</v>
      </c>
      <c r="J209" s="350">
        <v>1</v>
      </c>
      <c r="K209" s="195"/>
      <c r="L209" s="195"/>
      <c r="M209" s="198">
        <v>1</v>
      </c>
      <c r="N209" s="195"/>
      <c r="O209" s="195"/>
      <c r="P209" s="352">
        <v>1</v>
      </c>
      <c r="Q209" s="352">
        <v>1</v>
      </c>
      <c r="R209" s="352">
        <v>1</v>
      </c>
      <c r="S209" s="353">
        <v>1</v>
      </c>
      <c r="T209" s="201">
        <v>1</v>
      </c>
      <c r="U209" s="195"/>
      <c r="V209" s="201">
        <v>1</v>
      </c>
      <c r="W209" s="201">
        <v>1</v>
      </c>
      <c r="X209" s="189">
        <v>13</v>
      </c>
    </row>
    <row r="210" spans="2:24" x14ac:dyDescent="0.25">
      <c r="B210" s="433"/>
      <c r="C210" s="189" t="s">
        <v>23</v>
      </c>
      <c r="D210" s="349">
        <v>1</v>
      </c>
      <c r="E210" s="195"/>
      <c r="F210" s="195"/>
      <c r="G210" s="195"/>
      <c r="H210" s="350">
        <v>1</v>
      </c>
      <c r="I210" s="354">
        <v>1</v>
      </c>
      <c r="J210" s="350">
        <v>1</v>
      </c>
      <c r="K210" s="195"/>
      <c r="L210" s="355">
        <v>1</v>
      </c>
      <c r="M210" s="195"/>
      <c r="N210" s="195"/>
      <c r="O210" s="195"/>
      <c r="P210" s="352">
        <v>1</v>
      </c>
      <c r="Q210" s="195"/>
      <c r="R210" s="195"/>
      <c r="S210" s="195"/>
      <c r="T210" s="201">
        <v>1</v>
      </c>
      <c r="U210" s="195"/>
      <c r="V210" s="201">
        <v>1</v>
      </c>
      <c r="W210" s="195"/>
      <c r="X210" s="189">
        <v>8</v>
      </c>
    </row>
    <row r="211" spans="2:24" x14ac:dyDescent="0.25">
      <c r="B211" s="433"/>
      <c r="C211" s="189" t="s">
        <v>129</v>
      </c>
      <c r="D211" s="349">
        <v>1</v>
      </c>
      <c r="E211" s="195"/>
      <c r="F211" s="195"/>
      <c r="G211" s="195"/>
      <c r="H211" s="350">
        <v>1</v>
      </c>
      <c r="I211" s="354">
        <v>1</v>
      </c>
      <c r="J211" s="350">
        <v>1</v>
      </c>
      <c r="K211" s="354">
        <v>1</v>
      </c>
      <c r="L211" s="355">
        <v>1</v>
      </c>
      <c r="M211" s="198">
        <v>1</v>
      </c>
      <c r="N211" s="198">
        <v>1</v>
      </c>
      <c r="O211" s="198">
        <v>1</v>
      </c>
      <c r="P211" s="195"/>
      <c r="Q211" s="352">
        <v>1</v>
      </c>
      <c r="R211" s="195"/>
      <c r="S211" s="195"/>
      <c r="T211" s="201">
        <v>1</v>
      </c>
      <c r="U211" s="195"/>
      <c r="V211" s="195"/>
      <c r="W211" s="195"/>
      <c r="X211" s="189">
        <v>11</v>
      </c>
    </row>
    <row r="212" spans="2:24" x14ac:dyDescent="0.25">
      <c r="B212" s="433"/>
      <c r="C212" s="189" t="s">
        <v>18</v>
      </c>
      <c r="D212" s="349">
        <v>1</v>
      </c>
      <c r="E212" s="195"/>
      <c r="F212" s="195"/>
      <c r="G212" s="195"/>
      <c r="H212" s="350">
        <v>1</v>
      </c>
      <c r="I212" s="354">
        <v>1</v>
      </c>
      <c r="J212" s="350">
        <v>1</v>
      </c>
      <c r="K212" s="195"/>
      <c r="L212" s="355">
        <v>1</v>
      </c>
      <c r="M212" s="198">
        <v>1</v>
      </c>
      <c r="N212" s="195"/>
      <c r="O212" s="195"/>
      <c r="P212" s="352">
        <v>1</v>
      </c>
      <c r="Q212" s="352">
        <v>1</v>
      </c>
      <c r="R212" s="195"/>
      <c r="S212" s="201">
        <v>1</v>
      </c>
      <c r="T212" s="201">
        <v>1</v>
      </c>
      <c r="U212" s="195"/>
      <c r="V212" s="201">
        <v>1</v>
      </c>
      <c r="W212" s="195"/>
      <c r="X212" s="189">
        <v>11</v>
      </c>
    </row>
    <row r="213" spans="2:24" x14ac:dyDescent="0.25">
      <c r="B213" s="433"/>
      <c r="C213" s="189" t="s">
        <v>36</v>
      </c>
      <c r="D213" s="349">
        <v>1</v>
      </c>
      <c r="E213" s="195"/>
      <c r="F213" s="195"/>
      <c r="G213" s="195"/>
      <c r="H213" s="350">
        <v>1</v>
      </c>
      <c r="I213" s="195"/>
      <c r="J213" s="350">
        <v>1</v>
      </c>
      <c r="K213" s="354">
        <v>1</v>
      </c>
      <c r="L213" s="355">
        <v>1</v>
      </c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201">
        <v>1</v>
      </c>
      <c r="X213" s="189">
        <v>6</v>
      </c>
    </row>
    <row r="214" spans="2:24" x14ac:dyDescent="0.25">
      <c r="B214" s="433"/>
      <c r="C214" s="189" t="s">
        <v>35</v>
      </c>
      <c r="D214" s="349">
        <v>1</v>
      </c>
      <c r="E214" s="195"/>
      <c r="F214" s="193">
        <v>1</v>
      </c>
      <c r="G214" s="195"/>
      <c r="H214" s="350">
        <v>1</v>
      </c>
      <c r="I214" s="354">
        <v>1</v>
      </c>
      <c r="J214" s="350">
        <v>1</v>
      </c>
      <c r="K214" s="195"/>
      <c r="L214" s="195"/>
      <c r="M214" s="195"/>
      <c r="N214" s="195"/>
      <c r="O214" s="195"/>
      <c r="P214" s="195"/>
      <c r="Q214" s="195"/>
      <c r="R214" s="195"/>
      <c r="S214" s="195"/>
      <c r="T214" s="201">
        <v>1</v>
      </c>
      <c r="U214" s="195"/>
      <c r="V214" s="195"/>
      <c r="W214" s="201">
        <v>1</v>
      </c>
      <c r="X214" s="189">
        <v>7</v>
      </c>
    </row>
    <row r="215" spans="2:24" x14ac:dyDescent="0.25">
      <c r="B215" s="433" t="s">
        <v>236</v>
      </c>
      <c r="C215" s="189" t="s">
        <v>97</v>
      </c>
      <c r="D215" s="349">
        <v>1</v>
      </c>
      <c r="E215" s="193">
        <v>1</v>
      </c>
      <c r="F215" s="195"/>
      <c r="G215" s="195"/>
      <c r="H215" s="350">
        <v>1</v>
      </c>
      <c r="I215" s="354">
        <v>1</v>
      </c>
      <c r="J215" s="350">
        <v>1</v>
      </c>
      <c r="K215" s="354">
        <v>1</v>
      </c>
      <c r="L215" s="198">
        <v>1</v>
      </c>
      <c r="M215" s="198">
        <v>1</v>
      </c>
      <c r="N215" s="198">
        <v>1</v>
      </c>
      <c r="O215" s="198">
        <v>1</v>
      </c>
      <c r="P215" s="195"/>
      <c r="Q215" s="352">
        <v>1</v>
      </c>
      <c r="R215" s="352">
        <v>1</v>
      </c>
      <c r="S215" s="201">
        <v>1</v>
      </c>
      <c r="T215" s="201">
        <v>1</v>
      </c>
      <c r="U215" s="195"/>
      <c r="V215" s="195"/>
      <c r="W215" s="195"/>
      <c r="X215" s="189">
        <v>14</v>
      </c>
    </row>
    <row r="216" spans="2:24" x14ac:dyDescent="0.25">
      <c r="B216" s="433"/>
      <c r="C216" s="189" t="s">
        <v>21</v>
      </c>
      <c r="D216" s="349">
        <v>1</v>
      </c>
      <c r="E216" s="193">
        <v>1</v>
      </c>
      <c r="F216" s="202"/>
      <c r="G216" s="202"/>
      <c r="H216" s="202"/>
      <c r="I216" s="202"/>
      <c r="J216" s="202"/>
      <c r="K216" s="354">
        <v>1</v>
      </c>
      <c r="L216" s="351">
        <v>1</v>
      </c>
      <c r="M216" s="351">
        <v>1</v>
      </c>
      <c r="N216" s="195"/>
      <c r="O216" s="195"/>
      <c r="P216" s="195"/>
      <c r="Q216" s="352">
        <v>1</v>
      </c>
      <c r="R216" s="352">
        <v>1</v>
      </c>
      <c r="S216" s="195"/>
      <c r="T216" s="195"/>
      <c r="U216" s="195"/>
      <c r="V216" s="195"/>
      <c r="W216" s="195"/>
      <c r="X216" s="189">
        <v>7</v>
      </c>
    </row>
    <row r="217" spans="2:24" x14ac:dyDescent="0.25">
      <c r="B217" s="433"/>
      <c r="C217" s="189" t="s">
        <v>41</v>
      </c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195"/>
      <c r="Q217" s="195"/>
      <c r="R217" s="195"/>
      <c r="S217" s="195"/>
      <c r="T217" s="195"/>
      <c r="U217" s="195"/>
      <c r="V217" s="195"/>
      <c r="W217" s="195"/>
      <c r="X217" s="189">
        <v>0</v>
      </c>
    </row>
    <row r="218" spans="2:24" x14ac:dyDescent="0.25">
      <c r="B218" s="433"/>
      <c r="C218" s="189" t="s">
        <v>30</v>
      </c>
      <c r="D218" s="193">
        <v>1</v>
      </c>
      <c r="E218" s="202"/>
      <c r="F218" s="202"/>
      <c r="G218" s="193">
        <v>1</v>
      </c>
      <c r="H218" s="350">
        <v>1</v>
      </c>
      <c r="I218" s="202"/>
      <c r="J218" s="202"/>
      <c r="K218" s="202"/>
      <c r="L218" s="202"/>
      <c r="M218" s="202"/>
      <c r="N218" s="202"/>
      <c r="O218" s="202"/>
      <c r="P218" s="195"/>
      <c r="Q218" s="195"/>
      <c r="R218" s="195"/>
      <c r="S218" s="195"/>
      <c r="T218" s="201">
        <v>1</v>
      </c>
      <c r="U218" s="195"/>
      <c r="V218" s="195"/>
      <c r="W218" s="195"/>
      <c r="X218" s="189">
        <v>4</v>
      </c>
    </row>
    <row r="219" spans="2:24" x14ac:dyDescent="0.25">
      <c r="B219" s="433"/>
      <c r="C219" s="189" t="s">
        <v>25</v>
      </c>
      <c r="D219" s="202"/>
      <c r="E219" s="202"/>
      <c r="F219" s="202"/>
      <c r="G219" s="202"/>
      <c r="H219" s="350">
        <v>1</v>
      </c>
      <c r="I219" s="350">
        <v>1</v>
      </c>
      <c r="J219" s="350">
        <v>1</v>
      </c>
      <c r="K219" s="202"/>
      <c r="L219" s="202"/>
      <c r="M219" s="198">
        <v>1</v>
      </c>
      <c r="N219" s="202"/>
      <c r="O219" s="202"/>
      <c r="P219" s="195"/>
      <c r="Q219" s="195"/>
      <c r="R219" s="352">
        <v>1</v>
      </c>
      <c r="S219" s="195"/>
      <c r="T219" s="195"/>
      <c r="U219" s="195"/>
      <c r="V219" s="195"/>
      <c r="W219" s="195"/>
      <c r="X219" s="189">
        <v>5</v>
      </c>
    </row>
    <row r="220" spans="2:24" ht="15.75" customHeight="1" x14ac:dyDescent="0.3">
      <c r="B220" s="433" t="s">
        <v>237</v>
      </c>
      <c r="C220" s="189" t="s">
        <v>32</v>
      </c>
      <c r="D220" s="193">
        <v>1</v>
      </c>
      <c r="E220" s="195"/>
      <c r="F220" s="195"/>
      <c r="G220" s="195"/>
      <c r="H220" s="350">
        <v>1</v>
      </c>
      <c r="I220" s="350">
        <v>1</v>
      </c>
      <c r="J220" s="350">
        <v>1</v>
      </c>
      <c r="K220" s="354">
        <v>1</v>
      </c>
      <c r="L220" s="195"/>
      <c r="M220" s="195"/>
      <c r="N220" s="195"/>
      <c r="O220" s="195"/>
      <c r="P220" s="356"/>
      <c r="Q220" s="356"/>
      <c r="R220" s="356"/>
      <c r="S220" s="195"/>
      <c r="T220" s="201">
        <v>1</v>
      </c>
      <c r="U220" s="201">
        <v>1</v>
      </c>
      <c r="V220" s="195"/>
      <c r="W220" s="195"/>
      <c r="X220" s="189">
        <v>7</v>
      </c>
    </row>
    <row r="221" spans="2:24" x14ac:dyDescent="0.25">
      <c r="B221" s="433"/>
      <c r="C221" s="189" t="s">
        <v>34</v>
      </c>
      <c r="D221" s="193">
        <v>1</v>
      </c>
      <c r="E221" s="195"/>
      <c r="F221" s="195"/>
      <c r="G221" s="195"/>
      <c r="H221" s="350">
        <v>1</v>
      </c>
      <c r="I221" s="350">
        <v>1</v>
      </c>
      <c r="J221" s="350">
        <v>1</v>
      </c>
      <c r="K221" s="354">
        <v>1</v>
      </c>
      <c r="L221" s="198">
        <v>1</v>
      </c>
      <c r="M221" s="195"/>
      <c r="N221" s="195"/>
      <c r="O221" s="198">
        <v>1</v>
      </c>
      <c r="P221" s="195"/>
      <c r="Q221" s="352">
        <v>1</v>
      </c>
      <c r="R221" s="352">
        <v>1</v>
      </c>
      <c r="S221" s="201">
        <v>1</v>
      </c>
      <c r="T221" s="201">
        <v>1</v>
      </c>
      <c r="U221" s="195"/>
      <c r="V221" s="195"/>
      <c r="W221" s="195"/>
      <c r="X221" s="189">
        <v>11</v>
      </c>
    </row>
    <row r="222" spans="2:24" x14ac:dyDescent="0.25">
      <c r="B222" s="433"/>
      <c r="C222" s="189" t="s">
        <v>31</v>
      </c>
      <c r="D222" s="195"/>
      <c r="E222" s="195"/>
      <c r="F222" s="195"/>
      <c r="G222" s="195"/>
      <c r="H222" s="350">
        <v>1</v>
      </c>
      <c r="I222" s="350">
        <v>1</v>
      </c>
      <c r="J222" s="350">
        <v>1</v>
      </c>
      <c r="K222" s="195"/>
      <c r="L222" s="198">
        <v>1</v>
      </c>
      <c r="M222" s="195"/>
      <c r="N222" s="195"/>
      <c r="O222" s="195"/>
      <c r="P222" s="195"/>
      <c r="Q222" s="195"/>
      <c r="R222" s="195"/>
      <c r="S222" s="195"/>
      <c r="T222" s="195"/>
      <c r="U222" s="201">
        <v>1</v>
      </c>
      <c r="V222" s="195"/>
      <c r="W222" s="195"/>
      <c r="X222" s="189">
        <v>5</v>
      </c>
    </row>
    <row r="223" spans="2:24" x14ac:dyDescent="0.25">
      <c r="B223" s="433"/>
      <c r="C223" s="189" t="s">
        <v>38</v>
      </c>
      <c r="D223" s="195"/>
      <c r="E223" s="195"/>
      <c r="F223" s="195"/>
      <c r="G223" s="195"/>
      <c r="H223" s="350">
        <v>1</v>
      </c>
      <c r="I223" s="350">
        <v>1</v>
      </c>
      <c r="J223" s="350">
        <v>1</v>
      </c>
      <c r="K223" s="195"/>
      <c r="L223" s="198">
        <v>1</v>
      </c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89">
        <v>4</v>
      </c>
    </row>
    <row r="224" spans="2:24" x14ac:dyDescent="0.25">
      <c r="B224" s="433" t="s">
        <v>238</v>
      </c>
      <c r="C224" s="189" t="s">
        <v>33</v>
      </c>
      <c r="D224" s="195"/>
      <c r="E224" s="195"/>
      <c r="F224" s="195"/>
      <c r="G224" s="195"/>
      <c r="H224" s="350">
        <v>1</v>
      </c>
      <c r="I224" s="350">
        <v>1</v>
      </c>
      <c r="J224" s="350">
        <v>1</v>
      </c>
      <c r="K224" s="195"/>
      <c r="L224" s="198">
        <v>1</v>
      </c>
      <c r="M224" s="195"/>
      <c r="N224" s="195"/>
      <c r="O224" s="195"/>
      <c r="P224" s="195"/>
      <c r="Q224" s="195"/>
      <c r="R224" s="195"/>
      <c r="S224" s="195"/>
      <c r="T224" s="195"/>
      <c r="U224" s="201">
        <v>1</v>
      </c>
      <c r="V224" s="195"/>
      <c r="W224" s="201">
        <v>1</v>
      </c>
      <c r="X224" s="189">
        <v>6</v>
      </c>
    </row>
    <row r="225" spans="1:24" x14ac:dyDescent="0.25">
      <c r="B225" s="433"/>
      <c r="C225" s="189" t="s">
        <v>37</v>
      </c>
      <c r="D225" s="195"/>
      <c r="E225" s="195"/>
      <c r="F225" s="195"/>
      <c r="G225" s="195"/>
      <c r="H225" s="350">
        <v>1</v>
      </c>
      <c r="I225" s="350">
        <v>1</v>
      </c>
      <c r="J225" s="350">
        <v>1</v>
      </c>
      <c r="K225" s="195"/>
      <c r="L225" s="195"/>
      <c r="M225" s="198">
        <v>1</v>
      </c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89">
        <v>4</v>
      </c>
    </row>
    <row r="226" spans="1:24" x14ac:dyDescent="0.25">
      <c r="B226" s="477" t="s">
        <v>239</v>
      </c>
      <c r="C226" s="477"/>
      <c r="D226" s="189">
        <v>15</v>
      </c>
      <c r="E226" s="189">
        <v>3</v>
      </c>
      <c r="F226" s="189">
        <v>1</v>
      </c>
      <c r="G226" s="189">
        <v>1</v>
      </c>
      <c r="H226" s="189">
        <v>19</v>
      </c>
      <c r="I226" s="189">
        <v>16</v>
      </c>
      <c r="J226" s="189">
        <v>18</v>
      </c>
      <c r="K226" s="189">
        <v>8</v>
      </c>
      <c r="L226" s="189">
        <v>13</v>
      </c>
      <c r="M226" s="189">
        <v>8</v>
      </c>
      <c r="N226" s="189">
        <v>4</v>
      </c>
      <c r="O226" s="189">
        <v>5</v>
      </c>
      <c r="P226" s="189">
        <v>3</v>
      </c>
      <c r="Q226" s="189">
        <v>6</v>
      </c>
      <c r="R226" s="189">
        <v>7</v>
      </c>
      <c r="S226" s="189">
        <v>8</v>
      </c>
      <c r="T226" s="189">
        <v>11</v>
      </c>
      <c r="U226" s="189">
        <v>3</v>
      </c>
      <c r="V226" s="189">
        <v>4</v>
      </c>
      <c r="W226" s="189">
        <v>4</v>
      </c>
      <c r="X226" s="189">
        <v>157</v>
      </c>
    </row>
    <row r="229" spans="1:24" ht="14" x14ac:dyDescent="0.25">
      <c r="A229" s="225" t="s">
        <v>257</v>
      </c>
      <c r="B229" s="422" t="s">
        <v>0</v>
      </c>
      <c r="C229" s="422"/>
      <c r="D229" s="423" t="s">
        <v>210</v>
      </c>
      <c r="E229" s="423"/>
      <c r="F229" s="423"/>
      <c r="G229" s="423"/>
      <c r="H229" s="424" t="s">
        <v>211</v>
      </c>
      <c r="I229" s="424"/>
      <c r="J229" s="424"/>
      <c r="K229" s="424"/>
      <c r="L229" s="425" t="s">
        <v>212</v>
      </c>
      <c r="M229" s="425"/>
      <c r="N229" s="425"/>
      <c r="O229" s="425"/>
      <c r="P229" s="426" t="s">
        <v>213</v>
      </c>
      <c r="Q229" s="426"/>
      <c r="R229" s="426"/>
      <c r="S229" s="427" t="s">
        <v>214</v>
      </c>
      <c r="T229" s="427"/>
      <c r="U229" s="427"/>
      <c r="V229" s="427"/>
      <c r="W229" s="427"/>
      <c r="X229" s="357" t="s">
        <v>215</v>
      </c>
    </row>
    <row r="230" spans="1:24" ht="30" x14ac:dyDescent="0.25">
      <c r="A230" s="225" t="s">
        <v>259</v>
      </c>
      <c r="B230" s="422"/>
      <c r="C230" s="422"/>
      <c r="D230" s="358" t="s">
        <v>210</v>
      </c>
      <c r="E230" s="358" t="s">
        <v>216</v>
      </c>
      <c r="F230" s="358" t="s">
        <v>217</v>
      </c>
      <c r="G230" s="358" t="s">
        <v>218</v>
      </c>
      <c r="H230" s="359" t="s">
        <v>219</v>
      </c>
      <c r="I230" s="359" t="s">
        <v>220</v>
      </c>
      <c r="J230" s="359" t="s">
        <v>221</v>
      </c>
      <c r="K230" s="359" t="s">
        <v>222</v>
      </c>
      <c r="L230" s="360" t="s">
        <v>223</v>
      </c>
      <c r="M230" s="360" t="s">
        <v>224</v>
      </c>
      <c r="N230" s="360" t="s">
        <v>225</v>
      </c>
      <c r="O230" s="360" t="s">
        <v>226</v>
      </c>
      <c r="P230" s="361" t="s">
        <v>227</v>
      </c>
      <c r="Q230" s="361" t="s">
        <v>228</v>
      </c>
      <c r="R230" s="361" t="s">
        <v>229</v>
      </c>
      <c r="S230" s="362" t="s">
        <v>230</v>
      </c>
      <c r="T230" s="362" t="s">
        <v>231</v>
      </c>
      <c r="U230" s="362" t="s">
        <v>232</v>
      </c>
      <c r="V230" s="362" t="s">
        <v>233</v>
      </c>
      <c r="W230" s="362" t="s">
        <v>234</v>
      </c>
      <c r="X230" s="357"/>
    </row>
    <row r="231" spans="1:24" x14ac:dyDescent="0.25">
      <c r="B231" s="433" t="s">
        <v>235</v>
      </c>
      <c r="C231" s="189" t="s">
        <v>26</v>
      </c>
      <c r="D231" s="349">
        <v>1</v>
      </c>
      <c r="E231" s="202"/>
      <c r="F231" s="202"/>
      <c r="G231" s="202"/>
      <c r="H231" s="350">
        <v>1</v>
      </c>
      <c r="I231" s="350">
        <v>1</v>
      </c>
      <c r="J231" s="350">
        <v>1</v>
      </c>
      <c r="K231" s="202"/>
      <c r="L231" s="351">
        <v>1</v>
      </c>
      <c r="M231" s="351">
        <v>1</v>
      </c>
      <c r="N231" s="202"/>
      <c r="O231" s="202"/>
      <c r="P231" s="202"/>
      <c r="Q231" s="202"/>
      <c r="R231" s="352">
        <v>1</v>
      </c>
      <c r="S231" s="353">
        <v>1</v>
      </c>
      <c r="T231" s="353">
        <v>1</v>
      </c>
      <c r="U231" s="202"/>
      <c r="V231" s="202"/>
      <c r="W231" s="202"/>
      <c r="X231" s="189">
        <v>9</v>
      </c>
    </row>
    <row r="232" spans="1:24" x14ac:dyDescent="0.25">
      <c r="B232" s="433"/>
      <c r="C232" s="189" t="s">
        <v>27</v>
      </c>
      <c r="D232" s="349">
        <v>1</v>
      </c>
      <c r="E232" s="195"/>
      <c r="F232" s="195"/>
      <c r="G232" s="195"/>
      <c r="H232" s="350">
        <v>1</v>
      </c>
      <c r="I232" s="195"/>
      <c r="J232" s="350">
        <v>1</v>
      </c>
      <c r="K232" s="350">
        <v>1</v>
      </c>
      <c r="L232" s="351">
        <v>1</v>
      </c>
      <c r="M232" s="195"/>
      <c r="N232" s="198">
        <v>1</v>
      </c>
      <c r="O232" s="195"/>
      <c r="P232" s="195"/>
      <c r="Q232" s="195"/>
      <c r="R232" s="352">
        <v>1</v>
      </c>
      <c r="S232" s="353">
        <v>1</v>
      </c>
      <c r="T232" s="353">
        <v>1</v>
      </c>
      <c r="U232" s="195"/>
      <c r="V232" s="195"/>
      <c r="W232" s="195"/>
      <c r="X232" s="189">
        <v>9</v>
      </c>
    </row>
    <row r="233" spans="1:24" x14ac:dyDescent="0.25">
      <c r="B233" s="433"/>
      <c r="C233" s="189" t="s">
        <v>28</v>
      </c>
      <c r="D233" s="349">
        <v>1</v>
      </c>
      <c r="E233" s="195"/>
      <c r="F233" s="195"/>
      <c r="G233" s="195"/>
      <c r="H233" s="350">
        <v>1</v>
      </c>
      <c r="I233" s="354">
        <v>1</v>
      </c>
      <c r="J233" s="350">
        <v>1</v>
      </c>
      <c r="K233" s="354">
        <v>1</v>
      </c>
      <c r="L233" s="351">
        <v>1</v>
      </c>
      <c r="M233" s="198">
        <v>1</v>
      </c>
      <c r="N233" s="198">
        <v>1</v>
      </c>
      <c r="O233" s="198">
        <v>1</v>
      </c>
      <c r="P233" s="352">
        <v>1</v>
      </c>
      <c r="Q233" s="195"/>
      <c r="R233" s="352">
        <v>1</v>
      </c>
      <c r="S233" s="353">
        <v>1</v>
      </c>
      <c r="T233" s="195"/>
      <c r="U233" s="195"/>
      <c r="V233" s="201">
        <v>1</v>
      </c>
      <c r="W233" s="195"/>
      <c r="X233" s="189">
        <v>13</v>
      </c>
    </row>
    <row r="234" spans="1:24" x14ac:dyDescent="0.25">
      <c r="B234" s="433"/>
      <c r="C234" s="189" t="s">
        <v>29</v>
      </c>
      <c r="D234" s="349">
        <v>1</v>
      </c>
      <c r="E234" s="195"/>
      <c r="F234" s="195"/>
      <c r="G234" s="195"/>
      <c r="H234" s="350">
        <v>1</v>
      </c>
      <c r="I234" s="354">
        <v>1</v>
      </c>
      <c r="J234" s="350">
        <v>1</v>
      </c>
      <c r="K234" s="202"/>
      <c r="L234" s="195"/>
      <c r="M234" s="195"/>
      <c r="N234" s="195"/>
      <c r="O234" s="198">
        <v>1</v>
      </c>
      <c r="P234" s="195"/>
      <c r="Q234" s="195"/>
      <c r="R234" s="195"/>
      <c r="S234" s="353">
        <v>1</v>
      </c>
      <c r="T234" s="195"/>
      <c r="U234" s="195"/>
      <c r="V234" s="195"/>
      <c r="W234" s="195"/>
      <c r="X234" s="189">
        <v>6</v>
      </c>
    </row>
    <row r="235" spans="1:24" x14ac:dyDescent="0.25">
      <c r="B235" s="433"/>
      <c r="C235" s="189" t="s">
        <v>19</v>
      </c>
      <c r="D235" s="349">
        <v>1</v>
      </c>
      <c r="E235" s="193">
        <v>1</v>
      </c>
      <c r="F235" s="195"/>
      <c r="G235" s="195"/>
      <c r="H235" s="350">
        <v>1</v>
      </c>
      <c r="I235" s="354">
        <v>1</v>
      </c>
      <c r="J235" s="350">
        <v>1</v>
      </c>
      <c r="K235" s="363"/>
      <c r="L235" s="364"/>
      <c r="M235" s="364"/>
      <c r="N235" s="364"/>
      <c r="O235" s="364"/>
      <c r="P235" s="352">
        <v>1</v>
      </c>
      <c r="Q235" s="352">
        <v>1</v>
      </c>
      <c r="R235" s="352">
        <v>1</v>
      </c>
      <c r="S235" s="353">
        <v>1</v>
      </c>
      <c r="T235" s="201">
        <v>1</v>
      </c>
      <c r="U235" s="195"/>
      <c r="V235" s="201">
        <v>1</v>
      </c>
      <c r="W235" s="201">
        <v>1</v>
      </c>
      <c r="X235" s="189">
        <v>12</v>
      </c>
    </row>
    <row r="236" spans="1:24" x14ac:dyDescent="0.25">
      <c r="B236" s="433"/>
      <c r="C236" s="189" t="s">
        <v>23</v>
      </c>
      <c r="D236" s="349">
        <v>1</v>
      </c>
      <c r="E236" s="195"/>
      <c r="F236" s="195"/>
      <c r="G236" s="195"/>
      <c r="H236" s="350">
        <v>1</v>
      </c>
      <c r="I236" s="354">
        <v>1</v>
      </c>
      <c r="J236" s="350">
        <v>1</v>
      </c>
      <c r="K236" s="195"/>
      <c r="L236" s="355">
        <v>1</v>
      </c>
      <c r="M236" s="195"/>
      <c r="N236" s="195"/>
      <c r="O236" s="198">
        <v>1</v>
      </c>
      <c r="P236" s="352">
        <v>1</v>
      </c>
      <c r="Q236" s="363"/>
      <c r="R236" s="363"/>
      <c r="S236" s="195"/>
      <c r="T236" s="201">
        <v>1</v>
      </c>
      <c r="U236" s="195"/>
      <c r="V236" s="201">
        <v>1</v>
      </c>
      <c r="W236" s="195"/>
      <c r="X236" s="189">
        <v>9</v>
      </c>
    </row>
    <row r="237" spans="1:24" x14ac:dyDescent="0.25">
      <c r="B237" s="433"/>
      <c r="C237" s="189" t="s">
        <v>129</v>
      </c>
      <c r="D237" s="349">
        <v>1</v>
      </c>
      <c r="E237" s="195"/>
      <c r="F237" s="195"/>
      <c r="G237" s="195"/>
      <c r="H237" s="350">
        <v>1</v>
      </c>
      <c r="I237" s="354">
        <v>1</v>
      </c>
      <c r="J237" s="350">
        <v>1</v>
      </c>
      <c r="K237" s="354">
        <v>1</v>
      </c>
      <c r="L237" s="355">
        <v>1</v>
      </c>
      <c r="M237" s="198">
        <v>1</v>
      </c>
      <c r="N237" s="198">
        <v>1</v>
      </c>
      <c r="O237" s="198">
        <v>1</v>
      </c>
      <c r="P237" s="352">
        <v>1</v>
      </c>
      <c r="Q237" s="352">
        <v>1</v>
      </c>
      <c r="R237" s="195"/>
      <c r="S237" s="363"/>
      <c r="T237" s="201">
        <v>1</v>
      </c>
      <c r="U237" s="195"/>
      <c r="V237" s="195"/>
      <c r="W237" s="195"/>
      <c r="X237" s="189">
        <v>12</v>
      </c>
    </row>
    <row r="238" spans="1:24" x14ac:dyDescent="0.25">
      <c r="B238" s="433"/>
      <c r="C238" s="189" t="s">
        <v>18</v>
      </c>
      <c r="D238" s="349">
        <v>1</v>
      </c>
      <c r="E238" s="195"/>
      <c r="F238" s="195"/>
      <c r="G238" s="195"/>
      <c r="H238" s="350">
        <v>1</v>
      </c>
      <c r="I238" s="354">
        <v>1</v>
      </c>
      <c r="J238" s="350">
        <v>1</v>
      </c>
      <c r="K238" s="195"/>
      <c r="L238" s="355">
        <v>1</v>
      </c>
      <c r="M238" s="198">
        <v>1</v>
      </c>
      <c r="N238" s="195"/>
      <c r="O238" s="195"/>
      <c r="P238" s="352">
        <v>1</v>
      </c>
      <c r="Q238" s="352">
        <v>1</v>
      </c>
      <c r="R238" s="195"/>
      <c r="S238" s="201"/>
      <c r="T238" s="201">
        <v>1</v>
      </c>
      <c r="U238" s="195"/>
      <c r="V238" s="201">
        <v>1</v>
      </c>
      <c r="W238" s="195"/>
      <c r="X238" s="189">
        <v>11</v>
      </c>
    </row>
    <row r="239" spans="1:24" x14ac:dyDescent="0.25">
      <c r="B239" s="433"/>
      <c r="C239" s="189" t="s">
        <v>36</v>
      </c>
      <c r="D239" s="349">
        <v>1</v>
      </c>
      <c r="E239" s="195"/>
      <c r="F239" s="195"/>
      <c r="G239" s="195"/>
      <c r="H239" s="350">
        <v>1</v>
      </c>
      <c r="I239" s="195"/>
      <c r="J239" s="350">
        <v>1</v>
      </c>
      <c r="K239" s="354">
        <v>1</v>
      </c>
      <c r="L239" s="355">
        <v>1</v>
      </c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201">
        <v>1</v>
      </c>
      <c r="X239" s="189">
        <v>6</v>
      </c>
    </row>
    <row r="240" spans="1:24" x14ac:dyDescent="0.25">
      <c r="B240" s="433"/>
      <c r="C240" s="189" t="s">
        <v>35</v>
      </c>
      <c r="D240" s="349">
        <v>1</v>
      </c>
      <c r="E240" s="195"/>
      <c r="F240" s="193">
        <v>1</v>
      </c>
      <c r="G240" s="195"/>
      <c r="H240" s="350">
        <v>1</v>
      </c>
      <c r="I240" s="354">
        <v>1</v>
      </c>
      <c r="J240" s="350">
        <v>1</v>
      </c>
      <c r="K240" s="195"/>
      <c r="L240" s="195"/>
      <c r="M240" s="195"/>
      <c r="N240" s="195"/>
      <c r="O240" s="195"/>
      <c r="P240" s="195"/>
      <c r="Q240" s="195"/>
      <c r="R240" s="195"/>
      <c r="S240" s="195"/>
      <c r="T240" s="201">
        <v>1</v>
      </c>
      <c r="U240" s="195"/>
      <c r="V240" s="195"/>
      <c r="W240" s="201">
        <v>1</v>
      </c>
      <c r="X240" s="189">
        <v>7</v>
      </c>
    </row>
    <row r="241" spans="1:24" x14ac:dyDescent="0.25">
      <c r="B241" s="433" t="s">
        <v>236</v>
      </c>
      <c r="C241" s="189" t="s">
        <v>97</v>
      </c>
      <c r="D241" s="349">
        <v>1</v>
      </c>
      <c r="E241" s="193">
        <v>1</v>
      </c>
      <c r="F241" s="195"/>
      <c r="G241" s="195"/>
      <c r="H241" s="350">
        <v>1</v>
      </c>
      <c r="I241" s="354">
        <v>1</v>
      </c>
      <c r="J241" s="350">
        <v>1</v>
      </c>
      <c r="K241" s="354">
        <v>1</v>
      </c>
      <c r="L241" s="198">
        <v>1</v>
      </c>
      <c r="M241" s="198">
        <v>1</v>
      </c>
      <c r="N241" s="198">
        <v>1</v>
      </c>
      <c r="O241" s="198">
        <v>1</v>
      </c>
      <c r="P241" s="195"/>
      <c r="Q241" s="352">
        <v>1</v>
      </c>
      <c r="R241" s="352">
        <v>1</v>
      </c>
      <c r="S241" s="201">
        <v>1</v>
      </c>
      <c r="T241" s="201">
        <v>1</v>
      </c>
      <c r="U241" s="195"/>
      <c r="V241" s="195"/>
      <c r="W241" s="195"/>
      <c r="X241" s="189">
        <v>14</v>
      </c>
    </row>
    <row r="242" spans="1:24" x14ac:dyDescent="0.25">
      <c r="B242" s="433"/>
      <c r="C242" s="189" t="s">
        <v>21</v>
      </c>
      <c r="D242" s="349">
        <v>1</v>
      </c>
      <c r="E242" s="193">
        <v>1</v>
      </c>
      <c r="F242" s="202"/>
      <c r="G242" s="202"/>
      <c r="H242" s="365"/>
      <c r="I242" s="365"/>
      <c r="J242" s="365"/>
      <c r="K242" s="354">
        <v>1</v>
      </c>
      <c r="L242" s="351">
        <v>1</v>
      </c>
      <c r="M242" s="351">
        <v>1</v>
      </c>
      <c r="N242" s="195"/>
      <c r="O242" s="195"/>
      <c r="P242" s="195"/>
      <c r="Q242" s="352">
        <v>1</v>
      </c>
      <c r="R242" s="352">
        <v>1</v>
      </c>
      <c r="S242" s="363"/>
      <c r="T242" s="363"/>
      <c r="U242" s="365"/>
      <c r="V242" s="365"/>
      <c r="W242" s="365"/>
      <c r="X242" s="189">
        <v>7</v>
      </c>
    </row>
    <row r="243" spans="1:24" x14ac:dyDescent="0.25">
      <c r="B243" s="433"/>
      <c r="C243" s="189" t="s">
        <v>41</v>
      </c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195"/>
      <c r="Q243" s="195"/>
      <c r="R243" s="195"/>
      <c r="S243" s="195"/>
      <c r="T243" s="195"/>
      <c r="U243" s="195"/>
      <c r="V243" s="195"/>
      <c r="W243" s="195"/>
      <c r="X243" s="189">
        <v>0</v>
      </c>
    </row>
    <row r="244" spans="1:24" x14ac:dyDescent="0.25">
      <c r="B244" s="433"/>
      <c r="C244" s="189" t="s">
        <v>30</v>
      </c>
      <c r="D244" s="193">
        <v>1</v>
      </c>
      <c r="E244" s="202"/>
      <c r="F244" s="202"/>
      <c r="G244" s="193">
        <v>1</v>
      </c>
      <c r="H244" s="350">
        <v>1</v>
      </c>
      <c r="I244" s="202"/>
      <c r="J244" s="202"/>
      <c r="K244" s="202"/>
      <c r="L244" s="202"/>
      <c r="M244" s="202"/>
      <c r="N244" s="202"/>
      <c r="O244" s="202"/>
      <c r="P244" s="195"/>
      <c r="Q244" s="195"/>
      <c r="R244" s="195"/>
      <c r="S244" s="195"/>
      <c r="T244" s="201">
        <v>1</v>
      </c>
      <c r="U244" s="195"/>
      <c r="V244" s="195"/>
      <c r="W244" s="195"/>
      <c r="X244" s="189">
        <v>4</v>
      </c>
    </row>
    <row r="245" spans="1:24" x14ac:dyDescent="0.25">
      <c r="B245" s="433"/>
      <c r="C245" s="189" t="s">
        <v>25</v>
      </c>
      <c r="D245" s="202"/>
      <c r="E245" s="202"/>
      <c r="F245" s="202"/>
      <c r="G245" s="202"/>
      <c r="H245" s="350">
        <v>1</v>
      </c>
      <c r="I245" s="350">
        <v>1</v>
      </c>
      <c r="J245" s="350">
        <v>1</v>
      </c>
      <c r="K245" s="202"/>
      <c r="L245" s="202"/>
      <c r="M245" s="198">
        <v>1</v>
      </c>
      <c r="N245" s="202"/>
      <c r="O245" s="202"/>
      <c r="P245" s="195"/>
      <c r="Q245" s="195"/>
      <c r="R245" s="352">
        <v>1</v>
      </c>
      <c r="S245" s="195"/>
      <c r="T245" s="195"/>
      <c r="U245" s="195"/>
      <c r="V245" s="195"/>
      <c r="W245" s="195"/>
      <c r="X245" s="189">
        <v>5</v>
      </c>
    </row>
    <row r="246" spans="1:24" ht="14" x14ac:dyDescent="0.3">
      <c r="B246" s="433" t="s">
        <v>237</v>
      </c>
      <c r="C246" s="189" t="s">
        <v>32</v>
      </c>
      <c r="D246" s="193">
        <v>1</v>
      </c>
      <c r="E246" s="363"/>
      <c r="F246" s="363"/>
      <c r="G246" s="193">
        <v>1</v>
      </c>
      <c r="H246" s="350">
        <v>1</v>
      </c>
      <c r="I246" s="350">
        <v>1</v>
      </c>
      <c r="J246" s="350">
        <v>1</v>
      </c>
      <c r="K246" s="354">
        <v>1</v>
      </c>
      <c r="L246" s="195"/>
      <c r="M246" s="195"/>
      <c r="N246" s="198">
        <v>1</v>
      </c>
      <c r="O246" s="195"/>
      <c r="P246" s="366"/>
      <c r="Q246" s="366"/>
      <c r="R246" s="366"/>
      <c r="S246" s="195"/>
      <c r="T246" s="201">
        <v>1</v>
      </c>
      <c r="U246" s="201">
        <v>1</v>
      </c>
      <c r="V246" s="195"/>
      <c r="W246" s="195"/>
      <c r="X246" s="189">
        <v>9</v>
      </c>
    </row>
    <row r="247" spans="1:24" x14ac:dyDescent="0.25">
      <c r="B247" s="433"/>
      <c r="C247" s="189" t="s">
        <v>34</v>
      </c>
      <c r="D247" s="193">
        <v>1</v>
      </c>
      <c r="E247" s="195"/>
      <c r="F247" s="195"/>
      <c r="G247" s="195"/>
      <c r="H247" s="350">
        <v>1</v>
      </c>
      <c r="I247" s="350">
        <v>1</v>
      </c>
      <c r="J247" s="350">
        <v>1</v>
      </c>
      <c r="K247" s="354">
        <v>1</v>
      </c>
      <c r="L247" s="198">
        <v>1</v>
      </c>
      <c r="M247" s="195"/>
      <c r="N247" s="195"/>
      <c r="O247" s="198">
        <v>1</v>
      </c>
      <c r="P247" s="195"/>
      <c r="Q247" s="352">
        <v>1</v>
      </c>
      <c r="R247" s="352">
        <v>1</v>
      </c>
      <c r="S247" s="201">
        <v>1</v>
      </c>
      <c r="T247" s="201">
        <v>1</v>
      </c>
      <c r="U247" s="195"/>
      <c r="V247" s="195"/>
      <c r="W247" s="195"/>
      <c r="X247" s="189">
        <v>11</v>
      </c>
    </row>
    <row r="248" spans="1:24" x14ac:dyDescent="0.25">
      <c r="B248" s="433"/>
      <c r="C248" s="189" t="s">
        <v>31</v>
      </c>
      <c r="D248" s="195"/>
      <c r="E248" s="195"/>
      <c r="F248" s="195"/>
      <c r="G248" s="195"/>
      <c r="H248" s="350">
        <v>1</v>
      </c>
      <c r="I248" s="350">
        <v>1</v>
      </c>
      <c r="J248" s="350">
        <v>1</v>
      </c>
      <c r="K248" s="354">
        <v>1</v>
      </c>
      <c r="L248" s="198">
        <v>1</v>
      </c>
      <c r="M248" s="195"/>
      <c r="N248" s="195"/>
      <c r="O248" s="195"/>
      <c r="P248" s="195"/>
      <c r="Q248" s="195"/>
      <c r="R248" s="195"/>
      <c r="S248" s="201">
        <v>1</v>
      </c>
      <c r="T248" s="195"/>
      <c r="U248" s="201">
        <v>1</v>
      </c>
      <c r="V248" s="195"/>
      <c r="W248" s="195"/>
      <c r="X248" s="189">
        <v>7</v>
      </c>
    </row>
    <row r="249" spans="1:24" x14ac:dyDescent="0.25">
      <c r="B249" s="433"/>
      <c r="C249" s="189" t="s">
        <v>38</v>
      </c>
      <c r="D249" s="195"/>
      <c r="E249" s="195"/>
      <c r="F249" s="195"/>
      <c r="G249" s="195"/>
      <c r="H249" s="350">
        <v>1</v>
      </c>
      <c r="I249" s="350">
        <v>1</v>
      </c>
      <c r="J249" s="350">
        <v>1</v>
      </c>
      <c r="K249" s="195"/>
      <c r="L249" s="198">
        <v>1</v>
      </c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89">
        <v>4</v>
      </c>
    </row>
    <row r="250" spans="1:24" x14ac:dyDescent="0.25">
      <c r="B250" s="433" t="s">
        <v>238</v>
      </c>
      <c r="C250" s="189" t="s">
        <v>33</v>
      </c>
      <c r="D250" s="195"/>
      <c r="E250" s="195"/>
      <c r="F250" s="195"/>
      <c r="G250" s="195"/>
      <c r="H250" s="350">
        <v>1</v>
      </c>
      <c r="I250" s="350">
        <v>1</v>
      </c>
      <c r="J250" s="350">
        <v>1</v>
      </c>
      <c r="K250" s="195"/>
      <c r="L250" s="198">
        <v>1</v>
      </c>
      <c r="M250" s="195"/>
      <c r="N250" s="195"/>
      <c r="O250" s="195"/>
      <c r="P250" s="195"/>
      <c r="Q250" s="195"/>
      <c r="R250" s="195"/>
      <c r="S250" s="195"/>
      <c r="T250" s="195"/>
      <c r="U250" s="201">
        <v>1</v>
      </c>
      <c r="V250" s="195"/>
      <c r="W250" s="201">
        <v>1</v>
      </c>
      <c r="X250" s="189">
        <v>6</v>
      </c>
    </row>
    <row r="251" spans="1:24" ht="14" x14ac:dyDescent="0.3">
      <c r="B251" s="433"/>
      <c r="C251" s="189" t="s">
        <v>37</v>
      </c>
      <c r="D251" s="363"/>
      <c r="E251" s="363"/>
      <c r="F251" s="363"/>
      <c r="G251" s="363"/>
      <c r="H251" s="350">
        <v>1</v>
      </c>
      <c r="I251" s="350">
        <v>1</v>
      </c>
      <c r="J251" s="350">
        <v>1</v>
      </c>
      <c r="K251" s="363"/>
      <c r="L251" s="363"/>
      <c r="M251" s="198">
        <v>1</v>
      </c>
      <c r="N251" s="366"/>
      <c r="O251" s="366"/>
      <c r="P251" s="363"/>
      <c r="Q251" s="363"/>
      <c r="R251" s="363"/>
      <c r="S251" s="363"/>
      <c r="T251" s="363"/>
      <c r="U251" s="363"/>
      <c r="V251" s="363"/>
      <c r="W251" s="363"/>
      <c r="X251" s="189">
        <v>4</v>
      </c>
    </row>
    <row r="252" spans="1:24" x14ac:dyDescent="0.25">
      <c r="B252" s="477" t="s">
        <v>239</v>
      </c>
      <c r="C252" s="477"/>
      <c r="D252" s="220">
        <v>15</v>
      </c>
      <c r="E252" s="220">
        <v>3</v>
      </c>
      <c r="F252" s="220">
        <v>1</v>
      </c>
      <c r="G252" s="220">
        <v>2</v>
      </c>
      <c r="H252" s="220">
        <v>19</v>
      </c>
      <c r="I252" s="220">
        <v>16</v>
      </c>
      <c r="J252" s="220">
        <v>18</v>
      </c>
      <c r="K252" s="367">
        <v>9</v>
      </c>
      <c r="L252" s="220">
        <v>13</v>
      </c>
      <c r="M252" s="220">
        <v>8</v>
      </c>
      <c r="N252" s="220">
        <v>5</v>
      </c>
      <c r="O252" s="220">
        <v>6</v>
      </c>
      <c r="P252" s="220">
        <v>5</v>
      </c>
      <c r="Q252" s="220">
        <v>6</v>
      </c>
      <c r="R252" s="220">
        <v>8</v>
      </c>
      <c r="S252" s="220">
        <v>9</v>
      </c>
      <c r="T252" s="220">
        <v>11</v>
      </c>
      <c r="U252" s="220">
        <v>3</v>
      </c>
      <c r="V252" s="220">
        <v>4</v>
      </c>
      <c r="W252" s="220">
        <v>4</v>
      </c>
      <c r="X252" s="189">
        <v>165</v>
      </c>
    </row>
    <row r="254" spans="1:24" ht="14" x14ac:dyDescent="0.25">
      <c r="A254" s="225" t="s">
        <v>257</v>
      </c>
      <c r="B254" s="422" t="s">
        <v>0</v>
      </c>
      <c r="C254" s="422"/>
      <c r="D254" s="423" t="s">
        <v>210</v>
      </c>
      <c r="E254" s="423"/>
      <c r="F254" s="423"/>
      <c r="G254" s="423"/>
      <c r="H254" s="424" t="s">
        <v>211</v>
      </c>
      <c r="I254" s="424"/>
      <c r="J254" s="424"/>
      <c r="K254" s="424"/>
      <c r="L254" s="425" t="s">
        <v>212</v>
      </c>
      <c r="M254" s="425"/>
      <c r="N254" s="425"/>
      <c r="O254" s="425"/>
      <c r="P254" s="426" t="s">
        <v>213</v>
      </c>
      <c r="Q254" s="426"/>
      <c r="R254" s="426"/>
      <c r="S254" s="427" t="s">
        <v>214</v>
      </c>
      <c r="T254" s="427"/>
      <c r="U254" s="427"/>
      <c r="V254" s="427"/>
      <c r="W254" s="427"/>
      <c r="X254" s="357" t="s">
        <v>215</v>
      </c>
    </row>
    <row r="255" spans="1:24" ht="30" x14ac:dyDescent="0.25">
      <c r="A255" s="225" t="s">
        <v>260</v>
      </c>
      <c r="B255" s="422"/>
      <c r="C255" s="422"/>
      <c r="D255" s="358" t="s">
        <v>210</v>
      </c>
      <c r="E255" s="358" t="s">
        <v>216</v>
      </c>
      <c r="F255" s="358" t="s">
        <v>217</v>
      </c>
      <c r="G255" s="358" t="s">
        <v>218</v>
      </c>
      <c r="H255" s="359" t="s">
        <v>219</v>
      </c>
      <c r="I255" s="359" t="s">
        <v>220</v>
      </c>
      <c r="J255" s="359" t="s">
        <v>221</v>
      </c>
      <c r="K255" s="359" t="s">
        <v>222</v>
      </c>
      <c r="L255" s="360" t="s">
        <v>223</v>
      </c>
      <c r="M255" s="360" t="s">
        <v>224</v>
      </c>
      <c r="N255" s="360" t="s">
        <v>225</v>
      </c>
      <c r="O255" s="360" t="s">
        <v>226</v>
      </c>
      <c r="P255" s="361" t="s">
        <v>227</v>
      </c>
      <c r="Q255" s="361" t="s">
        <v>228</v>
      </c>
      <c r="R255" s="361" t="s">
        <v>229</v>
      </c>
      <c r="S255" s="362" t="s">
        <v>230</v>
      </c>
      <c r="T255" s="362" t="s">
        <v>231</v>
      </c>
      <c r="U255" s="362" t="s">
        <v>232</v>
      </c>
      <c r="V255" s="362" t="s">
        <v>233</v>
      </c>
      <c r="W255" s="362" t="s">
        <v>234</v>
      </c>
      <c r="X255" s="357"/>
    </row>
    <row r="256" spans="1:24" x14ac:dyDescent="0.25">
      <c r="B256" s="433" t="s">
        <v>235</v>
      </c>
      <c r="C256" s="189" t="s">
        <v>26</v>
      </c>
      <c r="D256" s="349">
        <v>1</v>
      </c>
      <c r="E256" s="202"/>
      <c r="F256" s="202"/>
      <c r="G256" s="202"/>
      <c r="H256" s="350">
        <v>1</v>
      </c>
      <c r="I256" s="350">
        <v>1</v>
      </c>
      <c r="J256" s="350">
        <v>1</v>
      </c>
      <c r="K256" s="202"/>
      <c r="L256" s="351">
        <v>1</v>
      </c>
      <c r="M256" s="351">
        <v>1</v>
      </c>
      <c r="N256" s="202"/>
      <c r="O256" s="202"/>
      <c r="P256" s="202"/>
      <c r="Q256" s="202"/>
      <c r="R256" s="352">
        <v>1</v>
      </c>
      <c r="S256" s="353">
        <v>1</v>
      </c>
      <c r="T256" s="353">
        <v>1</v>
      </c>
      <c r="U256" s="202"/>
      <c r="V256" s="202"/>
      <c r="W256" s="202"/>
      <c r="X256" s="189">
        <v>9</v>
      </c>
    </row>
    <row r="257" spans="2:24" x14ac:dyDescent="0.25">
      <c r="B257" s="433"/>
      <c r="C257" s="189" t="s">
        <v>27</v>
      </c>
      <c r="D257" s="349">
        <v>1</v>
      </c>
      <c r="E257" s="195"/>
      <c r="F257" s="195"/>
      <c r="G257" s="195"/>
      <c r="H257" s="350">
        <v>1</v>
      </c>
      <c r="I257" s="195"/>
      <c r="J257" s="350">
        <v>1</v>
      </c>
      <c r="K257" s="350">
        <v>1</v>
      </c>
      <c r="L257" s="351">
        <v>1</v>
      </c>
      <c r="M257" s="195"/>
      <c r="N257" s="198">
        <v>1</v>
      </c>
      <c r="O257" s="195"/>
      <c r="P257" s="195"/>
      <c r="Q257" s="195"/>
      <c r="R257" s="352">
        <v>1</v>
      </c>
      <c r="S257" s="353">
        <v>1</v>
      </c>
      <c r="T257" s="353">
        <v>1</v>
      </c>
      <c r="U257" s="195"/>
      <c r="V257" s="195"/>
      <c r="W257" s="195"/>
      <c r="X257" s="189">
        <v>9</v>
      </c>
    </row>
    <row r="258" spans="2:24" x14ac:dyDescent="0.25">
      <c r="B258" s="433"/>
      <c r="C258" s="189" t="s">
        <v>28</v>
      </c>
      <c r="D258" s="349">
        <v>1</v>
      </c>
      <c r="E258" s="195"/>
      <c r="F258" s="195"/>
      <c r="G258" s="195"/>
      <c r="H258" s="350">
        <v>1</v>
      </c>
      <c r="I258" s="354">
        <v>1</v>
      </c>
      <c r="J258" s="350">
        <v>1</v>
      </c>
      <c r="K258" s="354">
        <v>1</v>
      </c>
      <c r="L258" s="351">
        <v>1</v>
      </c>
      <c r="M258" s="198">
        <v>1</v>
      </c>
      <c r="N258" s="198">
        <v>1</v>
      </c>
      <c r="O258" s="198">
        <v>1</v>
      </c>
      <c r="P258" s="352">
        <v>1</v>
      </c>
      <c r="Q258" s="195"/>
      <c r="R258" s="352">
        <v>1</v>
      </c>
      <c r="S258" s="353">
        <v>1</v>
      </c>
      <c r="T258" s="195"/>
      <c r="U258" s="195"/>
      <c r="V258" s="201">
        <v>1</v>
      </c>
      <c r="W258" s="195"/>
      <c r="X258" s="189">
        <v>13</v>
      </c>
    </row>
    <row r="259" spans="2:24" x14ac:dyDescent="0.25">
      <c r="B259" s="433"/>
      <c r="C259" s="189" t="s">
        <v>29</v>
      </c>
      <c r="D259" s="349">
        <v>1</v>
      </c>
      <c r="E259" s="195"/>
      <c r="F259" s="195"/>
      <c r="G259" s="195"/>
      <c r="H259" s="350">
        <v>1</v>
      </c>
      <c r="I259" s="354">
        <v>1</v>
      </c>
      <c r="J259" s="350">
        <v>1</v>
      </c>
      <c r="K259" s="202"/>
      <c r="L259" s="195"/>
      <c r="M259" s="195"/>
      <c r="N259" s="195"/>
      <c r="O259" s="198">
        <v>1</v>
      </c>
      <c r="P259" s="195"/>
      <c r="Q259" s="195"/>
      <c r="R259" s="195"/>
      <c r="S259" s="353">
        <v>1</v>
      </c>
      <c r="T259" s="195"/>
      <c r="U259" s="195"/>
      <c r="V259" s="195"/>
      <c r="W259" s="195"/>
      <c r="X259" s="189">
        <v>6</v>
      </c>
    </row>
    <row r="260" spans="2:24" x14ac:dyDescent="0.25">
      <c r="B260" s="433"/>
      <c r="C260" s="189" t="s">
        <v>19</v>
      </c>
      <c r="D260" s="349">
        <v>1</v>
      </c>
      <c r="E260" s="193">
        <v>1</v>
      </c>
      <c r="F260" s="195"/>
      <c r="G260" s="195"/>
      <c r="H260" s="350">
        <v>1</v>
      </c>
      <c r="I260" s="354">
        <v>1</v>
      </c>
      <c r="J260" s="350">
        <v>1</v>
      </c>
      <c r="K260" s="363"/>
      <c r="L260" s="364"/>
      <c r="M260" s="364"/>
      <c r="N260" s="364"/>
      <c r="O260" s="364"/>
      <c r="P260" s="352">
        <v>1</v>
      </c>
      <c r="Q260" s="352">
        <v>1</v>
      </c>
      <c r="R260" s="352">
        <v>1</v>
      </c>
      <c r="S260" s="353">
        <v>1</v>
      </c>
      <c r="T260" s="201">
        <v>1</v>
      </c>
      <c r="U260" s="195"/>
      <c r="V260" s="201">
        <v>1</v>
      </c>
      <c r="W260" s="201">
        <v>1</v>
      </c>
      <c r="X260" s="189">
        <v>12</v>
      </c>
    </row>
    <row r="261" spans="2:24" x14ac:dyDescent="0.25">
      <c r="B261" s="433"/>
      <c r="C261" s="189" t="s">
        <v>23</v>
      </c>
      <c r="D261" s="349">
        <v>1</v>
      </c>
      <c r="E261" s="195"/>
      <c r="F261" s="195"/>
      <c r="G261" s="195"/>
      <c r="H261" s="350">
        <v>1</v>
      </c>
      <c r="I261" s="354">
        <v>1</v>
      </c>
      <c r="J261" s="350">
        <v>1</v>
      </c>
      <c r="K261" s="195"/>
      <c r="L261" s="355">
        <v>1</v>
      </c>
      <c r="M261" s="195"/>
      <c r="N261" s="195"/>
      <c r="O261" s="198">
        <v>1</v>
      </c>
      <c r="P261" s="352">
        <v>1</v>
      </c>
      <c r="Q261" s="363"/>
      <c r="R261" s="363"/>
      <c r="S261" s="195"/>
      <c r="T261" s="201">
        <v>1</v>
      </c>
      <c r="U261" s="195"/>
      <c r="V261" s="201">
        <v>1</v>
      </c>
      <c r="W261" s="195"/>
      <c r="X261" s="189">
        <v>9</v>
      </c>
    </row>
    <row r="262" spans="2:24" x14ac:dyDescent="0.25">
      <c r="B262" s="433"/>
      <c r="C262" s="189" t="s">
        <v>129</v>
      </c>
      <c r="D262" s="349">
        <v>1</v>
      </c>
      <c r="E262" s="195"/>
      <c r="F262" s="195"/>
      <c r="G262" s="195"/>
      <c r="H262" s="350">
        <v>1</v>
      </c>
      <c r="I262" s="354">
        <v>1</v>
      </c>
      <c r="J262" s="350">
        <v>1</v>
      </c>
      <c r="K262" s="354">
        <v>1</v>
      </c>
      <c r="L262" s="355">
        <v>1</v>
      </c>
      <c r="M262" s="198">
        <v>1</v>
      </c>
      <c r="N262" s="198">
        <v>1</v>
      </c>
      <c r="O262" s="198">
        <v>1</v>
      </c>
      <c r="P262" s="352">
        <v>1</v>
      </c>
      <c r="Q262" s="352">
        <v>1</v>
      </c>
      <c r="R262" s="195"/>
      <c r="S262" s="363"/>
      <c r="T262" s="201">
        <v>1</v>
      </c>
      <c r="U262" s="195"/>
      <c r="V262" s="195"/>
      <c r="W262" s="195"/>
      <c r="X262" s="189">
        <v>12</v>
      </c>
    </row>
    <row r="263" spans="2:24" x14ac:dyDescent="0.25">
      <c r="B263" s="433"/>
      <c r="C263" s="189" t="s">
        <v>18</v>
      </c>
      <c r="D263" s="349">
        <v>1</v>
      </c>
      <c r="E263" s="195"/>
      <c r="F263" s="195"/>
      <c r="G263" s="195"/>
      <c r="H263" s="350">
        <v>1</v>
      </c>
      <c r="I263" s="354">
        <v>1</v>
      </c>
      <c r="J263" s="350">
        <v>1</v>
      </c>
      <c r="K263" s="195"/>
      <c r="L263" s="355">
        <v>1</v>
      </c>
      <c r="M263" s="198">
        <v>1</v>
      </c>
      <c r="N263" s="195"/>
      <c r="O263" s="195"/>
      <c r="P263" s="352">
        <v>1</v>
      </c>
      <c r="Q263" s="352">
        <v>1</v>
      </c>
      <c r="R263" s="195"/>
      <c r="S263" s="201"/>
      <c r="T263" s="201">
        <v>1</v>
      </c>
      <c r="U263" s="195"/>
      <c r="V263" s="201">
        <v>1</v>
      </c>
      <c r="W263" s="195"/>
      <c r="X263" s="189">
        <v>11</v>
      </c>
    </row>
    <row r="264" spans="2:24" x14ac:dyDescent="0.25">
      <c r="B264" s="433"/>
      <c r="C264" s="189" t="s">
        <v>36</v>
      </c>
      <c r="D264" s="349">
        <v>1</v>
      </c>
      <c r="E264" s="195"/>
      <c r="F264" s="195"/>
      <c r="G264" s="195"/>
      <c r="H264" s="350">
        <v>1</v>
      </c>
      <c r="I264" s="195"/>
      <c r="J264" s="350">
        <v>1</v>
      </c>
      <c r="K264" s="354">
        <v>1</v>
      </c>
      <c r="L264" s="355">
        <v>1</v>
      </c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201">
        <v>1</v>
      </c>
      <c r="X264" s="189">
        <v>6</v>
      </c>
    </row>
    <row r="265" spans="2:24" x14ac:dyDescent="0.25">
      <c r="B265" s="433"/>
      <c r="C265" s="189" t="s">
        <v>35</v>
      </c>
      <c r="D265" s="349">
        <v>1</v>
      </c>
      <c r="E265" s="195"/>
      <c r="F265" s="193">
        <v>1</v>
      </c>
      <c r="G265" s="195"/>
      <c r="H265" s="350">
        <v>1</v>
      </c>
      <c r="I265" s="354">
        <v>1</v>
      </c>
      <c r="J265" s="350">
        <v>1</v>
      </c>
      <c r="K265" s="195"/>
      <c r="L265" s="195"/>
      <c r="M265" s="195"/>
      <c r="N265" s="195"/>
      <c r="O265" s="195"/>
      <c r="P265" s="195"/>
      <c r="Q265" s="195"/>
      <c r="R265" s="195"/>
      <c r="S265" s="195"/>
      <c r="T265" s="201">
        <v>1</v>
      </c>
      <c r="U265" s="195"/>
      <c r="V265" s="195"/>
      <c r="W265" s="201">
        <v>1</v>
      </c>
      <c r="X265" s="189">
        <v>7</v>
      </c>
    </row>
    <row r="266" spans="2:24" x14ac:dyDescent="0.25">
      <c r="B266" s="433" t="s">
        <v>236</v>
      </c>
      <c r="C266" s="189" t="s">
        <v>97</v>
      </c>
      <c r="D266" s="349">
        <v>1</v>
      </c>
      <c r="E266" s="193">
        <v>1</v>
      </c>
      <c r="F266" s="195"/>
      <c r="G266" s="195"/>
      <c r="H266" s="350">
        <v>1</v>
      </c>
      <c r="I266" s="354">
        <v>1</v>
      </c>
      <c r="J266" s="350">
        <v>1</v>
      </c>
      <c r="K266" s="354">
        <v>1</v>
      </c>
      <c r="L266" s="198">
        <v>1</v>
      </c>
      <c r="M266" s="198">
        <v>1</v>
      </c>
      <c r="N266" s="198">
        <v>1</v>
      </c>
      <c r="O266" s="198">
        <v>1</v>
      </c>
      <c r="P266" s="195"/>
      <c r="Q266" s="352">
        <v>1</v>
      </c>
      <c r="R266" s="352">
        <v>1</v>
      </c>
      <c r="S266" s="201">
        <v>1</v>
      </c>
      <c r="T266" s="201">
        <v>1</v>
      </c>
      <c r="U266" s="195"/>
      <c r="V266" s="195"/>
      <c r="W266" s="195"/>
      <c r="X266" s="189">
        <v>14</v>
      </c>
    </row>
    <row r="267" spans="2:24" x14ac:dyDescent="0.25">
      <c r="B267" s="433"/>
      <c r="C267" s="189" t="s">
        <v>21</v>
      </c>
      <c r="D267" s="349">
        <v>1</v>
      </c>
      <c r="E267" s="193">
        <v>1</v>
      </c>
      <c r="F267" s="202"/>
      <c r="G267" s="202"/>
      <c r="H267" s="365"/>
      <c r="I267" s="365"/>
      <c r="J267" s="365"/>
      <c r="K267" s="354">
        <v>1</v>
      </c>
      <c r="L267" s="351">
        <v>1</v>
      </c>
      <c r="M267" s="351">
        <v>1</v>
      </c>
      <c r="N267" s="195"/>
      <c r="O267" s="195"/>
      <c r="P267" s="195"/>
      <c r="Q267" s="352">
        <v>1</v>
      </c>
      <c r="R267" s="352">
        <v>1</v>
      </c>
      <c r="S267" s="363"/>
      <c r="T267" s="363"/>
      <c r="U267" s="365"/>
      <c r="V267" s="365"/>
      <c r="W267" s="365"/>
      <c r="X267" s="189">
        <v>7</v>
      </c>
    </row>
    <row r="268" spans="2:24" x14ac:dyDescent="0.25">
      <c r="B268" s="433"/>
      <c r="C268" s="189" t="s">
        <v>41</v>
      </c>
      <c r="D268" s="202"/>
      <c r="E268" s="202"/>
      <c r="F268" s="202"/>
      <c r="G268" s="202"/>
      <c r="H268" s="202"/>
      <c r="I268" s="202"/>
      <c r="J268" s="202"/>
      <c r="K268" s="202"/>
      <c r="L268" s="202"/>
      <c r="M268" s="202"/>
      <c r="N268" s="202"/>
      <c r="O268" s="202"/>
      <c r="P268" s="195"/>
      <c r="Q268" s="195"/>
      <c r="R268" s="195"/>
      <c r="S268" s="195"/>
      <c r="T268" s="195"/>
      <c r="U268" s="195"/>
      <c r="V268" s="195"/>
      <c r="W268" s="195"/>
      <c r="X268" s="189">
        <v>0</v>
      </c>
    </row>
    <row r="269" spans="2:24" x14ac:dyDescent="0.25">
      <c r="B269" s="433"/>
      <c r="C269" s="189" t="s">
        <v>30</v>
      </c>
      <c r="D269" s="193">
        <v>1</v>
      </c>
      <c r="E269" s="202"/>
      <c r="F269" s="202"/>
      <c r="G269" s="193">
        <v>1</v>
      </c>
      <c r="H269" s="350">
        <v>1</v>
      </c>
      <c r="I269" s="202"/>
      <c r="J269" s="202"/>
      <c r="K269" s="202"/>
      <c r="L269" s="202"/>
      <c r="M269" s="202"/>
      <c r="N269" s="202"/>
      <c r="O269" s="202"/>
      <c r="P269" s="195"/>
      <c r="Q269" s="195"/>
      <c r="R269" s="195"/>
      <c r="S269" s="195"/>
      <c r="T269" s="201">
        <v>1</v>
      </c>
      <c r="U269" s="195"/>
      <c r="V269" s="195"/>
      <c r="W269" s="195"/>
      <c r="X269" s="189">
        <v>4</v>
      </c>
    </row>
    <row r="270" spans="2:24" x14ac:dyDescent="0.25">
      <c r="B270" s="433"/>
      <c r="C270" s="189" t="s">
        <v>25</v>
      </c>
      <c r="D270" s="202"/>
      <c r="E270" s="202"/>
      <c r="F270" s="202"/>
      <c r="G270" s="202"/>
      <c r="H270" s="350">
        <v>1</v>
      </c>
      <c r="I270" s="350">
        <v>1</v>
      </c>
      <c r="J270" s="350">
        <v>1</v>
      </c>
      <c r="K270" s="202"/>
      <c r="L270" s="202"/>
      <c r="M270" s="198">
        <v>1</v>
      </c>
      <c r="N270" s="202"/>
      <c r="O270" s="202"/>
      <c r="P270" s="195"/>
      <c r="Q270" s="195"/>
      <c r="R270" s="352">
        <v>1</v>
      </c>
      <c r="S270" s="195"/>
      <c r="T270" s="195"/>
      <c r="U270" s="195"/>
      <c r="V270" s="195"/>
      <c r="W270" s="195"/>
      <c r="X270" s="189">
        <v>5</v>
      </c>
    </row>
    <row r="271" spans="2:24" ht="14" x14ac:dyDescent="0.3">
      <c r="B271" s="433" t="s">
        <v>237</v>
      </c>
      <c r="C271" s="189" t="s">
        <v>32</v>
      </c>
      <c r="D271" s="193">
        <v>1</v>
      </c>
      <c r="E271" s="363"/>
      <c r="F271" s="363"/>
      <c r="G271" s="193">
        <v>1</v>
      </c>
      <c r="H271" s="350">
        <v>1</v>
      </c>
      <c r="I271" s="350">
        <v>1</v>
      </c>
      <c r="J271" s="350">
        <v>1</v>
      </c>
      <c r="K271" s="354">
        <v>1</v>
      </c>
      <c r="L271" s="195"/>
      <c r="M271" s="195"/>
      <c r="N271" s="198">
        <v>1</v>
      </c>
      <c r="O271" s="195"/>
      <c r="P271" s="366"/>
      <c r="Q271" s="366"/>
      <c r="R271" s="366"/>
      <c r="S271" s="195"/>
      <c r="T271" s="201">
        <v>1</v>
      </c>
      <c r="U271" s="201">
        <v>1</v>
      </c>
      <c r="V271" s="195"/>
      <c r="W271" s="195"/>
      <c r="X271" s="189">
        <v>9</v>
      </c>
    </row>
    <row r="272" spans="2:24" x14ac:dyDescent="0.25">
      <c r="B272" s="433"/>
      <c r="C272" s="189" t="s">
        <v>34</v>
      </c>
      <c r="D272" s="193">
        <v>1</v>
      </c>
      <c r="E272" s="195"/>
      <c r="F272" s="195"/>
      <c r="G272" s="195"/>
      <c r="H272" s="350">
        <v>1</v>
      </c>
      <c r="I272" s="350">
        <v>1</v>
      </c>
      <c r="J272" s="350">
        <v>1</v>
      </c>
      <c r="K272" s="354">
        <v>1</v>
      </c>
      <c r="L272" s="198">
        <v>1</v>
      </c>
      <c r="M272" s="195"/>
      <c r="N272" s="195"/>
      <c r="O272" s="198">
        <v>1</v>
      </c>
      <c r="P272" s="195"/>
      <c r="Q272" s="352">
        <v>1</v>
      </c>
      <c r="R272" s="352">
        <v>1</v>
      </c>
      <c r="S272" s="201">
        <v>1</v>
      </c>
      <c r="T272" s="201">
        <v>1</v>
      </c>
      <c r="U272" s="195"/>
      <c r="V272" s="195"/>
      <c r="W272" s="195"/>
      <c r="X272" s="189">
        <v>11</v>
      </c>
    </row>
    <row r="273" spans="1:24" x14ac:dyDescent="0.25">
      <c r="B273" s="433"/>
      <c r="C273" s="189" t="s">
        <v>31</v>
      </c>
      <c r="D273" s="195"/>
      <c r="E273" s="195"/>
      <c r="F273" s="195"/>
      <c r="G273" s="195"/>
      <c r="H273" s="350">
        <v>1</v>
      </c>
      <c r="I273" s="350">
        <v>1</v>
      </c>
      <c r="J273" s="350">
        <v>1</v>
      </c>
      <c r="K273" s="354">
        <v>1</v>
      </c>
      <c r="L273" s="198">
        <v>1</v>
      </c>
      <c r="M273" s="195"/>
      <c r="N273" s="195"/>
      <c r="O273" s="195"/>
      <c r="P273" s="195"/>
      <c r="Q273" s="195"/>
      <c r="R273" s="195"/>
      <c r="S273" s="201">
        <v>1</v>
      </c>
      <c r="T273" s="195"/>
      <c r="U273" s="201">
        <v>1</v>
      </c>
      <c r="V273" s="195"/>
      <c r="W273" s="195"/>
      <c r="X273" s="189">
        <v>7</v>
      </c>
    </row>
    <row r="274" spans="1:24" x14ac:dyDescent="0.25">
      <c r="B274" s="433"/>
      <c r="C274" s="189" t="s">
        <v>38</v>
      </c>
      <c r="D274" s="195"/>
      <c r="E274" s="195"/>
      <c r="F274" s="195"/>
      <c r="G274" s="195"/>
      <c r="H274" s="350">
        <v>1</v>
      </c>
      <c r="I274" s="350">
        <v>1</v>
      </c>
      <c r="J274" s="350">
        <v>1</v>
      </c>
      <c r="K274" s="195"/>
      <c r="L274" s="198">
        <v>1</v>
      </c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89">
        <v>4</v>
      </c>
    </row>
    <row r="275" spans="1:24" x14ac:dyDescent="0.25">
      <c r="B275" s="433" t="s">
        <v>238</v>
      </c>
      <c r="C275" s="189" t="s">
        <v>33</v>
      </c>
      <c r="D275" s="195"/>
      <c r="E275" s="195"/>
      <c r="F275" s="195"/>
      <c r="G275" s="195"/>
      <c r="H275" s="350">
        <v>1</v>
      </c>
      <c r="I275" s="350">
        <v>1</v>
      </c>
      <c r="J275" s="350">
        <v>1</v>
      </c>
      <c r="K275" s="195"/>
      <c r="L275" s="198">
        <v>1</v>
      </c>
      <c r="M275" s="195"/>
      <c r="N275" s="195"/>
      <c r="O275" s="195"/>
      <c r="P275" s="195"/>
      <c r="Q275" s="195"/>
      <c r="R275" s="195"/>
      <c r="S275" s="195"/>
      <c r="T275" s="195"/>
      <c r="U275" s="201">
        <v>1</v>
      </c>
      <c r="V275" s="195"/>
      <c r="W275" s="201">
        <v>1</v>
      </c>
      <c r="X275" s="189">
        <v>6</v>
      </c>
    </row>
    <row r="276" spans="1:24" ht="14" x14ac:dyDescent="0.3">
      <c r="B276" s="433"/>
      <c r="C276" s="189" t="s">
        <v>37</v>
      </c>
      <c r="D276" s="363"/>
      <c r="E276" s="363"/>
      <c r="F276" s="363"/>
      <c r="G276" s="363"/>
      <c r="H276" s="350">
        <v>1</v>
      </c>
      <c r="I276" s="350">
        <v>1</v>
      </c>
      <c r="J276" s="350">
        <v>1</v>
      </c>
      <c r="K276" s="363"/>
      <c r="L276" s="363"/>
      <c r="M276" s="198">
        <v>1</v>
      </c>
      <c r="N276" s="366"/>
      <c r="O276" s="366"/>
      <c r="P276" s="363"/>
      <c r="Q276" s="363"/>
      <c r="R276" s="363"/>
      <c r="S276" s="363"/>
      <c r="T276" s="363"/>
      <c r="U276" s="363"/>
      <c r="V276" s="363"/>
      <c r="W276" s="363"/>
      <c r="X276" s="189">
        <v>4</v>
      </c>
    </row>
    <row r="277" spans="1:24" x14ac:dyDescent="0.25">
      <c r="B277" s="477" t="s">
        <v>239</v>
      </c>
      <c r="C277" s="477"/>
      <c r="D277" s="220">
        <v>15</v>
      </c>
      <c r="E277" s="220">
        <v>3</v>
      </c>
      <c r="F277" s="220">
        <v>1</v>
      </c>
      <c r="G277" s="220">
        <v>2</v>
      </c>
      <c r="H277" s="220">
        <v>19</v>
      </c>
      <c r="I277" s="220">
        <v>16</v>
      </c>
      <c r="J277" s="220">
        <v>18</v>
      </c>
      <c r="K277" s="367">
        <v>9</v>
      </c>
      <c r="L277" s="220">
        <v>13</v>
      </c>
      <c r="M277" s="220">
        <v>8</v>
      </c>
      <c r="N277" s="220">
        <v>5</v>
      </c>
      <c r="O277" s="220">
        <v>6</v>
      </c>
      <c r="P277" s="220">
        <v>5</v>
      </c>
      <c r="Q277" s="220">
        <v>6</v>
      </c>
      <c r="R277" s="220">
        <v>8</v>
      </c>
      <c r="S277" s="220">
        <v>9</v>
      </c>
      <c r="T277" s="220">
        <v>11</v>
      </c>
      <c r="U277" s="220">
        <v>3</v>
      </c>
      <c r="V277" s="220">
        <v>4</v>
      </c>
      <c r="W277" s="220">
        <v>4</v>
      </c>
      <c r="X277" s="189">
        <v>165</v>
      </c>
    </row>
    <row r="280" spans="1:24" ht="14.25" customHeight="1" x14ac:dyDescent="0.25">
      <c r="A280" s="225" t="s">
        <v>257</v>
      </c>
      <c r="B280" s="422" t="s">
        <v>0</v>
      </c>
      <c r="C280" s="422"/>
      <c r="D280" s="423" t="s">
        <v>210</v>
      </c>
      <c r="E280" s="423"/>
      <c r="F280" s="423"/>
      <c r="G280" s="423"/>
      <c r="H280" s="424" t="s">
        <v>211</v>
      </c>
      <c r="I280" s="424"/>
      <c r="J280" s="424"/>
      <c r="K280" s="424"/>
      <c r="L280" s="425" t="s">
        <v>212</v>
      </c>
      <c r="M280" s="425"/>
      <c r="N280" s="425"/>
      <c r="O280" s="425"/>
      <c r="P280" s="426" t="s">
        <v>213</v>
      </c>
      <c r="Q280" s="426"/>
      <c r="R280" s="426"/>
      <c r="S280" s="427" t="s">
        <v>214</v>
      </c>
      <c r="T280" s="427"/>
      <c r="U280" s="427"/>
      <c r="V280" s="427"/>
      <c r="W280" s="427"/>
      <c r="X280" s="357" t="s">
        <v>215</v>
      </c>
    </row>
    <row r="281" spans="1:24" ht="36" customHeight="1" x14ac:dyDescent="0.25">
      <c r="A281" s="225" t="s">
        <v>261</v>
      </c>
      <c r="B281" s="422"/>
      <c r="C281" s="422"/>
      <c r="D281" s="358" t="s">
        <v>210</v>
      </c>
      <c r="E281" s="358" t="s">
        <v>216</v>
      </c>
      <c r="F281" s="358" t="s">
        <v>217</v>
      </c>
      <c r="G281" s="358" t="s">
        <v>218</v>
      </c>
      <c r="H281" s="359" t="s">
        <v>219</v>
      </c>
      <c r="I281" s="359" t="s">
        <v>220</v>
      </c>
      <c r="J281" s="359" t="s">
        <v>221</v>
      </c>
      <c r="K281" s="359" t="s">
        <v>222</v>
      </c>
      <c r="L281" s="360" t="s">
        <v>223</v>
      </c>
      <c r="M281" s="360" t="s">
        <v>224</v>
      </c>
      <c r="N281" s="360" t="s">
        <v>225</v>
      </c>
      <c r="O281" s="360" t="s">
        <v>226</v>
      </c>
      <c r="P281" s="361" t="s">
        <v>227</v>
      </c>
      <c r="Q281" s="361" t="s">
        <v>228</v>
      </c>
      <c r="R281" s="361" t="s">
        <v>229</v>
      </c>
      <c r="S281" s="362" t="s">
        <v>230</v>
      </c>
      <c r="T281" s="362" t="s">
        <v>231</v>
      </c>
      <c r="U281" s="362" t="s">
        <v>232</v>
      </c>
      <c r="V281" s="362" t="s">
        <v>233</v>
      </c>
      <c r="W281" s="362" t="s">
        <v>234</v>
      </c>
      <c r="X281" s="357"/>
    </row>
    <row r="282" spans="1:24" x14ac:dyDescent="0.25">
      <c r="B282" s="433" t="s">
        <v>235</v>
      </c>
      <c r="C282" s="189" t="s">
        <v>26</v>
      </c>
      <c r="D282" s="349">
        <v>1</v>
      </c>
      <c r="E282" s="202"/>
      <c r="F282" s="202"/>
      <c r="G282" s="202"/>
      <c r="H282" s="350">
        <v>1</v>
      </c>
      <c r="I282" s="350">
        <v>1</v>
      </c>
      <c r="J282" s="350">
        <v>1</v>
      </c>
      <c r="K282" s="202"/>
      <c r="L282" s="351">
        <v>1</v>
      </c>
      <c r="M282" s="351">
        <v>1</v>
      </c>
      <c r="N282" s="202"/>
      <c r="O282" s="202"/>
      <c r="P282" s="202"/>
      <c r="Q282" s="202"/>
      <c r="R282" s="352">
        <v>1</v>
      </c>
      <c r="S282" s="353">
        <v>1</v>
      </c>
      <c r="T282" s="353">
        <v>1</v>
      </c>
      <c r="U282" s="202"/>
      <c r="V282" s="202"/>
      <c r="W282" s="202"/>
      <c r="X282" s="189">
        <v>9</v>
      </c>
    </row>
    <row r="283" spans="1:24" x14ac:dyDescent="0.25">
      <c r="B283" s="433"/>
      <c r="C283" s="189" t="s">
        <v>27</v>
      </c>
      <c r="D283" s="349">
        <v>1</v>
      </c>
      <c r="E283" s="195"/>
      <c r="F283" s="195"/>
      <c r="G283" s="195"/>
      <c r="H283" s="350">
        <v>1</v>
      </c>
      <c r="I283" s="195"/>
      <c r="J283" s="350">
        <v>1</v>
      </c>
      <c r="K283" s="350">
        <v>1</v>
      </c>
      <c r="L283" s="351">
        <v>1</v>
      </c>
      <c r="M283" s="195"/>
      <c r="N283" s="198">
        <v>1</v>
      </c>
      <c r="O283" s="195"/>
      <c r="P283" s="195"/>
      <c r="Q283" s="195"/>
      <c r="R283" s="352">
        <v>1</v>
      </c>
      <c r="S283" s="353">
        <v>1</v>
      </c>
      <c r="T283" s="353">
        <v>1</v>
      </c>
      <c r="U283" s="195"/>
      <c r="V283" s="195"/>
      <c r="W283" s="195"/>
      <c r="X283" s="189">
        <v>9</v>
      </c>
    </row>
    <row r="284" spans="1:24" x14ac:dyDescent="0.25">
      <c r="B284" s="433"/>
      <c r="C284" s="189" t="s">
        <v>28</v>
      </c>
      <c r="D284" s="349">
        <v>1</v>
      </c>
      <c r="E284" s="195"/>
      <c r="F284" s="195"/>
      <c r="G284" s="195"/>
      <c r="H284" s="350">
        <v>1</v>
      </c>
      <c r="I284" s="354">
        <v>1</v>
      </c>
      <c r="J284" s="350">
        <v>1</v>
      </c>
      <c r="K284" s="354">
        <v>1</v>
      </c>
      <c r="L284" s="351">
        <v>1</v>
      </c>
      <c r="M284" s="198">
        <v>1</v>
      </c>
      <c r="N284" s="198">
        <v>1</v>
      </c>
      <c r="O284" s="198">
        <v>1</v>
      </c>
      <c r="P284" s="352">
        <v>1</v>
      </c>
      <c r="Q284" s="195"/>
      <c r="R284" s="352">
        <v>1</v>
      </c>
      <c r="S284" s="353">
        <v>1</v>
      </c>
      <c r="T284" s="195"/>
      <c r="U284" s="195"/>
      <c r="V284" s="201">
        <v>1</v>
      </c>
      <c r="W284" s="195"/>
      <c r="X284" s="189">
        <v>13</v>
      </c>
    </row>
    <row r="285" spans="1:24" x14ac:dyDescent="0.25">
      <c r="B285" s="433"/>
      <c r="C285" s="189" t="s">
        <v>29</v>
      </c>
      <c r="D285" s="349">
        <v>1</v>
      </c>
      <c r="E285" s="195"/>
      <c r="F285" s="195"/>
      <c r="G285" s="195"/>
      <c r="H285" s="350">
        <v>1</v>
      </c>
      <c r="I285" s="354">
        <v>1</v>
      </c>
      <c r="J285" s="350">
        <v>1</v>
      </c>
      <c r="K285" s="202"/>
      <c r="L285" s="195"/>
      <c r="M285" s="195"/>
      <c r="N285" s="195"/>
      <c r="O285" s="198">
        <v>1</v>
      </c>
      <c r="P285" s="195"/>
      <c r="Q285" s="195"/>
      <c r="R285" s="195"/>
      <c r="S285" s="353">
        <v>1</v>
      </c>
      <c r="T285" s="195"/>
      <c r="U285" s="195"/>
      <c r="V285" s="195"/>
      <c r="W285" s="195"/>
      <c r="X285" s="189">
        <v>6</v>
      </c>
    </row>
    <row r="286" spans="1:24" x14ac:dyDescent="0.25">
      <c r="B286" s="433"/>
      <c r="C286" s="189" t="s">
        <v>19</v>
      </c>
      <c r="D286" s="349">
        <v>1</v>
      </c>
      <c r="E286" s="193">
        <v>1</v>
      </c>
      <c r="F286" s="195"/>
      <c r="G286" s="195"/>
      <c r="H286" s="350">
        <v>1</v>
      </c>
      <c r="I286" s="354">
        <v>1</v>
      </c>
      <c r="J286" s="350">
        <v>1</v>
      </c>
      <c r="K286" s="363"/>
      <c r="L286" s="364"/>
      <c r="M286" s="364"/>
      <c r="N286" s="364"/>
      <c r="O286" s="364"/>
      <c r="P286" s="352">
        <v>1</v>
      </c>
      <c r="Q286" s="352">
        <v>1</v>
      </c>
      <c r="R286" s="352">
        <v>1</v>
      </c>
      <c r="S286" s="353">
        <v>1</v>
      </c>
      <c r="T286" s="201">
        <v>1</v>
      </c>
      <c r="U286" s="195"/>
      <c r="V286" s="201">
        <v>1</v>
      </c>
      <c r="W286" s="201">
        <v>1</v>
      </c>
      <c r="X286" s="189">
        <v>12</v>
      </c>
    </row>
    <row r="287" spans="1:24" x14ac:dyDescent="0.25">
      <c r="B287" s="433"/>
      <c r="C287" s="189" t="s">
        <v>23</v>
      </c>
      <c r="D287" s="349">
        <v>1</v>
      </c>
      <c r="E287" s="195"/>
      <c r="F287" s="195"/>
      <c r="G287" s="195"/>
      <c r="H287" s="350">
        <v>1</v>
      </c>
      <c r="I287" s="354">
        <v>1</v>
      </c>
      <c r="J287" s="350">
        <v>1</v>
      </c>
      <c r="K287" s="195"/>
      <c r="L287" s="355">
        <v>1</v>
      </c>
      <c r="M287" s="195"/>
      <c r="N287" s="195"/>
      <c r="O287" s="198">
        <v>1</v>
      </c>
      <c r="P287" s="352">
        <v>1</v>
      </c>
      <c r="Q287" s="363"/>
      <c r="R287" s="363"/>
      <c r="S287" s="195"/>
      <c r="T287" s="201">
        <v>1</v>
      </c>
      <c r="U287" s="195"/>
      <c r="V287" s="201">
        <v>1</v>
      </c>
      <c r="W287" s="195"/>
      <c r="X287" s="189">
        <v>9</v>
      </c>
    </row>
    <row r="288" spans="1:24" x14ac:dyDescent="0.25">
      <c r="B288" s="433"/>
      <c r="C288" s="189" t="s">
        <v>129</v>
      </c>
      <c r="D288" s="349">
        <v>1</v>
      </c>
      <c r="E288" s="195"/>
      <c r="F288" s="195"/>
      <c r="G288" s="195"/>
      <c r="H288" s="350">
        <v>1</v>
      </c>
      <c r="I288" s="354">
        <v>1</v>
      </c>
      <c r="J288" s="350">
        <v>1</v>
      </c>
      <c r="K288" s="354">
        <v>1</v>
      </c>
      <c r="L288" s="355">
        <v>1</v>
      </c>
      <c r="M288" s="198">
        <v>1</v>
      </c>
      <c r="N288" s="198">
        <v>1</v>
      </c>
      <c r="O288" s="198">
        <v>1</v>
      </c>
      <c r="P288" s="352">
        <v>1</v>
      </c>
      <c r="Q288" s="352">
        <v>1</v>
      </c>
      <c r="R288" s="195"/>
      <c r="S288" s="363"/>
      <c r="T288" s="201">
        <v>1</v>
      </c>
      <c r="U288" s="195"/>
      <c r="V288" s="195"/>
      <c r="W288" s="195"/>
      <c r="X288" s="189">
        <v>12</v>
      </c>
    </row>
    <row r="289" spans="2:24" x14ac:dyDescent="0.25">
      <c r="B289" s="433"/>
      <c r="C289" s="189" t="s">
        <v>18</v>
      </c>
      <c r="D289" s="349">
        <v>1</v>
      </c>
      <c r="E289" s="195"/>
      <c r="F289" s="195"/>
      <c r="G289" s="195"/>
      <c r="H289" s="350">
        <v>1</v>
      </c>
      <c r="I289" s="354">
        <v>1</v>
      </c>
      <c r="J289" s="350">
        <v>1</v>
      </c>
      <c r="K289" s="195"/>
      <c r="L289" s="355">
        <v>1</v>
      </c>
      <c r="M289" s="198">
        <v>1</v>
      </c>
      <c r="N289" s="195"/>
      <c r="O289" s="195"/>
      <c r="P289" s="352">
        <v>1</v>
      </c>
      <c r="Q289" s="352">
        <v>1</v>
      </c>
      <c r="R289" s="195"/>
      <c r="S289" s="201"/>
      <c r="T289" s="201">
        <v>1</v>
      </c>
      <c r="U289" s="195"/>
      <c r="V289" s="201">
        <v>1</v>
      </c>
      <c r="W289" s="195"/>
      <c r="X289" s="189">
        <v>11</v>
      </c>
    </row>
    <row r="290" spans="2:24" x14ac:dyDescent="0.25">
      <c r="B290" s="433"/>
      <c r="C290" s="189" t="s">
        <v>36</v>
      </c>
      <c r="D290" s="349">
        <v>1</v>
      </c>
      <c r="E290" s="195"/>
      <c r="F290" s="195"/>
      <c r="G290" s="195"/>
      <c r="H290" s="350">
        <v>1</v>
      </c>
      <c r="I290" s="195"/>
      <c r="J290" s="350">
        <v>1</v>
      </c>
      <c r="K290" s="354">
        <v>1</v>
      </c>
      <c r="L290" s="355">
        <v>1</v>
      </c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201">
        <v>1</v>
      </c>
      <c r="X290" s="189">
        <v>6</v>
      </c>
    </row>
    <row r="291" spans="2:24" x14ac:dyDescent="0.25">
      <c r="B291" s="433"/>
      <c r="C291" s="189" t="s">
        <v>35</v>
      </c>
      <c r="D291" s="349">
        <v>1</v>
      </c>
      <c r="E291" s="195"/>
      <c r="F291" s="193">
        <v>1</v>
      </c>
      <c r="G291" s="195"/>
      <c r="H291" s="350">
        <v>1</v>
      </c>
      <c r="I291" s="354">
        <v>1</v>
      </c>
      <c r="J291" s="350">
        <v>1</v>
      </c>
      <c r="K291" s="195"/>
      <c r="L291" s="195"/>
      <c r="M291" s="195"/>
      <c r="N291" s="195"/>
      <c r="O291" s="195"/>
      <c r="P291" s="195"/>
      <c r="Q291" s="195"/>
      <c r="R291" s="195"/>
      <c r="S291" s="195"/>
      <c r="T291" s="201">
        <v>1</v>
      </c>
      <c r="U291" s="195"/>
      <c r="V291" s="195"/>
      <c r="W291" s="201">
        <v>1</v>
      </c>
      <c r="X291" s="189">
        <v>7</v>
      </c>
    </row>
    <row r="292" spans="2:24" x14ac:dyDescent="0.25">
      <c r="B292" s="433" t="s">
        <v>236</v>
      </c>
      <c r="C292" s="189" t="s">
        <v>97</v>
      </c>
      <c r="D292" s="349">
        <v>1</v>
      </c>
      <c r="E292" s="193">
        <v>1</v>
      </c>
      <c r="F292" s="195"/>
      <c r="G292" s="195"/>
      <c r="H292" s="350">
        <v>1</v>
      </c>
      <c r="I292" s="354">
        <v>1</v>
      </c>
      <c r="J292" s="350">
        <v>1</v>
      </c>
      <c r="K292" s="354">
        <v>1</v>
      </c>
      <c r="L292" s="198">
        <v>1</v>
      </c>
      <c r="M292" s="198">
        <v>1</v>
      </c>
      <c r="N292" s="198">
        <v>1</v>
      </c>
      <c r="O292" s="198">
        <v>1</v>
      </c>
      <c r="P292" s="195"/>
      <c r="Q292" s="352">
        <v>1</v>
      </c>
      <c r="R292" s="352">
        <v>1</v>
      </c>
      <c r="S292" s="201">
        <v>1</v>
      </c>
      <c r="T292" s="201">
        <v>1</v>
      </c>
      <c r="U292" s="195"/>
      <c r="V292" s="195"/>
      <c r="W292" s="195"/>
      <c r="X292" s="189">
        <v>14</v>
      </c>
    </row>
    <row r="293" spans="2:24" x14ac:dyDescent="0.25">
      <c r="B293" s="433"/>
      <c r="C293" s="189" t="s">
        <v>21</v>
      </c>
      <c r="D293" s="349">
        <v>1</v>
      </c>
      <c r="E293" s="193">
        <v>1</v>
      </c>
      <c r="F293" s="202"/>
      <c r="G293" s="202"/>
      <c r="H293" s="365"/>
      <c r="I293" s="365"/>
      <c r="J293" s="365"/>
      <c r="K293" s="354">
        <v>1</v>
      </c>
      <c r="L293" s="351">
        <v>1</v>
      </c>
      <c r="M293" s="351">
        <v>1</v>
      </c>
      <c r="N293" s="195"/>
      <c r="O293" s="195"/>
      <c r="P293" s="195"/>
      <c r="Q293" s="352">
        <v>1</v>
      </c>
      <c r="R293" s="352">
        <v>1</v>
      </c>
      <c r="S293" s="363"/>
      <c r="T293" s="363"/>
      <c r="U293" s="365"/>
      <c r="V293" s="365"/>
      <c r="W293" s="365"/>
      <c r="X293" s="189">
        <v>7</v>
      </c>
    </row>
    <row r="294" spans="2:24" x14ac:dyDescent="0.25">
      <c r="B294" s="433"/>
      <c r="C294" s="189" t="s">
        <v>41</v>
      </c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02"/>
      <c r="O294" s="202"/>
      <c r="P294" s="195"/>
      <c r="Q294" s="195"/>
      <c r="R294" s="195"/>
      <c r="S294" s="195"/>
      <c r="T294" s="195"/>
      <c r="U294" s="195"/>
      <c r="V294" s="195"/>
      <c r="W294" s="195"/>
      <c r="X294" s="189">
        <v>0</v>
      </c>
    </row>
    <row r="295" spans="2:24" x14ac:dyDescent="0.25">
      <c r="B295" s="433"/>
      <c r="C295" s="189" t="s">
        <v>30</v>
      </c>
      <c r="D295" s="193">
        <v>1</v>
      </c>
      <c r="E295" s="202"/>
      <c r="F295" s="202"/>
      <c r="G295" s="193">
        <v>1</v>
      </c>
      <c r="H295" s="350">
        <v>1</v>
      </c>
      <c r="I295" s="202"/>
      <c r="J295" s="202"/>
      <c r="K295" s="202"/>
      <c r="L295" s="202"/>
      <c r="M295" s="202"/>
      <c r="N295" s="202"/>
      <c r="O295" s="202"/>
      <c r="P295" s="195"/>
      <c r="Q295" s="195"/>
      <c r="R295" s="195"/>
      <c r="S295" s="195"/>
      <c r="T295" s="201">
        <v>1</v>
      </c>
      <c r="U295" s="195"/>
      <c r="V295" s="195"/>
      <c r="W295" s="195"/>
      <c r="X295" s="189">
        <v>4</v>
      </c>
    </row>
    <row r="296" spans="2:24" x14ac:dyDescent="0.25">
      <c r="B296" s="433"/>
      <c r="C296" s="189" t="s">
        <v>25</v>
      </c>
      <c r="D296" s="202"/>
      <c r="E296" s="202"/>
      <c r="F296" s="202"/>
      <c r="G296" s="202"/>
      <c r="H296" s="350">
        <v>1</v>
      </c>
      <c r="I296" s="350">
        <v>1</v>
      </c>
      <c r="J296" s="350">
        <v>1</v>
      </c>
      <c r="K296" s="202"/>
      <c r="L296" s="202"/>
      <c r="M296" s="198">
        <v>1</v>
      </c>
      <c r="N296" s="202"/>
      <c r="O296" s="202"/>
      <c r="P296" s="195"/>
      <c r="Q296" s="195"/>
      <c r="R296" s="352">
        <v>1</v>
      </c>
      <c r="S296" s="195"/>
      <c r="T296" s="195"/>
      <c r="U296" s="195"/>
      <c r="V296" s="195"/>
      <c r="W296" s="195"/>
      <c r="X296" s="189">
        <v>5</v>
      </c>
    </row>
    <row r="297" spans="2:24" ht="14" x14ac:dyDescent="0.3">
      <c r="B297" s="433" t="s">
        <v>237</v>
      </c>
      <c r="C297" s="189" t="s">
        <v>32</v>
      </c>
      <c r="D297" s="193">
        <v>1</v>
      </c>
      <c r="E297" s="363"/>
      <c r="F297" s="363"/>
      <c r="G297" s="193">
        <v>1</v>
      </c>
      <c r="H297" s="350">
        <v>1</v>
      </c>
      <c r="I297" s="350">
        <v>1</v>
      </c>
      <c r="J297" s="350">
        <v>1</v>
      </c>
      <c r="K297" s="354">
        <v>1</v>
      </c>
      <c r="L297" s="195"/>
      <c r="M297" s="195"/>
      <c r="N297" s="198">
        <v>1</v>
      </c>
      <c r="O297" s="195"/>
      <c r="P297" s="366"/>
      <c r="Q297" s="366"/>
      <c r="R297" s="366"/>
      <c r="S297" s="195"/>
      <c r="T297" s="201">
        <v>1</v>
      </c>
      <c r="U297" s="201">
        <v>1</v>
      </c>
      <c r="V297" s="195"/>
      <c r="W297" s="195"/>
      <c r="X297" s="189">
        <v>9</v>
      </c>
    </row>
    <row r="298" spans="2:24" x14ac:dyDescent="0.25">
      <c r="B298" s="433"/>
      <c r="C298" s="189" t="s">
        <v>34</v>
      </c>
      <c r="D298" s="193">
        <v>1</v>
      </c>
      <c r="E298" s="195"/>
      <c r="F298" s="195"/>
      <c r="G298" s="195"/>
      <c r="H298" s="350">
        <v>1</v>
      </c>
      <c r="I298" s="350">
        <v>1</v>
      </c>
      <c r="J298" s="350">
        <v>1</v>
      </c>
      <c r="K298" s="354">
        <v>1</v>
      </c>
      <c r="L298" s="198">
        <v>1</v>
      </c>
      <c r="M298" s="195"/>
      <c r="N298" s="195"/>
      <c r="O298" s="198">
        <v>1</v>
      </c>
      <c r="P298" s="195"/>
      <c r="Q298" s="352">
        <v>1</v>
      </c>
      <c r="R298" s="352">
        <v>1</v>
      </c>
      <c r="S298" s="201">
        <v>1</v>
      </c>
      <c r="T298" s="201">
        <v>1</v>
      </c>
      <c r="U298" s="195"/>
      <c r="V298" s="195"/>
      <c r="W298" s="195"/>
      <c r="X298" s="189">
        <v>11</v>
      </c>
    </row>
    <row r="299" spans="2:24" x14ac:dyDescent="0.25">
      <c r="B299" s="433"/>
      <c r="C299" s="189" t="s">
        <v>31</v>
      </c>
      <c r="D299" s="195"/>
      <c r="E299" s="195"/>
      <c r="F299" s="195"/>
      <c r="G299" s="195"/>
      <c r="H299" s="350">
        <v>1</v>
      </c>
      <c r="I299" s="350">
        <v>1</v>
      </c>
      <c r="J299" s="350">
        <v>1</v>
      </c>
      <c r="K299" s="354">
        <v>1</v>
      </c>
      <c r="L299" s="198">
        <v>1</v>
      </c>
      <c r="M299" s="195"/>
      <c r="N299" s="195"/>
      <c r="O299" s="195"/>
      <c r="P299" s="195"/>
      <c r="Q299" s="195"/>
      <c r="R299" s="195"/>
      <c r="S299" s="201">
        <v>1</v>
      </c>
      <c r="T299" s="195"/>
      <c r="U299" s="201">
        <v>1</v>
      </c>
      <c r="V299" s="195"/>
      <c r="W299" s="195"/>
      <c r="X299" s="189">
        <v>7</v>
      </c>
    </row>
    <row r="300" spans="2:24" x14ac:dyDescent="0.25">
      <c r="B300" s="433"/>
      <c r="C300" s="189" t="s">
        <v>38</v>
      </c>
      <c r="D300" s="195"/>
      <c r="E300" s="195"/>
      <c r="F300" s="195"/>
      <c r="G300" s="195"/>
      <c r="H300" s="350">
        <v>1</v>
      </c>
      <c r="I300" s="350">
        <v>1</v>
      </c>
      <c r="J300" s="350">
        <v>1</v>
      </c>
      <c r="K300" s="195"/>
      <c r="L300" s="198">
        <v>1</v>
      </c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89">
        <v>4</v>
      </c>
    </row>
    <row r="301" spans="2:24" x14ac:dyDescent="0.25">
      <c r="B301" s="433" t="s">
        <v>238</v>
      </c>
      <c r="C301" s="189" t="s">
        <v>33</v>
      </c>
      <c r="D301" s="195"/>
      <c r="E301" s="195"/>
      <c r="F301" s="195"/>
      <c r="G301" s="195"/>
      <c r="H301" s="350">
        <v>1</v>
      </c>
      <c r="I301" s="350">
        <v>1</v>
      </c>
      <c r="J301" s="350">
        <v>1</v>
      </c>
      <c r="K301" s="195"/>
      <c r="L301" s="198">
        <v>1</v>
      </c>
      <c r="M301" s="195"/>
      <c r="N301" s="195"/>
      <c r="O301" s="195"/>
      <c r="P301" s="195"/>
      <c r="Q301" s="195"/>
      <c r="R301" s="195"/>
      <c r="S301" s="195"/>
      <c r="T301" s="195"/>
      <c r="U301" s="201">
        <v>1</v>
      </c>
      <c r="V301" s="195"/>
      <c r="W301" s="201">
        <v>1</v>
      </c>
      <c r="X301" s="189">
        <v>6</v>
      </c>
    </row>
    <row r="302" spans="2:24" ht="14" x14ac:dyDescent="0.3">
      <c r="B302" s="433"/>
      <c r="C302" s="189" t="s">
        <v>37</v>
      </c>
      <c r="D302" s="363"/>
      <c r="E302" s="363"/>
      <c r="F302" s="363"/>
      <c r="G302" s="363"/>
      <c r="H302" s="350">
        <v>1</v>
      </c>
      <c r="I302" s="350">
        <v>1</v>
      </c>
      <c r="J302" s="350">
        <v>1</v>
      </c>
      <c r="K302" s="363"/>
      <c r="L302" s="363"/>
      <c r="M302" s="198">
        <v>1</v>
      </c>
      <c r="N302" s="366"/>
      <c r="O302" s="366"/>
      <c r="P302" s="363"/>
      <c r="Q302" s="363"/>
      <c r="R302" s="363"/>
      <c r="S302" s="363"/>
      <c r="T302" s="363"/>
      <c r="U302" s="363"/>
      <c r="V302" s="363"/>
      <c r="W302" s="363"/>
      <c r="X302" s="189">
        <v>4</v>
      </c>
    </row>
    <row r="303" spans="2:24" x14ac:dyDescent="0.25">
      <c r="B303" s="477" t="s">
        <v>239</v>
      </c>
      <c r="C303" s="477"/>
      <c r="D303" s="220">
        <v>15</v>
      </c>
      <c r="E303" s="220">
        <v>3</v>
      </c>
      <c r="F303" s="220">
        <v>1</v>
      </c>
      <c r="G303" s="220">
        <v>2</v>
      </c>
      <c r="H303" s="220">
        <v>19</v>
      </c>
      <c r="I303" s="220">
        <v>16</v>
      </c>
      <c r="J303" s="220">
        <v>18</v>
      </c>
      <c r="K303" s="367">
        <v>9</v>
      </c>
      <c r="L303" s="220">
        <v>13</v>
      </c>
      <c r="M303" s="220">
        <v>8</v>
      </c>
      <c r="N303" s="220">
        <v>5</v>
      </c>
      <c r="O303" s="220">
        <v>6</v>
      </c>
      <c r="P303" s="220">
        <v>5</v>
      </c>
      <c r="Q303" s="220">
        <v>6</v>
      </c>
      <c r="R303" s="220">
        <v>8</v>
      </c>
      <c r="S303" s="220">
        <v>9</v>
      </c>
      <c r="T303" s="220">
        <v>11</v>
      </c>
      <c r="U303" s="220">
        <v>3</v>
      </c>
      <c r="V303" s="220">
        <v>4</v>
      </c>
      <c r="W303" s="220">
        <v>4</v>
      </c>
      <c r="X303" s="189">
        <v>165</v>
      </c>
    </row>
  </sheetData>
  <mergeCells count="235">
    <mergeCell ref="B282:B291"/>
    <mergeCell ref="B292:B296"/>
    <mergeCell ref="B297:B300"/>
    <mergeCell ref="B301:B302"/>
    <mergeCell ref="B303:C303"/>
    <mergeCell ref="B280:C281"/>
    <mergeCell ref="D280:G280"/>
    <mergeCell ref="H280:K280"/>
    <mergeCell ref="L280:O280"/>
    <mergeCell ref="P280:R280"/>
    <mergeCell ref="S280:W280"/>
    <mergeCell ref="S254:W254"/>
    <mergeCell ref="B256:B265"/>
    <mergeCell ref="B266:B270"/>
    <mergeCell ref="B271:B274"/>
    <mergeCell ref="B275:B276"/>
    <mergeCell ref="B277:C277"/>
    <mergeCell ref="B252:C252"/>
    <mergeCell ref="B254:C255"/>
    <mergeCell ref="D254:G254"/>
    <mergeCell ref="H254:K254"/>
    <mergeCell ref="L254:O254"/>
    <mergeCell ref="P254:R254"/>
    <mergeCell ref="P229:R229"/>
    <mergeCell ref="S229:W229"/>
    <mergeCell ref="B231:B240"/>
    <mergeCell ref="B241:B245"/>
    <mergeCell ref="B246:B249"/>
    <mergeCell ref="B250:B251"/>
    <mergeCell ref="B224:B225"/>
    <mergeCell ref="B226:C226"/>
    <mergeCell ref="B229:C230"/>
    <mergeCell ref="D229:G229"/>
    <mergeCell ref="H229:K229"/>
    <mergeCell ref="L229:O229"/>
    <mergeCell ref="B205:B214"/>
    <mergeCell ref="B215:B219"/>
    <mergeCell ref="B220:B223"/>
    <mergeCell ref="O203:O204"/>
    <mergeCell ref="P203:P204"/>
    <mergeCell ref="Q203:Q204"/>
    <mergeCell ref="R203:R204"/>
    <mergeCell ref="S203:S204"/>
    <mergeCell ref="T203:T204"/>
    <mergeCell ref="I203:I204"/>
    <mergeCell ref="J203:J204"/>
    <mergeCell ref="K203:K204"/>
    <mergeCell ref="L203:L204"/>
    <mergeCell ref="M203:M204"/>
    <mergeCell ref="N203:N204"/>
    <mergeCell ref="X202:X204"/>
    <mergeCell ref="D203:D204"/>
    <mergeCell ref="E203:E204"/>
    <mergeCell ref="F203:F204"/>
    <mergeCell ref="G203:G204"/>
    <mergeCell ref="H203:H204"/>
    <mergeCell ref="U203:U204"/>
    <mergeCell ref="V203:V204"/>
    <mergeCell ref="W203:W204"/>
    <mergeCell ref="B178:B187"/>
    <mergeCell ref="B188:B192"/>
    <mergeCell ref="B193:B196"/>
    <mergeCell ref="B197:B198"/>
    <mergeCell ref="B202:C204"/>
    <mergeCell ref="D202:G202"/>
    <mergeCell ref="W149:W150"/>
    <mergeCell ref="B151:B160"/>
    <mergeCell ref="B161:B165"/>
    <mergeCell ref="B166:B169"/>
    <mergeCell ref="B170:B171"/>
    <mergeCell ref="B172:C172"/>
    <mergeCell ref="Q149:Q150"/>
    <mergeCell ref="R149:R150"/>
    <mergeCell ref="S149:S150"/>
    <mergeCell ref="T149:T150"/>
    <mergeCell ref="U149:U150"/>
    <mergeCell ref="V149:V150"/>
    <mergeCell ref="B148:C150"/>
    <mergeCell ref="H202:K202"/>
    <mergeCell ref="L202:O202"/>
    <mergeCell ref="P202:R202"/>
    <mergeCell ref="S202:W202"/>
    <mergeCell ref="X148:X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D148:G148"/>
    <mergeCell ref="H148:K148"/>
    <mergeCell ref="L148:O148"/>
    <mergeCell ref="P148:R148"/>
    <mergeCell ref="S148:W148"/>
    <mergeCell ref="M149:M150"/>
    <mergeCell ref="N149:N150"/>
    <mergeCell ref="O149:O150"/>
    <mergeCell ref="P149:P150"/>
    <mergeCell ref="B122:B134"/>
    <mergeCell ref="B135:B139"/>
    <mergeCell ref="B140:B143"/>
    <mergeCell ref="B144:B145"/>
    <mergeCell ref="B146:C146"/>
    <mergeCell ref="Q120:Q121"/>
    <mergeCell ref="R120:R121"/>
    <mergeCell ref="S120:S121"/>
    <mergeCell ref="T120:T121"/>
    <mergeCell ref="B119:C121"/>
    <mergeCell ref="X119:X121"/>
    <mergeCell ref="D120:D121"/>
    <mergeCell ref="E120:E121"/>
    <mergeCell ref="F120:F121"/>
    <mergeCell ref="G120:G121"/>
    <mergeCell ref="H120:H121"/>
    <mergeCell ref="I120:I121"/>
    <mergeCell ref="J120:J121"/>
    <mergeCell ref="K120:K121"/>
    <mergeCell ref="L120:L121"/>
    <mergeCell ref="D119:G119"/>
    <mergeCell ref="H119:K119"/>
    <mergeCell ref="L119:O119"/>
    <mergeCell ref="P119:R119"/>
    <mergeCell ref="S119:W119"/>
    <mergeCell ref="M120:M121"/>
    <mergeCell ref="N120:N121"/>
    <mergeCell ref="O120:O121"/>
    <mergeCell ref="P120:P121"/>
    <mergeCell ref="W120:W121"/>
    <mergeCell ref="U120:U121"/>
    <mergeCell ref="V120:V121"/>
    <mergeCell ref="B90:C92"/>
    <mergeCell ref="B93:B105"/>
    <mergeCell ref="B106:B110"/>
    <mergeCell ref="B111:B114"/>
    <mergeCell ref="B115:B116"/>
    <mergeCell ref="B117:C117"/>
    <mergeCell ref="W61:W62"/>
    <mergeCell ref="B63:B75"/>
    <mergeCell ref="B76:B81"/>
    <mergeCell ref="B82:B85"/>
    <mergeCell ref="B86:B87"/>
    <mergeCell ref="B88:C88"/>
    <mergeCell ref="Q61:Q62"/>
    <mergeCell ref="R61:R62"/>
    <mergeCell ref="S61:S62"/>
    <mergeCell ref="T61:T62"/>
    <mergeCell ref="U61:U62"/>
    <mergeCell ref="V61:V62"/>
    <mergeCell ref="B60:C62"/>
    <mergeCell ref="X60:X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D60:G60"/>
    <mergeCell ref="H60:K60"/>
    <mergeCell ref="L60:O60"/>
    <mergeCell ref="P60:R60"/>
    <mergeCell ref="S60:W60"/>
    <mergeCell ref="M61:M62"/>
    <mergeCell ref="N61:N62"/>
    <mergeCell ref="O61:O62"/>
    <mergeCell ref="P61:P62"/>
    <mergeCell ref="B32:B44"/>
    <mergeCell ref="B45:B50"/>
    <mergeCell ref="B51:B54"/>
    <mergeCell ref="B55:B56"/>
    <mergeCell ref="B57:C57"/>
    <mergeCell ref="Q30:Q31"/>
    <mergeCell ref="R30:R31"/>
    <mergeCell ref="S30:S31"/>
    <mergeCell ref="T30:T31"/>
    <mergeCell ref="B29:C31"/>
    <mergeCell ref="X29:X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D29:G29"/>
    <mergeCell ref="H29:K29"/>
    <mergeCell ref="L29:O29"/>
    <mergeCell ref="P29:R29"/>
    <mergeCell ref="S29:W29"/>
    <mergeCell ref="M30:M31"/>
    <mergeCell ref="N30:N31"/>
    <mergeCell ref="O30:O31"/>
    <mergeCell ref="P30:P31"/>
    <mergeCell ref="W30:W31"/>
    <mergeCell ref="U30:U31"/>
    <mergeCell ref="V30:V31"/>
    <mergeCell ref="B4:B13"/>
    <mergeCell ref="B14:B19"/>
    <mergeCell ref="B20:B23"/>
    <mergeCell ref="B24:B25"/>
    <mergeCell ref="B26:C26"/>
    <mergeCell ref="Q2:Q3"/>
    <mergeCell ref="R2:R3"/>
    <mergeCell ref="S2:S3"/>
    <mergeCell ref="T2:T3"/>
    <mergeCell ref="B1:C3"/>
    <mergeCell ref="X1:X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D1:G1"/>
    <mergeCell ref="H1:K1"/>
    <mergeCell ref="L1:O1"/>
    <mergeCell ref="P1:R1"/>
    <mergeCell ref="S1:W1"/>
    <mergeCell ref="M2:M3"/>
    <mergeCell ref="N2:N3"/>
    <mergeCell ref="O2:O3"/>
    <mergeCell ref="P2:P3"/>
    <mergeCell ref="W2:W3"/>
    <mergeCell ref="U2:U3"/>
    <mergeCell ref="V2:V3"/>
  </mergeCells>
  <phoneticPr fontId="5" type="noConversion"/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C551-3076-43E9-8712-F108FFA3DAF3}">
  <dimension ref="B1:L32"/>
  <sheetViews>
    <sheetView topLeftCell="A2" workbookViewId="0">
      <selection activeCell="R3" sqref="R3"/>
    </sheetView>
  </sheetViews>
  <sheetFormatPr defaultColWidth="9" defaultRowHeight="14" x14ac:dyDescent="0.3"/>
  <cols>
    <col min="1" max="1" width="5" style="368" customWidth="1"/>
    <col min="2" max="2" width="19.58203125" style="368" customWidth="1"/>
    <col min="3" max="3" width="22.1640625" style="368" customWidth="1"/>
    <col min="4" max="4" width="21.75" style="373" customWidth="1"/>
    <col min="5" max="5" width="11.4140625" style="373" customWidth="1"/>
    <col min="6" max="6" width="10.4140625" style="373" customWidth="1"/>
    <col min="7" max="7" width="14.1640625" style="368" customWidth="1"/>
    <col min="8" max="9" width="9" style="368"/>
    <col min="10" max="10" width="21.83203125" style="373" customWidth="1"/>
    <col min="11" max="11" width="15.4140625" style="373" customWidth="1"/>
    <col min="12" max="12" width="26.75" style="373" customWidth="1"/>
    <col min="13" max="13" width="22.4140625" style="368" customWidth="1"/>
    <col min="14" max="14" width="8.25" style="368" customWidth="1"/>
    <col min="15" max="15" width="10" style="368" customWidth="1"/>
    <col min="16" max="16" width="19.25" style="368" customWidth="1"/>
    <col min="17" max="17" width="13.75" style="368" customWidth="1"/>
    <col min="18" max="18" width="20.58203125" style="368" customWidth="1"/>
    <col min="19" max="19" width="12.75" style="368" customWidth="1"/>
    <col min="20" max="20" width="12.83203125" style="368" customWidth="1"/>
    <col min="21" max="21" width="10.83203125" style="368" customWidth="1"/>
    <col min="22" max="22" width="14.83203125" style="368" customWidth="1"/>
    <col min="23" max="23" width="10.1640625" style="368" customWidth="1"/>
    <col min="24" max="24" width="11.75" style="368" customWidth="1"/>
    <col min="25" max="25" width="11.5" style="368" customWidth="1"/>
    <col min="26" max="26" width="14.75" style="368" customWidth="1"/>
    <col min="27" max="27" width="5" style="368" customWidth="1"/>
    <col min="28" max="28" width="8" style="368" customWidth="1"/>
    <col min="29" max="29" width="12.4140625" style="368" customWidth="1"/>
    <col min="30" max="30" width="14.25" style="368" customWidth="1"/>
    <col min="31" max="16384" width="9" style="368"/>
  </cols>
  <sheetData>
    <row r="1" spans="2:7" x14ac:dyDescent="0.3">
      <c r="B1" s="597" t="s">
        <v>262</v>
      </c>
      <c r="C1" s="597"/>
      <c r="D1" s="597"/>
      <c r="E1" s="597"/>
      <c r="F1" s="597"/>
      <c r="G1" s="597"/>
    </row>
    <row r="2" spans="2:7" x14ac:dyDescent="0.3">
      <c r="B2" s="598" t="s">
        <v>263</v>
      </c>
      <c r="C2" s="598"/>
      <c r="D2" s="599" t="s">
        <v>264</v>
      </c>
      <c r="E2" s="601" t="s">
        <v>265</v>
      </c>
      <c r="F2" s="601"/>
      <c r="G2" s="602"/>
    </row>
    <row r="3" spans="2:7" x14ac:dyDescent="0.3">
      <c r="B3" s="598"/>
      <c r="C3" s="598"/>
      <c r="D3" s="600"/>
      <c r="E3" s="369" t="s">
        <v>266</v>
      </c>
      <c r="F3" s="369" t="s">
        <v>267</v>
      </c>
      <c r="G3" s="370" t="s">
        <v>268</v>
      </c>
    </row>
    <row r="4" spans="2:7" x14ac:dyDescent="0.3">
      <c r="B4" s="595" t="s">
        <v>269</v>
      </c>
      <c r="C4" s="371" t="s">
        <v>180</v>
      </c>
      <c r="D4" s="371" t="s">
        <v>270</v>
      </c>
      <c r="E4" s="371">
        <v>0</v>
      </c>
      <c r="F4" s="371">
        <v>100</v>
      </c>
      <c r="G4" s="371">
        <v>100</v>
      </c>
    </row>
    <row r="5" spans="2:7" x14ac:dyDescent="0.3">
      <c r="B5" s="595"/>
      <c r="C5" s="372" t="s">
        <v>181</v>
      </c>
      <c r="D5" s="372" t="s">
        <v>271</v>
      </c>
      <c r="E5" s="372">
        <v>0</v>
      </c>
      <c r="F5" s="372">
        <v>100</v>
      </c>
      <c r="G5" s="372" t="s">
        <v>272</v>
      </c>
    </row>
    <row r="6" spans="2:7" x14ac:dyDescent="0.3">
      <c r="B6" s="595"/>
      <c r="C6" s="372" t="s">
        <v>182</v>
      </c>
      <c r="D6" s="372" t="s">
        <v>271</v>
      </c>
      <c r="E6" s="372">
        <v>0</v>
      </c>
      <c r="F6" s="372">
        <v>100</v>
      </c>
      <c r="G6" s="372" t="s">
        <v>272</v>
      </c>
    </row>
    <row r="7" spans="2:7" x14ac:dyDescent="0.3">
      <c r="B7" s="595"/>
      <c r="C7" s="372" t="s">
        <v>183</v>
      </c>
      <c r="D7" s="372" t="s">
        <v>271</v>
      </c>
      <c r="E7" s="372">
        <v>0</v>
      </c>
      <c r="F7" s="372">
        <v>100</v>
      </c>
      <c r="G7" s="372" t="s">
        <v>272</v>
      </c>
    </row>
    <row r="8" spans="2:7" x14ac:dyDescent="0.3">
      <c r="B8" s="595" t="s">
        <v>9</v>
      </c>
      <c r="C8" s="371" t="s">
        <v>184</v>
      </c>
      <c r="D8" s="371" t="s">
        <v>270</v>
      </c>
      <c r="E8" s="371">
        <v>0</v>
      </c>
      <c r="F8" s="371">
        <v>100</v>
      </c>
      <c r="G8" s="371">
        <v>100</v>
      </c>
    </row>
    <row r="9" spans="2:7" x14ac:dyDescent="0.3">
      <c r="B9" s="595"/>
      <c r="C9" s="371" t="s">
        <v>185</v>
      </c>
      <c r="D9" s="371" t="s">
        <v>270</v>
      </c>
      <c r="E9" s="371">
        <v>0</v>
      </c>
      <c r="F9" s="371">
        <v>100</v>
      </c>
      <c r="G9" s="371">
        <v>100</v>
      </c>
    </row>
    <row r="10" spans="2:7" x14ac:dyDescent="0.3">
      <c r="B10" s="595"/>
      <c r="C10" s="371" t="s">
        <v>186</v>
      </c>
      <c r="D10" s="371" t="s">
        <v>270</v>
      </c>
      <c r="E10" s="371">
        <v>0</v>
      </c>
      <c r="F10" s="371">
        <v>100</v>
      </c>
      <c r="G10" s="371">
        <v>100</v>
      </c>
    </row>
    <row r="11" spans="2:7" x14ac:dyDescent="0.3">
      <c r="B11" s="595"/>
      <c r="C11" s="372" t="s">
        <v>187</v>
      </c>
      <c r="D11" s="372" t="s">
        <v>271</v>
      </c>
      <c r="E11" s="372">
        <v>0</v>
      </c>
      <c r="F11" s="372">
        <v>100</v>
      </c>
      <c r="G11" s="372" t="s">
        <v>272</v>
      </c>
    </row>
    <row r="12" spans="2:7" x14ac:dyDescent="0.3">
      <c r="B12" s="595" t="s">
        <v>10</v>
      </c>
      <c r="C12" s="371" t="s">
        <v>188</v>
      </c>
      <c r="D12" s="371" t="s">
        <v>270</v>
      </c>
      <c r="E12" s="371">
        <v>0</v>
      </c>
      <c r="F12" s="371">
        <v>100</v>
      </c>
      <c r="G12" s="371">
        <v>100</v>
      </c>
    </row>
    <row r="13" spans="2:7" x14ac:dyDescent="0.3">
      <c r="B13" s="595"/>
      <c r="C13" s="372" t="s">
        <v>189</v>
      </c>
      <c r="D13" s="372" t="s">
        <v>271</v>
      </c>
      <c r="E13" s="372">
        <v>0</v>
      </c>
      <c r="F13" s="372">
        <v>100</v>
      </c>
      <c r="G13" s="372" t="s">
        <v>272</v>
      </c>
    </row>
    <row r="14" spans="2:7" x14ac:dyDescent="0.3">
      <c r="B14" s="595"/>
      <c r="C14" s="372" t="s">
        <v>190</v>
      </c>
      <c r="D14" s="372" t="s">
        <v>271</v>
      </c>
      <c r="E14" s="372">
        <v>0</v>
      </c>
      <c r="F14" s="372">
        <v>100</v>
      </c>
      <c r="G14" s="372" t="s">
        <v>272</v>
      </c>
    </row>
    <row r="15" spans="2:7" x14ac:dyDescent="0.3">
      <c r="B15" s="595"/>
      <c r="C15" s="372" t="s">
        <v>191</v>
      </c>
      <c r="D15" s="372" t="s">
        <v>271</v>
      </c>
      <c r="E15" s="372">
        <v>0</v>
      </c>
      <c r="F15" s="372">
        <v>100</v>
      </c>
      <c r="G15" s="372" t="s">
        <v>272</v>
      </c>
    </row>
    <row r="16" spans="2:7" x14ac:dyDescent="0.3">
      <c r="B16" s="595" t="s">
        <v>273</v>
      </c>
      <c r="C16" s="372" t="s">
        <v>193</v>
      </c>
      <c r="D16" s="372" t="s">
        <v>271</v>
      </c>
      <c r="E16" s="372">
        <v>0</v>
      </c>
      <c r="F16" s="372">
        <v>100</v>
      </c>
      <c r="G16" s="372" t="s">
        <v>272</v>
      </c>
    </row>
    <row r="17" spans="2:7" x14ac:dyDescent="0.3">
      <c r="B17" s="595"/>
      <c r="C17" s="372" t="s">
        <v>194</v>
      </c>
      <c r="D17" s="372" t="s">
        <v>271</v>
      </c>
      <c r="E17" s="372">
        <v>0</v>
      </c>
      <c r="F17" s="372">
        <v>100</v>
      </c>
      <c r="G17" s="372" t="s">
        <v>272</v>
      </c>
    </row>
    <row r="18" spans="2:7" x14ac:dyDescent="0.3">
      <c r="B18" s="595"/>
      <c r="C18" s="372" t="s">
        <v>195</v>
      </c>
      <c r="D18" s="372" t="s">
        <v>271</v>
      </c>
      <c r="E18" s="372">
        <v>0</v>
      </c>
      <c r="F18" s="372">
        <v>100</v>
      </c>
      <c r="G18" s="372" t="s">
        <v>272</v>
      </c>
    </row>
    <row r="19" spans="2:7" x14ac:dyDescent="0.3">
      <c r="B19" s="595" t="s">
        <v>274</v>
      </c>
      <c r="C19" s="371" t="s">
        <v>196</v>
      </c>
      <c r="D19" s="371" t="s">
        <v>270</v>
      </c>
      <c r="E19" s="371">
        <v>0</v>
      </c>
      <c r="F19" s="371">
        <v>100</v>
      </c>
      <c r="G19" s="371">
        <v>100</v>
      </c>
    </row>
    <row r="20" spans="2:7" x14ac:dyDescent="0.3">
      <c r="B20" s="595"/>
      <c r="C20" s="371" t="s">
        <v>197</v>
      </c>
      <c r="D20" s="371" t="s">
        <v>270</v>
      </c>
      <c r="E20" s="371">
        <v>0</v>
      </c>
      <c r="F20" s="371">
        <v>100</v>
      </c>
      <c r="G20" s="371">
        <v>100</v>
      </c>
    </row>
    <row r="21" spans="2:7" x14ac:dyDescent="0.3">
      <c r="B21" s="595"/>
      <c r="C21" s="371" t="s">
        <v>198</v>
      </c>
      <c r="D21" s="371" t="s">
        <v>270</v>
      </c>
      <c r="E21" s="371">
        <v>0</v>
      </c>
      <c r="F21" s="371">
        <v>100</v>
      </c>
      <c r="G21" s="371">
        <v>100</v>
      </c>
    </row>
    <row r="22" spans="2:7" x14ac:dyDescent="0.3">
      <c r="B22" s="595"/>
      <c r="C22" s="371" t="s">
        <v>199</v>
      </c>
      <c r="D22" s="371" t="s">
        <v>270</v>
      </c>
      <c r="E22" s="371">
        <v>0</v>
      </c>
      <c r="F22" s="371">
        <v>100</v>
      </c>
      <c r="G22" s="371">
        <v>100</v>
      </c>
    </row>
    <row r="23" spans="2:7" x14ac:dyDescent="0.3">
      <c r="B23" s="595"/>
      <c r="C23" s="372" t="s">
        <v>200</v>
      </c>
      <c r="D23" s="372" t="s">
        <v>271</v>
      </c>
      <c r="E23" s="372">
        <v>0</v>
      </c>
      <c r="F23" s="372">
        <v>100</v>
      </c>
      <c r="G23" s="372" t="s">
        <v>272</v>
      </c>
    </row>
    <row r="25" spans="2:7" ht="16.5" customHeight="1" x14ac:dyDescent="0.3">
      <c r="B25" s="596" t="s">
        <v>275</v>
      </c>
      <c r="C25" s="596"/>
      <c r="D25" s="596"/>
      <c r="E25" s="596"/>
      <c r="F25" s="596"/>
      <c r="G25" s="596"/>
    </row>
    <row r="26" spans="2:7" x14ac:dyDescent="0.3">
      <c r="B26" s="596"/>
      <c r="C26" s="596"/>
      <c r="D26" s="596"/>
      <c r="E26" s="596"/>
      <c r="F26" s="596"/>
      <c r="G26" s="596"/>
    </row>
    <row r="27" spans="2:7" ht="16.5" customHeight="1" x14ac:dyDescent="0.3">
      <c r="B27" s="596"/>
      <c r="C27" s="596"/>
      <c r="D27" s="596"/>
      <c r="E27" s="596"/>
      <c r="F27" s="596"/>
      <c r="G27" s="596"/>
    </row>
    <row r="28" spans="2:7" x14ac:dyDescent="0.3">
      <c r="B28" s="596"/>
      <c r="C28" s="596"/>
      <c r="D28" s="596"/>
      <c r="E28" s="596"/>
      <c r="F28" s="596"/>
      <c r="G28" s="596"/>
    </row>
    <row r="29" spans="2:7" x14ac:dyDescent="0.3">
      <c r="B29" s="596"/>
      <c r="C29" s="596"/>
      <c r="D29" s="596"/>
      <c r="E29" s="596"/>
      <c r="F29" s="596"/>
      <c r="G29" s="596"/>
    </row>
    <row r="30" spans="2:7" x14ac:dyDescent="0.3">
      <c r="B30" s="596"/>
      <c r="C30" s="596"/>
      <c r="D30" s="596"/>
      <c r="E30" s="596"/>
      <c r="F30" s="596"/>
      <c r="G30" s="596"/>
    </row>
    <row r="31" spans="2:7" x14ac:dyDescent="0.3">
      <c r="B31" s="596"/>
      <c r="C31" s="596"/>
      <c r="D31" s="596"/>
      <c r="E31" s="596"/>
      <c r="F31" s="596"/>
      <c r="G31" s="596"/>
    </row>
    <row r="32" spans="2:7" x14ac:dyDescent="0.3">
      <c r="B32" s="596"/>
      <c r="C32" s="596"/>
      <c r="D32" s="596"/>
      <c r="E32" s="596"/>
      <c r="F32" s="596"/>
      <c r="G32" s="596"/>
    </row>
  </sheetData>
  <mergeCells count="10">
    <mergeCell ref="B12:B15"/>
    <mergeCell ref="B16:B18"/>
    <mergeCell ref="B19:B23"/>
    <mergeCell ref="B25:G32"/>
    <mergeCell ref="B1:G1"/>
    <mergeCell ref="B2:C3"/>
    <mergeCell ref="D2:D3"/>
    <mergeCell ref="E2:G2"/>
    <mergeCell ref="B4:B7"/>
    <mergeCell ref="B8:B11"/>
  </mergeCells>
  <phoneticPr fontId="5" type="noConversion"/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8CCB-727F-49CF-87DE-896A469A7401}">
  <dimension ref="A1:AO27"/>
  <sheetViews>
    <sheetView zoomScale="76" zoomScaleNormal="76" workbookViewId="0">
      <pane xSplit="1" ySplit="3" topLeftCell="B4" activePane="bottomRight" state="frozen"/>
      <selection activeCell="R3" sqref="R3"/>
      <selection pane="topRight" activeCell="R3" sqref="R3"/>
      <selection pane="bottomLeft" activeCell="R3" sqref="R3"/>
      <selection pane="bottomRight" activeCell="R3" sqref="R3"/>
    </sheetView>
  </sheetViews>
  <sheetFormatPr defaultColWidth="9" defaultRowHeight="13.5" x14ac:dyDescent="0.3"/>
  <cols>
    <col min="1" max="1" width="26.58203125" style="154" customWidth="1"/>
    <col min="2" max="41" width="12.58203125" style="154" customWidth="1"/>
    <col min="42" max="44" width="9" style="154"/>
    <col min="45" max="45" width="24.1640625" style="154" customWidth="1"/>
    <col min="46" max="46" width="15.25" style="154" customWidth="1"/>
    <col min="47" max="16384" width="9" style="154"/>
  </cols>
  <sheetData>
    <row r="1" spans="1:41" ht="20.149999999999999" customHeight="1" x14ac:dyDescent="0.3">
      <c r="A1" s="610"/>
      <c r="B1" s="613" t="s">
        <v>210</v>
      </c>
      <c r="C1" s="614"/>
      <c r="D1" s="614"/>
      <c r="E1" s="614"/>
      <c r="F1" s="614"/>
      <c r="G1" s="614"/>
      <c r="H1" s="614"/>
      <c r="I1" s="614"/>
      <c r="J1" s="615" t="s">
        <v>211</v>
      </c>
      <c r="K1" s="616"/>
      <c r="L1" s="616"/>
      <c r="M1" s="616"/>
      <c r="N1" s="616"/>
      <c r="O1" s="616"/>
      <c r="P1" s="616"/>
      <c r="Q1" s="617"/>
      <c r="R1" s="618" t="s">
        <v>212</v>
      </c>
      <c r="S1" s="619"/>
      <c r="T1" s="619"/>
      <c r="U1" s="619"/>
      <c r="V1" s="619"/>
      <c r="W1" s="619"/>
      <c r="X1" s="619"/>
      <c r="Y1" s="619"/>
      <c r="Z1" s="603" t="s">
        <v>213</v>
      </c>
      <c r="AA1" s="604"/>
      <c r="AB1" s="604"/>
      <c r="AC1" s="604"/>
      <c r="AD1" s="604"/>
      <c r="AE1" s="604"/>
      <c r="AF1" s="605" t="s">
        <v>214</v>
      </c>
      <c r="AG1" s="606"/>
      <c r="AH1" s="606"/>
      <c r="AI1" s="606"/>
      <c r="AJ1" s="606"/>
      <c r="AK1" s="606"/>
      <c r="AL1" s="606"/>
      <c r="AM1" s="606"/>
      <c r="AN1" s="606"/>
      <c r="AO1" s="607"/>
    </row>
    <row r="2" spans="1:41" ht="20.149999999999999" customHeight="1" x14ac:dyDescent="0.3">
      <c r="A2" s="611"/>
      <c r="B2" s="608" t="s">
        <v>180</v>
      </c>
      <c r="C2" s="608"/>
      <c r="D2" s="609" t="s">
        <v>181</v>
      </c>
      <c r="E2" s="609"/>
      <c r="F2" s="608" t="s">
        <v>182</v>
      </c>
      <c r="G2" s="608"/>
      <c r="H2" s="609" t="s">
        <v>183</v>
      </c>
      <c r="I2" s="609"/>
      <c r="J2" s="608" t="s">
        <v>184</v>
      </c>
      <c r="K2" s="608"/>
      <c r="L2" s="609" t="s">
        <v>185</v>
      </c>
      <c r="M2" s="609"/>
      <c r="N2" s="608" t="s">
        <v>186</v>
      </c>
      <c r="O2" s="608"/>
      <c r="P2" s="609" t="s">
        <v>187</v>
      </c>
      <c r="Q2" s="609"/>
      <c r="R2" s="608" t="s">
        <v>188</v>
      </c>
      <c r="S2" s="608"/>
      <c r="T2" s="609" t="s">
        <v>189</v>
      </c>
      <c r="U2" s="609"/>
      <c r="V2" s="608" t="s">
        <v>190</v>
      </c>
      <c r="W2" s="608"/>
      <c r="X2" s="609" t="s">
        <v>191</v>
      </c>
      <c r="Y2" s="609"/>
      <c r="Z2" s="608" t="s">
        <v>193</v>
      </c>
      <c r="AA2" s="608"/>
      <c r="AB2" s="609" t="s">
        <v>194</v>
      </c>
      <c r="AC2" s="609"/>
      <c r="AD2" s="608" t="s">
        <v>195</v>
      </c>
      <c r="AE2" s="608"/>
      <c r="AF2" s="608" t="s">
        <v>196</v>
      </c>
      <c r="AG2" s="608"/>
      <c r="AH2" s="609" t="s">
        <v>197</v>
      </c>
      <c r="AI2" s="609"/>
      <c r="AJ2" s="608" t="s">
        <v>198</v>
      </c>
      <c r="AK2" s="608"/>
      <c r="AL2" s="609" t="s">
        <v>199</v>
      </c>
      <c r="AM2" s="609"/>
      <c r="AN2" s="608" t="s">
        <v>200</v>
      </c>
      <c r="AO2" s="608"/>
    </row>
    <row r="3" spans="1:41" ht="20.149999999999999" customHeight="1" x14ac:dyDescent="0.3">
      <c r="A3" s="612"/>
      <c r="B3" s="221" t="s">
        <v>240</v>
      </c>
      <c r="C3" s="222" t="s">
        <v>241</v>
      </c>
      <c r="D3" s="221" t="s">
        <v>240</v>
      </c>
      <c r="E3" s="222" t="s">
        <v>242</v>
      </c>
      <c r="F3" s="221" t="s">
        <v>240</v>
      </c>
      <c r="G3" s="222" t="s">
        <v>242</v>
      </c>
      <c r="H3" s="221" t="s">
        <v>240</v>
      </c>
      <c r="I3" s="222" t="s">
        <v>242</v>
      </c>
      <c r="J3" s="221" t="s">
        <v>240</v>
      </c>
      <c r="K3" s="222" t="s">
        <v>241</v>
      </c>
      <c r="L3" s="221" t="s">
        <v>240</v>
      </c>
      <c r="M3" s="222" t="s">
        <v>241</v>
      </c>
      <c r="N3" s="221" t="s">
        <v>240</v>
      </c>
      <c r="O3" s="222" t="s">
        <v>241</v>
      </c>
      <c r="P3" s="221" t="s">
        <v>240</v>
      </c>
      <c r="Q3" s="222" t="s">
        <v>241</v>
      </c>
      <c r="R3" s="221" t="s">
        <v>240</v>
      </c>
      <c r="S3" s="222" t="s">
        <v>241</v>
      </c>
      <c r="T3" s="221" t="s">
        <v>240</v>
      </c>
      <c r="U3" s="222" t="s">
        <v>242</v>
      </c>
      <c r="V3" s="221" t="s">
        <v>240</v>
      </c>
      <c r="W3" s="222" t="s">
        <v>242</v>
      </c>
      <c r="X3" s="221" t="s">
        <v>240</v>
      </c>
      <c r="Y3" s="222" t="s">
        <v>242</v>
      </c>
      <c r="Z3" s="221" t="s">
        <v>240</v>
      </c>
      <c r="AA3" s="222" t="s">
        <v>242</v>
      </c>
      <c r="AB3" s="221" t="s">
        <v>240</v>
      </c>
      <c r="AC3" s="222" t="s">
        <v>242</v>
      </c>
      <c r="AD3" s="221" t="s">
        <v>240</v>
      </c>
      <c r="AE3" s="222" t="s">
        <v>242</v>
      </c>
      <c r="AF3" s="221" t="s">
        <v>240</v>
      </c>
      <c r="AG3" s="222" t="s">
        <v>241</v>
      </c>
      <c r="AH3" s="221" t="s">
        <v>240</v>
      </c>
      <c r="AI3" s="222" t="s">
        <v>241</v>
      </c>
      <c r="AJ3" s="221" t="s">
        <v>240</v>
      </c>
      <c r="AK3" s="222" t="s">
        <v>241</v>
      </c>
      <c r="AL3" s="221" t="s">
        <v>240</v>
      </c>
      <c r="AM3" s="222" t="s">
        <v>241</v>
      </c>
      <c r="AN3" s="221" t="s">
        <v>240</v>
      </c>
      <c r="AO3" s="222" t="s">
        <v>242</v>
      </c>
    </row>
    <row r="4" spans="1:41" ht="20.149999999999999" customHeight="1" x14ac:dyDescent="0.3">
      <c r="A4" s="223" t="s">
        <v>26</v>
      </c>
      <c r="B4" s="224">
        <f t="shared" ref="B4:B27" si="0">IF(C4&gt;0,100,0)</f>
        <v>100</v>
      </c>
      <c r="C4" s="224">
        <f>IFERROR(VLOOKUP($A4,Features!$C$4:$X$25,2,0),0)</f>
        <v>10</v>
      </c>
      <c r="D4" s="224">
        <f t="shared" ref="D4:D27" si="1">IF(E4=0,0,(50+50*E4))</f>
        <v>0</v>
      </c>
      <c r="E4" s="224">
        <f>IFERROR(VLOOKUP($A4,Features!$C$4:$X$25,3,0),0)</f>
        <v>0</v>
      </c>
      <c r="F4" s="224">
        <f t="shared" ref="F4:F27" si="2">IF(G4=0,0,(50+50*G4))</f>
        <v>0</v>
      </c>
      <c r="G4" s="224">
        <f>IFERROR(VLOOKUP($A4,Features!$C$4:$X$25,4,0),0)</f>
        <v>0</v>
      </c>
      <c r="H4" s="224">
        <f t="shared" ref="H4:H27" si="3">IF(I4=0,0,(50+50*I4))</f>
        <v>0</v>
      </c>
      <c r="I4" s="224">
        <f>IFERROR(VLOOKUP($A4,Features!$C$4:$X$25,5,0),0)</f>
        <v>0</v>
      </c>
      <c r="J4" s="224">
        <f t="shared" ref="J4:J27" si="4">IF(K4&gt;0,100,0)</f>
        <v>100</v>
      </c>
      <c r="K4" s="224">
        <f>IFERROR(VLOOKUP($A4,Features!$C$4:$X$25,6,0),0)</f>
        <v>10</v>
      </c>
      <c r="L4" s="224">
        <f t="shared" ref="L4:L27" si="5">IF(M4&gt;0,100,0)</f>
        <v>100</v>
      </c>
      <c r="M4" s="224">
        <f>IFERROR(VLOOKUP($A4,Features!$C$4:$X$25,7,0),0)</f>
        <v>10</v>
      </c>
      <c r="N4" s="224">
        <f t="shared" ref="N4:N27" si="6">IF(O4&gt;0,100,0)</f>
        <v>100</v>
      </c>
      <c r="O4" s="224">
        <f>IFERROR(VLOOKUP($A4,Features!$C$4:$X$25,8,0),0)</f>
        <v>10</v>
      </c>
      <c r="P4" s="224">
        <f t="shared" ref="P4:P27" si="7">IF(Q4&gt;0,100,0)</f>
        <v>0</v>
      </c>
      <c r="Q4" s="224">
        <f>IFERROR(VLOOKUP($A4,Features!$C$4:$X$25,9,0),0)</f>
        <v>0</v>
      </c>
      <c r="R4" s="224">
        <f t="shared" ref="R4:R27" si="8">IF(S4&gt;0,100,0)</f>
        <v>100</v>
      </c>
      <c r="S4" s="224">
        <f>IFERROR(VLOOKUP($A4,Features!$C$4:$X$25,10,0),0)</f>
        <v>10</v>
      </c>
      <c r="T4" s="224">
        <f t="shared" ref="T4:T27" si="9">IF(U4=0,0,(50+50*U4))</f>
        <v>400</v>
      </c>
      <c r="U4" s="224">
        <f>IFERROR(VLOOKUP($A4,Features!$C$4:$X$25,11,0),0)</f>
        <v>7</v>
      </c>
      <c r="V4" s="224">
        <f t="shared" ref="V4:V27" si="10">IF(W4=0,0,(50+50*W4))</f>
        <v>0</v>
      </c>
      <c r="W4" s="224">
        <f>IFERROR(VLOOKUP($A4,Features!$C$4:$X$25,12,0),0)</f>
        <v>0</v>
      </c>
      <c r="X4" s="224">
        <f t="shared" ref="X4:X27" si="11">IF(Y4=0,0,(50+50*Y4))</f>
        <v>0</v>
      </c>
      <c r="Y4" s="224">
        <f>IFERROR(VLOOKUP($A4,Features!$C$4:$X$25,13,0),0)</f>
        <v>0</v>
      </c>
      <c r="Z4" s="224">
        <f t="shared" ref="Z4:Z27" si="12">IF(AA4=0,0,(50+50*AA4))</f>
        <v>0</v>
      </c>
      <c r="AA4" s="224">
        <f>IFERROR(VLOOKUP($A4,Features!$C$4:$X$25,14,0),0)</f>
        <v>0</v>
      </c>
      <c r="AB4" s="224">
        <f t="shared" ref="AB4:AB27" si="13">IF(AC4=0,0,(50+50*AC4))</f>
        <v>0</v>
      </c>
      <c r="AC4" s="224">
        <f>IFERROR(VLOOKUP($A4,Features!$C$4:$X$25,15,0),0)</f>
        <v>0</v>
      </c>
      <c r="AD4" s="224">
        <f t="shared" ref="AD4:AD27" si="14">IF(AE4=0,0,(50+50*AE4))</f>
        <v>450</v>
      </c>
      <c r="AE4" s="224">
        <f>IFERROR(VLOOKUP($A4,Features!$C$4:$X$25,16,0),0)</f>
        <v>8</v>
      </c>
      <c r="AF4" s="224">
        <f t="shared" ref="AF4:AF27" si="15">IF(AG4&gt;0,100,0)</f>
        <v>100</v>
      </c>
      <c r="AG4" s="224">
        <f>IFERROR(VLOOKUP($A4,Features!$C$4:$X$25,17,0),0)</f>
        <v>10</v>
      </c>
      <c r="AH4" s="224">
        <f t="shared" ref="AH4:AH27" si="16">IF(AI4&gt;0,100,0)</f>
        <v>100</v>
      </c>
      <c r="AI4" s="224">
        <f>IFERROR(VLOOKUP($A4,Features!$C$4:$X$25,18,0),0)</f>
        <v>10</v>
      </c>
      <c r="AJ4" s="224">
        <f t="shared" ref="AJ4:AJ27" si="17">IF(AK4&gt;0,100,0)</f>
        <v>0</v>
      </c>
      <c r="AK4" s="224">
        <f>IFERROR(VLOOKUP($A4,Features!$C$4:$X$25,19,0),0)</f>
        <v>0</v>
      </c>
      <c r="AL4" s="224">
        <f t="shared" ref="AL4:AL27" si="18">IF(AM4&gt;0,100,0)</f>
        <v>0</v>
      </c>
      <c r="AM4" s="224">
        <f>IFERROR(VLOOKUP($A4,Features!$C$4:$X$25,20,0),0)</f>
        <v>0</v>
      </c>
      <c r="AN4" s="224">
        <f t="shared" ref="AN4:AN27" si="19">IF(AO4=0,0,(50+50*AO4))</f>
        <v>0</v>
      </c>
      <c r="AO4" s="224">
        <f>IFERROR(VLOOKUP($A4,Features!$C$4:$X$25,21,0),0)</f>
        <v>0</v>
      </c>
    </row>
    <row r="5" spans="1:41" ht="20.149999999999999" customHeight="1" x14ac:dyDescent="0.3">
      <c r="A5" s="223" t="s">
        <v>27</v>
      </c>
      <c r="B5" s="224">
        <f t="shared" si="0"/>
        <v>100</v>
      </c>
      <c r="C5" s="224">
        <f>IFERROR(VLOOKUP($A5,Features!$C$4:$X$25,2,0),0)</f>
        <v>10</v>
      </c>
      <c r="D5" s="224">
        <f t="shared" si="1"/>
        <v>0</v>
      </c>
      <c r="E5" s="224">
        <f>IFERROR(VLOOKUP($A5,Features!$C$4:$X$25,3,0),0)</f>
        <v>0</v>
      </c>
      <c r="F5" s="224">
        <f t="shared" si="2"/>
        <v>0</v>
      </c>
      <c r="G5" s="224">
        <f>IFERROR(VLOOKUP($A5,Features!$C$4:$X$25,4,0),0)</f>
        <v>0</v>
      </c>
      <c r="H5" s="224">
        <f t="shared" si="3"/>
        <v>0</v>
      </c>
      <c r="I5" s="224">
        <f>IFERROR(VLOOKUP($A5,Features!$C$4:$X$25,5,0),0)</f>
        <v>0</v>
      </c>
      <c r="J5" s="224">
        <f t="shared" si="4"/>
        <v>100</v>
      </c>
      <c r="K5" s="224">
        <f>IFERROR(VLOOKUP($A5,Features!$C$4:$X$25,6,0),0)</f>
        <v>10</v>
      </c>
      <c r="L5" s="224">
        <f t="shared" si="5"/>
        <v>0</v>
      </c>
      <c r="M5" s="224">
        <f>IFERROR(VLOOKUP($A5,Features!$C$4:$X$25,7,0),0)</f>
        <v>0</v>
      </c>
      <c r="N5" s="224">
        <f t="shared" si="6"/>
        <v>100</v>
      </c>
      <c r="O5" s="224">
        <f>IFERROR(VLOOKUP($A5,Features!$C$4:$X$25,8,0),0)</f>
        <v>10</v>
      </c>
      <c r="P5" s="224">
        <f t="shared" si="7"/>
        <v>100</v>
      </c>
      <c r="Q5" s="224">
        <f>IFERROR(VLOOKUP($A5,Features!$C$4:$X$25,9,0),0)</f>
        <v>10</v>
      </c>
      <c r="R5" s="224">
        <f t="shared" si="8"/>
        <v>100</v>
      </c>
      <c r="S5" s="224">
        <f>IFERROR(VLOOKUP($A5,Features!$C$4:$X$25,10,0),0)</f>
        <v>10</v>
      </c>
      <c r="T5" s="224">
        <f t="shared" si="9"/>
        <v>0</v>
      </c>
      <c r="U5" s="224">
        <f>IFERROR(VLOOKUP($A5,Features!$C$4:$X$25,11,0),0)</f>
        <v>0</v>
      </c>
      <c r="V5" s="224">
        <f t="shared" si="10"/>
        <v>550</v>
      </c>
      <c r="W5" s="224">
        <f>IFERROR(VLOOKUP($A5,Features!$C$4:$X$25,12,0),0)</f>
        <v>10</v>
      </c>
      <c r="X5" s="224">
        <f t="shared" si="11"/>
        <v>0</v>
      </c>
      <c r="Y5" s="224">
        <f>IFERROR(VLOOKUP($A5,Features!$C$4:$X$25,13,0),0)</f>
        <v>0</v>
      </c>
      <c r="Z5" s="224">
        <f t="shared" si="12"/>
        <v>0</v>
      </c>
      <c r="AA5" s="224">
        <f>IFERROR(VLOOKUP($A5,Features!$C$4:$X$25,14,0),0)</f>
        <v>0</v>
      </c>
      <c r="AB5" s="224">
        <f t="shared" si="13"/>
        <v>0</v>
      </c>
      <c r="AC5" s="224">
        <f>IFERROR(VLOOKUP($A5,Features!$C$4:$X$25,15,0),0)</f>
        <v>0</v>
      </c>
      <c r="AD5" s="224">
        <f t="shared" si="14"/>
        <v>400</v>
      </c>
      <c r="AE5" s="224">
        <f>IFERROR(VLOOKUP($A5,Features!$C$4:$X$25,16,0),0)</f>
        <v>7</v>
      </c>
      <c r="AF5" s="224">
        <f t="shared" si="15"/>
        <v>100</v>
      </c>
      <c r="AG5" s="224">
        <f>IFERROR(VLOOKUP($A5,Features!$C$4:$X$25,17,0),0)</f>
        <v>10</v>
      </c>
      <c r="AH5" s="224">
        <f t="shared" si="16"/>
        <v>100</v>
      </c>
      <c r="AI5" s="224">
        <f>IFERROR(VLOOKUP($A5,Features!$C$4:$X$25,18,0),0)</f>
        <v>10</v>
      </c>
      <c r="AJ5" s="224">
        <f t="shared" si="17"/>
        <v>0</v>
      </c>
      <c r="AK5" s="224">
        <f>IFERROR(VLOOKUP($A5,Features!$C$4:$X$25,19,0),0)</f>
        <v>0</v>
      </c>
      <c r="AL5" s="224">
        <f t="shared" si="18"/>
        <v>0</v>
      </c>
      <c r="AM5" s="224">
        <f>IFERROR(VLOOKUP($A5,Features!$C$4:$X$25,20,0),0)</f>
        <v>0</v>
      </c>
      <c r="AN5" s="224">
        <f t="shared" si="19"/>
        <v>0</v>
      </c>
      <c r="AO5" s="224">
        <f>IFERROR(VLOOKUP($A5,Features!$C$4:$X$25,21,0),0)</f>
        <v>0</v>
      </c>
    </row>
    <row r="6" spans="1:41" ht="20.149999999999999" customHeight="1" x14ac:dyDescent="0.3">
      <c r="A6" s="223" t="s">
        <v>28</v>
      </c>
      <c r="B6" s="224">
        <f t="shared" si="0"/>
        <v>100</v>
      </c>
      <c r="C6" s="224">
        <f>IFERROR(VLOOKUP($A6,Features!$C$4:$X$25,2,0),0)</f>
        <v>10</v>
      </c>
      <c r="D6" s="224">
        <f t="shared" si="1"/>
        <v>0</v>
      </c>
      <c r="E6" s="224">
        <f>IFERROR(VLOOKUP($A6,Features!$C$4:$X$25,3,0),0)</f>
        <v>0</v>
      </c>
      <c r="F6" s="224">
        <f t="shared" si="2"/>
        <v>0</v>
      </c>
      <c r="G6" s="224">
        <f>IFERROR(VLOOKUP($A6,Features!$C$4:$X$25,4,0),0)</f>
        <v>0</v>
      </c>
      <c r="H6" s="224">
        <f t="shared" si="3"/>
        <v>0</v>
      </c>
      <c r="I6" s="224">
        <f>IFERROR(VLOOKUP($A6,Features!$C$4:$X$25,5,0),0)</f>
        <v>0</v>
      </c>
      <c r="J6" s="224">
        <f t="shared" si="4"/>
        <v>100</v>
      </c>
      <c r="K6" s="224">
        <f>IFERROR(VLOOKUP($A6,Features!$C$4:$X$25,6,0),0)</f>
        <v>10</v>
      </c>
      <c r="L6" s="224">
        <f t="shared" si="5"/>
        <v>100</v>
      </c>
      <c r="M6" s="224">
        <f>IFERROR(VLOOKUP($A6,Features!$C$4:$X$25,7,0),0)</f>
        <v>10</v>
      </c>
      <c r="N6" s="224">
        <f t="shared" si="6"/>
        <v>100</v>
      </c>
      <c r="O6" s="224">
        <f>IFERROR(VLOOKUP($A6,Features!$C$4:$X$25,8,0),0)</f>
        <v>10</v>
      </c>
      <c r="P6" s="224">
        <f t="shared" si="7"/>
        <v>100</v>
      </c>
      <c r="Q6" s="224">
        <f>IFERROR(VLOOKUP($A6,Features!$C$4:$X$25,9,0),0)</f>
        <v>8</v>
      </c>
      <c r="R6" s="224">
        <f t="shared" si="8"/>
        <v>100</v>
      </c>
      <c r="S6" s="224">
        <f>IFERROR(VLOOKUP($A6,Features!$C$4:$X$25,10,0),0)</f>
        <v>10</v>
      </c>
      <c r="T6" s="224">
        <f t="shared" si="9"/>
        <v>200</v>
      </c>
      <c r="U6" s="224">
        <f>IFERROR(VLOOKUP($A6,Features!$C$4:$X$25,11,0),0)</f>
        <v>3</v>
      </c>
      <c r="V6" s="224">
        <f t="shared" si="10"/>
        <v>500</v>
      </c>
      <c r="W6" s="224">
        <f>IFERROR(VLOOKUP($A6,Features!$C$4:$X$25,12,0),0)</f>
        <v>9</v>
      </c>
      <c r="X6" s="224">
        <f t="shared" si="11"/>
        <v>250</v>
      </c>
      <c r="Y6" s="224">
        <f>IFERROR(VLOOKUP($A6,Features!$C$4:$X$25,13,0),0)</f>
        <v>4</v>
      </c>
      <c r="Z6" s="224">
        <f t="shared" si="12"/>
        <v>200</v>
      </c>
      <c r="AA6" s="224">
        <f>IFERROR(VLOOKUP($A6,Features!$C$4:$X$25,14,0),0)</f>
        <v>3</v>
      </c>
      <c r="AB6" s="224">
        <f t="shared" si="13"/>
        <v>0</v>
      </c>
      <c r="AC6" s="224">
        <f>IFERROR(VLOOKUP($A6,Features!$C$4:$X$25,15,0),0)</f>
        <v>0</v>
      </c>
      <c r="AD6" s="224">
        <f t="shared" si="14"/>
        <v>200</v>
      </c>
      <c r="AE6" s="224">
        <f>IFERROR(VLOOKUP($A6,Features!$C$4:$X$25,16,0),0)</f>
        <v>3</v>
      </c>
      <c r="AF6" s="224">
        <f t="shared" si="15"/>
        <v>100</v>
      </c>
      <c r="AG6" s="224">
        <f>IFERROR(VLOOKUP($A6,Features!$C$4:$X$25,17,0),0)</f>
        <v>10</v>
      </c>
      <c r="AH6" s="224">
        <f t="shared" si="16"/>
        <v>100</v>
      </c>
      <c r="AI6" s="224">
        <f>IFERROR(VLOOKUP($A6,Features!$C$4:$X$25,18,0),0)</f>
        <v>1</v>
      </c>
      <c r="AJ6" s="224">
        <f t="shared" si="17"/>
        <v>0</v>
      </c>
      <c r="AK6" s="224">
        <f>IFERROR(VLOOKUP($A6,Features!$C$4:$X$25,19,0),0)</f>
        <v>0</v>
      </c>
      <c r="AL6" s="224">
        <f t="shared" si="18"/>
        <v>100</v>
      </c>
      <c r="AM6" s="224">
        <f>IFERROR(VLOOKUP($A6,Features!$C$4:$X$25,20,0),0)</f>
        <v>10</v>
      </c>
      <c r="AN6" s="224">
        <f t="shared" si="19"/>
        <v>0</v>
      </c>
      <c r="AO6" s="224">
        <f>IFERROR(VLOOKUP($A6,Features!$C$4:$X$25,21,0),0)</f>
        <v>0</v>
      </c>
    </row>
    <row r="7" spans="1:41" ht="20.149999999999999" customHeight="1" x14ac:dyDescent="0.3">
      <c r="A7" s="223" t="s">
        <v>29</v>
      </c>
      <c r="B7" s="224">
        <f t="shared" si="0"/>
        <v>100</v>
      </c>
      <c r="C7" s="224">
        <f>IFERROR(VLOOKUP($A7,Features!$C$4:$X$25,2,0),0)</f>
        <v>10</v>
      </c>
      <c r="D7" s="224">
        <f t="shared" si="1"/>
        <v>0</v>
      </c>
      <c r="E7" s="224">
        <f>IFERROR(VLOOKUP($A7,Features!$C$4:$X$25,3,0),0)</f>
        <v>0</v>
      </c>
      <c r="F7" s="224">
        <f t="shared" si="2"/>
        <v>0</v>
      </c>
      <c r="G7" s="224">
        <f>IFERROR(VLOOKUP($A7,Features!$C$4:$X$25,4,0),0)</f>
        <v>0</v>
      </c>
      <c r="H7" s="224">
        <f t="shared" si="3"/>
        <v>0</v>
      </c>
      <c r="I7" s="224">
        <f>IFERROR(VLOOKUP($A7,Features!$C$4:$X$25,5,0),0)</f>
        <v>0</v>
      </c>
      <c r="J7" s="224">
        <f t="shared" si="4"/>
        <v>100</v>
      </c>
      <c r="K7" s="224">
        <f>IFERROR(VLOOKUP($A7,Features!$C$4:$X$25,6,0),0)</f>
        <v>10</v>
      </c>
      <c r="L7" s="224">
        <f t="shared" si="5"/>
        <v>100</v>
      </c>
      <c r="M7" s="224">
        <f>IFERROR(VLOOKUP($A7,Features!$C$4:$X$25,7,0),0)</f>
        <v>10</v>
      </c>
      <c r="N7" s="224">
        <f t="shared" si="6"/>
        <v>100</v>
      </c>
      <c r="O7" s="224">
        <f>IFERROR(VLOOKUP($A7,Features!$C$4:$X$25,8,0),0)</f>
        <v>10</v>
      </c>
      <c r="P7" s="224">
        <f t="shared" si="7"/>
        <v>100</v>
      </c>
      <c r="Q7" s="224">
        <f>IFERROR(VLOOKUP($A7,Features!$C$4:$X$25,9,0),0)</f>
        <v>1</v>
      </c>
      <c r="R7" s="224">
        <f t="shared" si="8"/>
        <v>100</v>
      </c>
      <c r="S7" s="224">
        <f>IFERROR(VLOOKUP($A7,Features!$C$4:$X$25,10,0),0)</f>
        <v>1</v>
      </c>
      <c r="T7" s="224">
        <f t="shared" si="9"/>
        <v>0</v>
      </c>
      <c r="U7" s="224">
        <f>IFERROR(VLOOKUP($A7,Features!$C$4:$X$25,11,0),0)</f>
        <v>0</v>
      </c>
      <c r="V7" s="224">
        <f t="shared" si="10"/>
        <v>0</v>
      </c>
      <c r="W7" s="224">
        <f>IFERROR(VLOOKUP($A7,Features!$C$4:$X$25,12,0),0)</f>
        <v>0</v>
      </c>
      <c r="X7" s="224">
        <f t="shared" si="11"/>
        <v>500</v>
      </c>
      <c r="Y7" s="224">
        <f>IFERROR(VLOOKUP($A7,Features!$C$4:$X$25,13,0),0)</f>
        <v>9</v>
      </c>
      <c r="Z7" s="224">
        <f t="shared" si="12"/>
        <v>0</v>
      </c>
      <c r="AA7" s="224">
        <f>IFERROR(VLOOKUP($A7,Features!$C$4:$X$25,14,0),0)</f>
        <v>0</v>
      </c>
      <c r="AB7" s="224">
        <f t="shared" si="13"/>
        <v>0</v>
      </c>
      <c r="AC7" s="224">
        <f>IFERROR(VLOOKUP($A7,Features!$C$4:$X$25,15,0),0)</f>
        <v>0</v>
      </c>
      <c r="AD7" s="224">
        <f t="shared" si="14"/>
        <v>0</v>
      </c>
      <c r="AE7" s="224">
        <f>IFERROR(VLOOKUP($A7,Features!$C$4:$X$25,16,0),0)</f>
        <v>0</v>
      </c>
      <c r="AF7" s="224">
        <f t="shared" si="15"/>
        <v>100</v>
      </c>
      <c r="AG7" s="224">
        <f>IFERROR(VLOOKUP($A7,Features!$C$4:$X$25,17,0),0)</f>
        <v>10</v>
      </c>
      <c r="AH7" s="224">
        <f t="shared" si="16"/>
        <v>100</v>
      </c>
      <c r="AI7" s="224">
        <f>IFERROR(VLOOKUP($A7,Features!$C$4:$X$25,18,0),0)</f>
        <v>1</v>
      </c>
      <c r="AJ7" s="224">
        <f t="shared" si="17"/>
        <v>0</v>
      </c>
      <c r="AK7" s="224">
        <f>IFERROR(VLOOKUP($A7,Features!$C$4:$X$25,19,0),0)</f>
        <v>0</v>
      </c>
      <c r="AL7" s="224">
        <f t="shared" si="18"/>
        <v>0</v>
      </c>
      <c r="AM7" s="224">
        <f>IFERROR(VLOOKUP($A7,Features!$C$4:$X$25,20,0),0)</f>
        <v>0</v>
      </c>
      <c r="AN7" s="224">
        <f t="shared" si="19"/>
        <v>0</v>
      </c>
      <c r="AO7" s="224">
        <f>IFERROR(VLOOKUP($A7,Features!$C$4:$X$25,21,0),0)</f>
        <v>0</v>
      </c>
    </row>
    <row r="8" spans="1:41" ht="20.149999999999999" customHeight="1" x14ac:dyDescent="0.3">
      <c r="A8" s="223" t="s">
        <v>19</v>
      </c>
      <c r="B8" s="224">
        <f t="shared" si="0"/>
        <v>100</v>
      </c>
      <c r="C8" s="224">
        <f>IFERROR(VLOOKUP($A8,Features!$C$4:$X$25,2,0),0)</f>
        <v>10</v>
      </c>
      <c r="D8" s="224">
        <f t="shared" si="1"/>
        <v>250</v>
      </c>
      <c r="E8" s="224">
        <f>IFERROR(VLOOKUP($A8,Features!$C$4:$X$25,3,0),0)</f>
        <v>4</v>
      </c>
      <c r="F8" s="224">
        <f t="shared" si="2"/>
        <v>0</v>
      </c>
      <c r="G8" s="224">
        <f>IFERROR(VLOOKUP($A8,Features!$C$4:$X$25,4,0),0)</f>
        <v>0</v>
      </c>
      <c r="H8" s="224">
        <f t="shared" si="3"/>
        <v>0</v>
      </c>
      <c r="I8" s="224">
        <f>IFERROR(VLOOKUP($A8,Features!$C$4:$X$25,5,0),0)</f>
        <v>0</v>
      </c>
      <c r="J8" s="224">
        <f t="shared" si="4"/>
        <v>100</v>
      </c>
      <c r="K8" s="224">
        <f>IFERROR(VLOOKUP($A8,Features!$C$4:$X$25,6,0),0)</f>
        <v>10</v>
      </c>
      <c r="L8" s="224">
        <f t="shared" si="5"/>
        <v>100</v>
      </c>
      <c r="M8" s="224">
        <f>IFERROR(VLOOKUP($A8,Features!$C$4:$X$25,7,0),0)</f>
        <v>10</v>
      </c>
      <c r="N8" s="224">
        <f t="shared" si="6"/>
        <v>100</v>
      </c>
      <c r="O8" s="224">
        <f>IFERROR(VLOOKUP($A8,Features!$C$4:$X$25,8,0),0)</f>
        <v>10</v>
      </c>
      <c r="P8" s="224">
        <f t="shared" si="7"/>
        <v>100</v>
      </c>
      <c r="Q8" s="224">
        <f>IFERROR(VLOOKUP($A8,Features!$C$4:$X$25,9,0),0)</f>
        <v>6</v>
      </c>
      <c r="R8" s="224">
        <f t="shared" si="8"/>
        <v>0</v>
      </c>
      <c r="S8" s="224">
        <f>IFERROR(VLOOKUP($A8,Features!$C$4:$X$25,10,0),0)</f>
        <v>0</v>
      </c>
      <c r="T8" s="224">
        <f t="shared" si="9"/>
        <v>100</v>
      </c>
      <c r="U8" s="224">
        <f>IFERROR(VLOOKUP($A8,Features!$C$4:$X$25,11,0),0)</f>
        <v>1</v>
      </c>
      <c r="V8" s="224">
        <f t="shared" si="10"/>
        <v>300</v>
      </c>
      <c r="W8" s="224">
        <f>IFERROR(VLOOKUP($A8,Features!$C$4:$X$25,12,0),0)</f>
        <v>5</v>
      </c>
      <c r="X8" s="224">
        <f t="shared" si="11"/>
        <v>250</v>
      </c>
      <c r="Y8" s="224">
        <f>IFERROR(VLOOKUP($A8,Features!$C$4:$X$25,13,0),0)</f>
        <v>4</v>
      </c>
      <c r="Z8" s="224">
        <f t="shared" si="12"/>
        <v>350</v>
      </c>
      <c r="AA8" s="224">
        <f>IFERROR(VLOOKUP($A8,Features!$C$4:$X$25,14,0),0)</f>
        <v>6</v>
      </c>
      <c r="AB8" s="224">
        <f t="shared" si="13"/>
        <v>500</v>
      </c>
      <c r="AC8" s="224">
        <f>IFERROR(VLOOKUP($A8,Features!$C$4:$X$25,15,0),0)</f>
        <v>9</v>
      </c>
      <c r="AD8" s="224">
        <f t="shared" si="14"/>
        <v>250</v>
      </c>
      <c r="AE8" s="224">
        <f>IFERROR(VLOOKUP($A8,Features!$C$4:$X$25,16,0),0)</f>
        <v>4</v>
      </c>
      <c r="AF8" s="224">
        <f t="shared" si="15"/>
        <v>100</v>
      </c>
      <c r="AG8" s="224">
        <f>IFERROR(VLOOKUP($A8,Features!$C$4:$X$25,17,0),0)</f>
        <v>10</v>
      </c>
      <c r="AH8" s="224">
        <f t="shared" si="16"/>
        <v>100</v>
      </c>
      <c r="AI8" s="224">
        <f>IFERROR(VLOOKUP($A8,Features!$C$4:$X$25,18,0),0)</f>
        <v>10</v>
      </c>
      <c r="AJ8" s="224">
        <f t="shared" si="17"/>
        <v>0</v>
      </c>
      <c r="AK8" s="224">
        <f>IFERROR(VLOOKUP($A8,Features!$C$4:$X$25,19,0),0)</f>
        <v>0</v>
      </c>
      <c r="AL8" s="224">
        <f t="shared" si="18"/>
        <v>100</v>
      </c>
      <c r="AM8" s="224">
        <f>IFERROR(VLOOKUP($A8,Features!$C$4:$X$25,20,0),0)</f>
        <v>10</v>
      </c>
      <c r="AN8" s="224">
        <f t="shared" si="19"/>
        <v>300</v>
      </c>
      <c r="AO8" s="224">
        <f>IFERROR(VLOOKUP($A8,Features!$C$4:$X$25,21,0),0)</f>
        <v>5</v>
      </c>
    </row>
    <row r="9" spans="1:41" ht="20.149999999999999" customHeight="1" x14ac:dyDescent="0.3">
      <c r="A9" s="223" t="s">
        <v>23</v>
      </c>
      <c r="B9" s="224">
        <f t="shared" si="0"/>
        <v>100</v>
      </c>
      <c r="C9" s="224">
        <f>IFERROR(VLOOKUP($A9,Features!$C$4:$X$25,2,0),0)</f>
        <v>10</v>
      </c>
      <c r="D9" s="224">
        <f t="shared" si="1"/>
        <v>0</v>
      </c>
      <c r="E9" s="224">
        <f>IFERROR(VLOOKUP($A9,Features!$C$4:$X$25,3,0),0)</f>
        <v>0</v>
      </c>
      <c r="F9" s="224">
        <f t="shared" si="2"/>
        <v>0</v>
      </c>
      <c r="G9" s="224">
        <f>IFERROR(VLOOKUP($A9,Features!$C$4:$X$25,4,0),0)</f>
        <v>0</v>
      </c>
      <c r="H9" s="224">
        <f t="shared" si="3"/>
        <v>0</v>
      </c>
      <c r="I9" s="224">
        <f>IFERROR(VLOOKUP($A9,Features!$C$4:$X$25,5,0),0)</f>
        <v>0</v>
      </c>
      <c r="J9" s="224">
        <f t="shared" si="4"/>
        <v>100</v>
      </c>
      <c r="K9" s="224">
        <f>IFERROR(VLOOKUP($A9,Features!$C$4:$X$25,6,0),0)</f>
        <v>10</v>
      </c>
      <c r="L9" s="224">
        <f t="shared" si="5"/>
        <v>100</v>
      </c>
      <c r="M9" s="224">
        <f>IFERROR(VLOOKUP($A9,Features!$C$4:$X$25,7,0),0)</f>
        <v>10</v>
      </c>
      <c r="N9" s="224">
        <f t="shared" si="6"/>
        <v>100</v>
      </c>
      <c r="O9" s="224">
        <f>IFERROR(VLOOKUP($A9,Features!$C$4:$X$25,8,0),0)</f>
        <v>10</v>
      </c>
      <c r="P9" s="224">
        <f t="shared" si="7"/>
        <v>0</v>
      </c>
      <c r="Q9" s="224">
        <f>IFERROR(VLOOKUP($A9,Features!$C$4:$X$25,9,0),0)</f>
        <v>0</v>
      </c>
      <c r="R9" s="224">
        <f t="shared" si="8"/>
        <v>100</v>
      </c>
      <c r="S9" s="224">
        <f>IFERROR(VLOOKUP($A9,Features!$C$4:$X$25,10,0),0)</f>
        <v>10</v>
      </c>
      <c r="T9" s="224">
        <f t="shared" si="9"/>
        <v>0</v>
      </c>
      <c r="U9" s="224">
        <f>IFERROR(VLOOKUP($A9,Features!$C$4:$X$25,11,0),0)</f>
        <v>0</v>
      </c>
      <c r="V9" s="224">
        <f t="shared" si="10"/>
        <v>0</v>
      </c>
      <c r="W9" s="224">
        <f>IFERROR(VLOOKUP($A9,Features!$C$4:$X$25,12,0),0)</f>
        <v>0</v>
      </c>
      <c r="X9" s="224">
        <f t="shared" si="11"/>
        <v>250</v>
      </c>
      <c r="Y9" s="224">
        <f>IFERROR(VLOOKUP($A9,Features!$C$4:$X$25,13,0),0)</f>
        <v>4</v>
      </c>
      <c r="Z9" s="224">
        <f t="shared" si="12"/>
        <v>250</v>
      </c>
      <c r="AA9" s="224">
        <f>IFERROR(VLOOKUP($A9,Features!$C$4:$X$25,14,0),0)</f>
        <v>4</v>
      </c>
      <c r="AB9" s="224">
        <f t="shared" si="13"/>
        <v>100</v>
      </c>
      <c r="AC9" s="224">
        <f>IFERROR(VLOOKUP($A9,Features!$C$4:$X$25,15,0),0)</f>
        <v>1</v>
      </c>
      <c r="AD9" s="224">
        <f t="shared" si="14"/>
        <v>0</v>
      </c>
      <c r="AE9" s="224">
        <f>IFERROR(VLOOKUP($A9,Features!$C$4:$X$25,16,0),0)</f>
        <v>0</v>
      </c>
      <c r="AF9" s="224">
        <f t="shared" si="15"/>
        <v>0</v>
      </c>
      <c r="AG9" s="224">
        <f>IFERROR(VLOOKUP($A9,Features!$C$4:$X$25,17,0),0)</f>
        <v>0</v>
      </c>
      <c r="AH9" s="224">
        <f t="shared" si="16"/>
        <v>100</v>
      </c>
      <c r="AI9" s="224">
        <f>IFERROR(VLOOKUP($A9,Features!$C$4:$X$25,18,0),0)</f>
        <v>10</v>
      </c>
      <c r="AJ9" s="224">
        <f t="shared" si="17"/>
        <v>0</v>
      </c>
      <c r="AK9" s="224">
        <f>IFERROR(VLOOKUP($A9,Features!$C$4:$X$25,19,0),0)</f>
        <v>0</v>
      </c>
      <c r="AL9" s="224">
        <f t="shared" si="18"/>
        <v>100</v>
      </c>
      <c r="AM9" s="224">
        <f>IFERROR(VLOOKUP($A9,Features!$C$4:$X$25,20,0),0)</f>
        <v>10</v>
      </c>
      <c r="AN9" s="224">
        <f t="shared" si="19"/>
        <v>0</v>
      </c>
      <c r="AO9" s="224">
        <f>IFERROR(VLOOKUP($A9,Features!$C$4:$X$25,21,0),0)</f>
        <v>0</v>
      </c>
    </row>
    <row r="10" spans="1:41" ht="20.149999999999999" customHeight="1" x14ac:dyDescent="0.3">
      <c r="A10" s="223" t="s">
        <v>20</v>
      </c>
      <c r="B10" s="224">
        <f t="shared" si="0"/>
        <v>100</v>
      </c>
      <c r="C10" s="224">
        <f>IFERROR(VLOOKUP($A10,Features!$C$4:$X$25,2,0),0)</f>
        <v>10</v>
      </c>
      <c r="D10" s="224">
        <f t="shared" si="1"/>
        <v>0</v>
      </c>
      <c r="E10" s="224">
        <f>IFERROR(VLOOKUP($A10,Features!$C$4:$X$25,3,0),0)</f>
        <v>0</v>
      </c>
      <c r="F10" s="224">
        <f t="shared" si="2"/>
        <v>0</v>
      </c>
      <c r="G10" s="224">
        <f>IFERROR(VLOOKUP($A10,Features!$C$4:$X$25,4,0),0)</f>
        <v>0</v>
      </c>
      <c r="H10" s="224">
        <f t="shared" si="3"/>
        <v>0</v>
      </c>
      <c r="I10" s="224">
        <f>IFERROR(VLOOKUP($A10,Features!$C$4:$X$25,5,0),0)</f>
        <v>0</v>
      </c>
      <c r="J10" s="224">
        <f t="shared" si="4"/>
        <v>100</v>
      </c>
      <c r="K10" s="224">
        <f>IFERROR(VLOOKUP($A10,Features!$C$4:$X$25,6,0),0)</f>
        <v>10</v>
      </c>
      <c r="L10" s="224">
        <f t="shared" si="5"/>
        <v>100</v>
      </c>
      <c r="M10" s="224">
        <f>IFERROR(VLOOKUP($A10,Features!$C$4:$X$25,7,0),0)</f>
        <v>10</v>
      </c>
      <c r="N10" s="224">
        <f t="shared" si="6"/>
        <v>100</v>
      </c>
      <c r="O10" s="224">
        <f>IFERROR(VLOOKUP($A10,Features!$C$4:$X$25,8,0),0)</f>
        <v>10</v>
      </c>
      <c r="P10" s="224">
        <f t="shared" si="7"/>
        <v>100</v>
      </c>
      <c r="Q10" s="224">
        <f>IFERROR(VLOOKUP($A10,Features!$C$4:$X$25,9,0),0)</f>
        <v>10</v>
      </c>
      <c r="R10" s="224">
        <f t="shared" si="8"/>
        <v>100</v>
      </c>
      <c r="S10" s="224">
        <f>IFERROR(VLOOKUP($A10,Features!$C$4:$X$25,10,0),0)</f>
        <v>10</v>
      </c>
      <c r="T10" s="224">
        <f t="shared" si="9"/>
        <v>400</v>
      </c>
      <c r="U10" s="224">
        <f>IFERROR(VLOOKUP($A10,Features!$C$4:$X$25,11,0),0)</f>
        <v>7</v>
      </c>
      <c r="V10" s="224">
        <f t="shared" si="10"/>
        <v>550</v>
      </c>
      <c r="W10" s="224">
        <f>IFERROR(VLOOKUP($A10,Features!$C$4:$X$25,12,0),0)</f>
        <v>10</v>
      </c>
      <c r="X10" s="224">
        <f t="shared" si="11"/>
        <v>300</v>
      </c>
      <c r="Y10" s="224">
        <f>IFERROR(VLOOKUP($A10,Features!$C$4:$X$25,13,0),0)</f>
        <v>5</v>
      </c>
      <c r="Z10" s="224">
        <f t="shared" si="12"/>
        <v>200</v>
      </c>
      <c r="AA10" s="224">
        <f>IFERROR(VLOOKUP($A10,Features!$C$4:$X$25,14,0),0)</f>
        <v>3</v>
      </c>
      <c r="AB10" s="224">
        <f t="shared" si="13"/>
        <v>450</v>
      </c>
      <c r="AC10" s="224">
        <f>IFERROR(VLOOKUP($A10,Features!$C$4:$X$25,15,0),0)</f>
        <v>8</v>
      </c>
      <c r="AD10" s="224">
        <f t="shared" si="14"/>
        <v>0</v>
      </c>
      <c r="AE10" s="224">
        <f>IFERROR(VLOOKUP($A10,Features!$C$4:$X$25,16,0),0)</f>
        <v>0</v>
      </c>
      <c r="AF10" s="224">
        <f t="shared" si="15"/>
        <v>100</v>
      </c>
      <c r="AG10" s="224">
        <f>IFERROR(VLOOKUP($A10,Features!$C$4:$X$25,17,0),0)</f>
        <v>6</v>
      </c>
      <c r="AH10" s="224">
        <f t="shared" si="16"/>
        <v>100</v>
      </c>
      <c r="AI10" s="224">
        <f>IFERROR(VLOOKUP($A10,Features!$C$4:$X$25,18,0),0)</f>
        <v>10</v>
      </c>
      <c r="AJ10" s="224">
        <f t="shared" si="17"/>
        <v>0</v>
      </c>
      <c r="AK10" s="224">
        <f>IFERROR(VLOOKUP($A10,Features!$C$4:$X$25,19,0),0)</f>
        <v>0</v>
      </c>
      <c r="AL10" s="224">
        <f t="shared" si="18"/>
        <v>0</v>
      </c>
      <c r="AM10" s="224">
        <f>IFERROR(VLOOKUP($A10,Features!$C$4:$X$25,20,0),0)</f>
        <v>0</v>
      </c>
      <c r="AN10" s="224">
        <f t="shared" si="19"/>
        <v>0</v>
      </c>
      <c r="AO10" s="224">
        <f>IFERROR(VLOOKUP($A10,Features!$C$4:$X$25,21,0),0)</f>
        <v>0</v>
      </c>
    </row>
    <row r="11" spans="1:41" ht="20.149999999999999" customHeight="1" x14ac:dyDescent="0.3">
      <c r="A11" s="223" t="s">
        <v>18</v>
      </c>
      <c r="B11" s="224">
        <f t="shared" si="0"/>
        <v>100</v>
      </c>
      <c r="C11" s="224">
        <f>IFERROR(VLOOKUP($A11,Features!$C$4:$X$25,2,0),0)</f>
        <v>10</v>
      </c>
      <c r="D11" s="224">
        <f t="shared" si="1"/>
        <v>0</v>
      </c>
      <c r="E11" s="224">
        <f>IFERROR(VLOOKUP($A11,Features!$C$4:$X$25,3,0),0)</f>
        <v>0</v>
      </c>
      <c r="F11" s="224">
        <f t="shared" si="2"/>
        <v>100</v>
      </c>
      <c r="G11" s="224">
        <f>IFERROR(VLOOKUP($A11,Features!$C$4:$X$25,4,0),0)</f>
        <v>1</v>
      </c>
      <c r="H11" s="224">
        <f t="shared" si="3"/>
        <v>0</v>
      </c>
      <c r="I11" s="224">
        <f>IFERROR(VLOOKUP($A11,Features!$C$4:$X$25,5,0),0)</f>
        <v>0</v>
      </c>
      <c r="J11" s="224">
        <f t="shared" si="4"/>
        <v>100</v>
      </c>
      <c r="K11" s="224">
        <f>IFERROR(VLOOKUP($A11,Features!$C$4:$X$25,6,0),0)</f>
        <v>10</v>
      </c>
      <c r="L11" s="224">
        <f t="shared" si="5"/>
        <v>100</v>
      </c>
      <c r="M11" s="224">
        <f>IFERROR(VLOOKUP($A11,Features!$C$4:$X$25,7,0),0)</f>
        <v>10</v>
      </c>
      <c r="N11" s="224">
        <f t="shared" si="6"/>
        <v>100</v>
      </c>
      <c r="O11" s="224">
        <f>IFERROR(VLOOKUP($A11,Features!$C$4:$X$25,8,0),0)</f>
        <v>10</v>
      </c>
      <c r="P11" s="224">
        <f t="shared" si="7"/>
        <v>0</v>
      </c>
      <c r="Q11" s="224">
        <f>IFERROR(VLOOKUP($A11,Features!$C$4:$X$25,9,0),0)</f>
        <v>0</v>
      </c>
      <c r="R11" s="224">
        <f t="shared" si="8"/>
        <v>100</v>
      </c>
      <c r="S11" s="224">
        <f>IFERROR(VLOOKUP($A11,Features!$C$4:$X$25,10,0),0)</f>
        <v>10</v>
      </c>
      <c r="T11" s="224">
        <f t="shared" si="9"/>
        <v>400</v>
      </c>
      <c r="U11" s="224">
        <f>IFERROR(VLOOKUP($A11,Features!$C$4:$X$25,11,0),0)</f>
        <v>7</v>
      </c>
      <c r="V11" s="224">
        <f t="shared" si="10"/>
        <v>0</v>
      </c>
      <c r="W11" s="224">
        <f>IFERROR(VLOOKUP($A11,Features!$C$4:$X$25,12,0),0)</f>
        <v>0</v>
      </c>
      <c r="X11" s="224">
        <f t="shared" si="11"/>
        <v>0</v>
      </c>
      <c r="Y11" s="224">
        <f>IFERROR(VLOOKUP($A11,Features!$C$4:$X$25,13,0),0)</f>
        <v>0</v>
      </c>
      <c r="Z11" s="224">
        <f t="shared" si="12"/>
        <v>500</v>
      </c>
      <c r="AA11" s="224">
        <f>IFERROR(VLOOKUP($A11,Features!$C$4:$X$25,14,0),0)</f>
        <v>9</v>
      </c>
      <c r="AB11" s="224">
        <f t="shared" si="13"/>
        <v>500</v>
      </c>
      <c r="AC11" s="224">
        <f>IFERROR(VLOOKUP($A11,Features!$C$4:$X$25,15,0),0)</f>
        <v>9</v>
      </c>
      <c r="AD11" s="224">
        <f t="shared" si="14"/>
        <v>0</v>
      </c>
      <c r="AE11" s="224">
        <f>IFERROR(VLOOKUP($A11,Features!$C$4:$X$25,16,0),0)</f>
        <v>0</v>
      </c>
      <c r="AF11" s="224">
        <f t="shared" si="15"/>
        <v>100</v>
      </c>
      <c r="AG11" s="224">
        <f>IFERROR(VLOOKUP($A11,Features!$C$4:$X$25,17,0),0)</f>
        <v>7</v>
      </c>
      <c r="AH11" s="224">
        <f t="shared" si="16"/>
        <v>100</v>
      </c>
      <c r="AI11" s="224">
        <f>IFERROR(VLOOKUP($A11,Features!$C$4:$X$25,18,0),0)</f>
        <v>10</v>
      </c>
      <c r="AJ11" s="224">
        <f t="shared" si="17"/>
        <v>0</v>
      </c>
      <c r="AK11" s="224">
        <f>IFERROR(VLOOKUP($A11,Features!$C$4:$X$25,19,0),0)</f>
        <v>0</v>
      </c>
      <c r="AL11" s="224">
        <f t="shared" si="18"/>
        <v>100</v>
      </c>
      <c r="AM11" s="224">
        <f>IFERROR(VLOOKUP($A11,Features!$C$4:$X$25,20,0),0)</f>
        <v>10</v>
      </c>
      <c r="AN11" s="224">
        <f t="shared" si="19"/>
        <v>0</v>
      </c>
      <c r="AO11" s="224">
        <f>IFERROR(VLOOKUP($A11,Features!$C$4:$X$25,21,0),0)</f>
        <v>0</v>
      </c>
    </row>
    <row r="12" spans="1:41" ht="20.149999999999999" customHeight="1" x14ac:dyDescent="0.3">
      <c r="A12" s="223" t="s">
        <v>36</v>
      </c>
      <c r="B12" s="224">
        <f t="shared" si="0"/>
        <v>100</v>
      </c>
      <c r="C12" s="224">
        <f>IFERROR(VLOOKUP($A12,Features!$C$4:$X$25,2,0),0)</f>
        <v>7</v>
      </c>
      <c r="D12" s="224">
        <f t="shared" si="1"/>
        <v>0</v>
      </c>
      <c r="E12" s="224">
        <f>IFERROR(VLOOKUP($A12,Features!$C$4:$X$25,3,0),0)</f>
        <v>0</v>
      </c>
      <c r="F12" s="224">
        <f t="shared" si="2"/>
        <v>0</v>
      </c>
      <c r="G12" s="224">
        <f>IFERROR(VLOOKUP($A12,Features!$C$4:$X$25,4,0),0)</f>
        <v>0</v>
      </c>
      <c r="H12" s="224">
        <f t="shared" si="3"/>
        <v>0</v>
      </c>
      <c r="I12" s="224">
        <f>IFERROR(VLOOKUP($A12,Features!$C$4:$X$25,5,0),0)</f>
        <v>0</v>
      </c>
      <c r="J12" s="224">
        <f t="shared" si="4"/>
        <v>100</v>
      </c>
      <c r="K12" s="224">
        <f>IFERROR(VLOOKUP($A12,Features!$C$4:$X$25,6,0),0)</f>
        <v>10</v>
      </c>
      <c r="L12" s="224">
        <f t="shared" si="5"/>
        <v>0</v>
      </c>
      <c r="M12" s="224">
        <f>IFERROR(VLOOKUP($A12,Features!$C$4:$X$25,7,0),0)</f>
        <v>0</v>
      </c>
      <c r="N12" s="224">
        <f t="shared" si="6"/>
        <v>100</v>
      </c>
      <c r="O12" s="224">
        <f>IFERROR(VLOOKUP($A12,Features!$C$4:$X$25,8,0),0)</f>
        <v>7</v>
      </c>
      <c r="P12" s="224">
        <f t="shared" si="7"/>
        <v>100</v>
      </c>
      <c r="Q12" s="224">
        <f>IFERROR(VLOOKUP($A12,Features!$C$4:$X$25,9,0),0)</f>
        <v>7</v>
      </c>
      <c r="R12" s="224">
        <f t="shared" si="8"/>
        <v>100</v>
      </c>
      <c r="S12" s="224">
        <f>IFERROR(VLOOKUP($A12,Features!$C$4:$X$25,10,0),0)</f>
        <v>10</v>
      </c>
      <c r="T12" s="224">
        <f t="shared" si="9"/>
        <v>0</v>
      </c>
      <c r="U12" s="224">
        <f>IFERROR(VLOOKUP($A12,Features!$C$4:$X$25,11,0),0)</f>
        <v>0</v>
      </c>
      <c r="V12" s="224">
        <f t="shared" si="10"/>
        <v>0</v>
      </c>
      <c r="W12" s="224">
        <f>IFERROR(VLOOKUP($A12,Features!$C$4:$X$25,12,0),0)</f>
        <v>0</v>
      </c>
      <c r="X12" s="224">
        <f t="shared" si="11"/>
        <v>0</v>
      </c>
      <c r="Y12" s="224">
        <f>IFERROR(VLOOKUP($A12,Features!$C$4:$X$25,13,0),0)</f>
        <v>0</v>
      </c>
      <c r="Z12" s="224">
        <f t="shared" si="12"/>
        <v>0</v>
      </c>
      <c r="AA12" s="224">
        <f>IFERROR(VLOOKUP($A12,Features!$C$4:$X$25,14,0),0)</f>
        <v>0</v>
      </c>
      <c r="AB12" s="224">
        <f t="shared" si="13"/>
        <v>0</v>
      </c>
      <c r="AC12" s="224">
        <f>IFERROR(VLOOKUP($A12,Features!$C$4:$X$25,15,0),0)</f>
        <v>0</v>
      </c>
      <c r="AD12" s="224">
        <f t="shared" si="14"/>
        <v>0</v>
      </c>
      <c r="AE12" s="224">
        <f>IFERROR(VLOOKUP($A12,Features!$C$4:$X$25,16,0),0)</f>
        <v>0</v>
      </c>
      <c r="AF12" s="224">
        <f t="shared" si="15"/>
        <v>0</v>
      </c>
      <c r="AG12" s="224">
        <f>IFERROR(VLOOKUP($A12,Features!$C$4:$X$25,17,0),0)</f>
        <v>0</v>
      </c>
      <c r="AH12" s="224">
        <f t="shared" si="16"/>
        <v>0</v>
      </c>
      <c r="AI12" s="224">
        <f>IFERROR(VLOOKUP($A12,Features!$C$4:$X$25,18,0),0)</f>
        <v>0</v>
      </c>
      <c r="AJ12" s="224">
        <f t="shared" si="17"/>
        <v>0</v>
      </c>
      <c r="AK12" s="224">
        <f>IFERROR(VLOOKUP($A12,Features!$C$4:$X$25,19,0),0)</f>
        <v>0</v>
      </c>
      <c r="AL12" s="224">
        <f t="shared" si="18"/>
        <v>0</v>
      </c>
      <c r="AM12" s="224">
        <f>IFERROR(VLOOKUP($A12,Features!$C$4:$X$25,20,0),0)</f>
        <v>0</v>
      </c>
      <c r="AN12" s="224">
        <f t="shared" si="19"/>
        <v>400</v>
      </c>
      <c r="AO12" s="224">
        <f>IFERROR(VLOOKUP($A12,Features!$C$4:$X$25,21,0),0)</f>
        <v>7</v>
      </c>
    </row>
    <row r="13" spans="1:41" ht="20.149999999999999" customHeight="1" x14ac:dyDescent="0.3">
      <c r="A13" s="223" t="s">
        <v>35</v>
      </c>
      <c r="B13" s="224">
        <f t="shared" si="0"/>
        <v>100</v>
      </c>
      <c r="C13" s="224">
        <f>IFERROR(VLOOKUP($A13,Features!$C$4:$X$25,2,0),0)</f>
        <v>10</v>
      </c>
      <c r="D13" s="224">
        <f t="shared" si="1"/>
        <v>0</v>
      </c>
      <c r="E13" s="224">
        <f>IFERROR(VLOOKUP($A13,Features!$C$4:$X$25,3,0),0)</f>
        <v>0</v>
      </c>
      <c r="F13" s="224">
        <f t="shared" si="2"/>
        <v>550</v>
      </c>
      <c r="G13" s="224">
        <f>IFERROR(VLOOKUP($A13,Features!$C$4:$X$25,4,0),0)</f>
        <v>10</v>
      </c>
      <c r="H13" s="224">
        <f t="shared" si="3"/>
        <v>0</v>
      </c>
      <c r="I13" s="224">
        <f>IFERROR(VLOOKUP($A13,Features!$C$4:$X$25,5,0),0)</f>
        <v>0</v>
      </c>
      <c r="J13" s="224">
        <f t="shared" si="4"/>
        <v>100</v>
      </c>
      <c r="K13" s="224">
        <f>IFERROR(VLOOKUP($A13,Features!$C$4:$X$25,6,0),0)</f>
        <v>10</v>
      </c>
      <c r="L13" s="224">
        <f t="shared" si="5"/>
        <v>100</v>
      </c>
      <c r="M13" s="224">
        <f>IFERROR(VLOOKUP($A13,Features!$C$4:$X$25,7,0),0)</f>
        <v>10</v>
      </c>
      <c r="N13" s="224">
        <f t="shared" si="6"/>
        <v>100</v>
      </c>
      <c r="O13" s="224">
        <f>IFERROR(VLOOKUP($A13,Features!$C$4:$X$25,8,0),0)</f>
        <v>10</v>
      </c>
      <c r="P13" s="224">
        <f t="shared" si="7"/>
        <v>0</v>
      </c>
      <c r="Q13" s="224">
        <f>IFERROR(VLOOKUP($A13,Features!$C$4:$X$25,9,0),0)</f>
        <v>0</v>
      </c>
      <c r="R13" s="224">
        <f t="shared" si="8"/>
        <v>0</v>
      </c>
      <c r="S13" s="224">
        <f>IFERROR(VLOOKUP($A13,Features!$C$4:$X$25,10,0),0)</f>
        <v>0</v>
      </c>
      <c r="T13" s="224">
        <f t="shared" si="9"/>
        <v>0</v>
      </c>
      <c r="U13" s="224">
        <f>IFERROR(VLOOKUP($A13,Features!$C$4:$X$25,11,0),0)</f>
        <v>0</v>
      </c>
      <c r="V13" s="224">
        <f t="shared" si="10"/>
        <v>0</v>
      </c>
      <c r="W13" s="224">
        <f>IFERROR(VLOOKUP($A13,Features!$C$4:$X$25,12,0),0)</f>
        <v>0</v>
      </c>
      <c r="X13" s="224">
        <f t="shared" si="11"/>
        <v>0</v>
      </c>
      <c r="Y13" s="224">
        <f>IFERROR(VLOOKUP($A13,Features!$C$4:$X$25,13,0),0)</f>
        <v>0</v>
      </c>
      <c r="Z13" s="224">
        <f t="shared" si="12"/>
        <v>0</v>
      </c>
      <c r="AA13" s="224">
        <f>IFERROR(VLOOKUP($A13,Features!$C$4:$X$25,14,0),0)</f>
        <v>0</v>
      </c>
      <c r="AB13" s="224">
        <f t="shared" si="13"/>
        <v>0</v>
      </c>
      <c r="AC13" s="224">
        <f>IFERROR(VLOOKUP($A13,Features!$C$4:$X$25,15,0),0)</f>
        <v>0</v>
      </c>
      <c r="AD13" s="224">
        <f t="shared" si="14"/>
        <v>0</v>
      </c>
      <c r="AE13" s="224">
        <f>IFERROR(VLOOKUP($A13,Features!$C$4:$X$25,16,0),0)</f>
        <v>0</v>
      </c>
      <c r="AF13" s="224">
        <f t="shared" si="15"/>
        <v>0</v>
      </c>
      <c r="AG13" s="224">
        <f>IFERROR(VLOOKUP($A13,Features!$C$4:$X$25,17,0),0)</f>
        <v>0</v>
      </c>
      <c r="AH13" s="224">
        <f t="shared" si="16"/>
        <v>100</v>
      </c>
      <c r="AI13" s="224">
        <f>IFERROR(VLOOKUP($A13,Features!$C$4:$X$25,18,0),0)</f>
        <v>10</v>
      </c>
      <c r="AJ13" s="224">
        <f t="shared" si="17"/>
        <v>0</v>
      </c>
      <c r="AK13" s="224">
        <f>IFERROR(VLOOKUP($A13,Features!$C$4:$X$25,19,0),0)</f>
        <v>0</v>
      </c>
      <c r="AL13" s="224">
        <f t="shared" si="18"/>
        <v>0</v>
      </c>
      <c r="AM13" s="224">
        <f>IFERROR(VLOOKUP($A13,Features!$C$4:$X$25,20,0),0)</f>
        <v>0</v>
      </c>
      <c r="AN13" s="224">
        <f t="shared" si="19"/>
        <v>550</v>
      </c>
      <c r="AO13" s="224">
        <f>IFERROR(VLOOKUP($A13,Features!$C$4:$X$25,21,0),0)</f>
        <v>10</v>
      </c>
    </row>
    <row r="14" spans="1:41" ht="20.149999999999999" customHeight="1" x14ac:dyDescent="0.3">
      <c r="A14" s="223" t="s">
        <v>24</v>
      </c>
      <c r="B14" s="224">
        <f t="shared" si="0"/>
        <v>100</v>
      </c>
      <c r="C14" s="224">
        <f>IFERROR(VLOOKUP($A14,Features!$C$4:$X$25,2,0),0)</f>
        <v>10</v>
      </c>
      <c r="D14" s="224">
        <f t="shared" si="1"/>
        <v>250</v>
      </c>
      <c r="E14" s="224">
        <f>IFERROR(VLOOKUP($A14,Features!$C$4:$X$25,3,0),0)</f>
        <v>4</v>
      </c>
      <c r="F14" s="224">
        <f t="shared" si="2"/>
        <v>0</v>
      </c>
      <c r="G14" s="224">
        <f>IFERROR(VLOOKUP($A14,Features!$C$4:$X$25,4,0),0)</f>
        <v>0</v>
      </c>
      <c r="H14" s="224">
        <f t="shared" si="3"/>
        <v>0</v>
      </c>
      <c r="I14" s="224">
        <f>IFERROR(VLOOKUP($A14,Features!$C$4:$X$25,5,0),0)</f>
        <v>0</v>
      </c>
      <c r="J14" s="224">
        <f t="shared" si="4"/>
        <v>100</v>
      </c>
      <c r="K14" s="224">
        <f>IFERROR(VLOOKUP($A14,Features!$C$4:$X$25,6,0),0)</f>
        <v>10</v>
      </c>
      <c r="L14" s="224">
        <f t="shared" si="5"/>
        <v>100</v>
      </c>
      <c r="M14" s="224">
        <f>IFERROR(VLOOKUP($A14,Features!$C$4:$X$25,7,0),0)</f>
        <v>10</v>
      </c>
      <c r="N14" s="224">
        <f t="shared" si="6"/>
        <v>100</v>
      </c>
      <c r="O14" s="224">
        <f>IFERROR(VLOOKUP($A14,Features!$C$4:$X$25,8,0),0)</f>
        <v>10</v>
      </c>
      <c r="P14" s="224">
        <f t="shared" si="7"/>
        <v>100</v>
      </c>
      <c r="Q14" s="224">
        <f>IFERROR(VLOOKUP($A14,Features!$C$4:$X$25,9,0),0)</f>
        <v>4</v>
      </c>
      <c r="R14" s="224">
        <f t="shared" si="8"/>
        <v>100</v>
      </c>
      <c r="S14" s="224">
        <f>IFERROR(VLOOKUP($A14,Features!$C$4:$X$25,10,0),0)</f>
        <v>10</v>
      </c>
      <c r="T14" s="224">
        <f t="shared" si="9"/>
        <v>250</v>
      </c>
      <c r="U14" s="224">
        <f>IFERROR(VLOOKUP($A14,Features!$C$4:$X$25,11,0),0)</f>
        <v>4</v>
      </c>
      <c r="V14" s="224">
        <f t="shared" si="10"/>
        <v>250</v>
      </c>
      <c r="W14" s="224">
        <f>IFERROR(VLOOKUP($A14,Features!$C$4:$X$25,12,0),0)</f>
        <v>4</v>
      </c>
      <c r="X14" s="224">
        <f t="shared" si="11"/>
        <v>250</v>
      </c>
      <c r="Y14" s="224">
        <f>IFERROR(VLOOKUP($A14,Features!$C$4:$X$25,13,0),0)</f>
        <v>4</v>
      </c>
      <c r="Z14" s="224">
        <f t="shared" si="12"/>
        <v>0</v>
      </c>
      <c r="AA14" s="224">
        <f>IFERROR(VLOOKUP($A14,Features!$C$4:$X$25,14,0),0)</f>
        <v>0</v>
      </c>
      <c r="AB14" s="224">
        <f t="shared" si="13"/>
        <v>250</v>
      </c>
      <c r="AC14" s="224">
        <f>IFERROR(VLOOKUP($A14,Features!$C$4:$X$25,15,0),0)</f>
        <v>4</v>
      </c>
      <c r="AD14" s="224">
        <f t="shared" si="14"/>
        <v>500</v>
      </c>
      <c r="AE14" s="224">
        <f>IFERROR(VLOOKUP($A14,Features!$C$4:$X$25,16,0),0)</f>
        <v>9</v>
      </c>
      <c r="AF14" s="224">
        <f t="shared" si="15"/>
        <v>100</v>
      </c>
      <c r="AG14" s="224">
        <f>IFERROR(VLOOKUP($A14,Features!$C$4:$X$25,17,0),0)</f>
        <v>10</v>
      </c>
      <c r="AH14" s="224">
        <f t="shared" si="16"/>
        <v>100</v>
      </c>
      <c r="AI14" s="224">
        <f>IFERROR(VLOOKUP($A14,Features!$C$4:$X$25,18,0),0)</f>
        <v>10</v>
      </c>
      <c r="AJ14" s="224">
        <f t="shared" si="17"/>
        <v>0</v>
      </c>
      <c r="AK14" s="224">
        <f>IFERROR(VLOOKUP($A14,Features!$C$4:$X$25,19,0),0)</f>
        <v>0</v>
      </c>
      <c r="AL14" s="224">
        <f t="shared" si="18"/>
        <v>0</v>
      </c>
      <c r="AM14" s="224">
        <f>IFERROR(VLOOKUP($A14,Features!$C$4:$X$25,20,0),0)</f>
        <v>0</v>
      </c>
      <c r="AN14" s="224">
        <f t="shared" si="19"/>
        <v>0</v>
      </c>
      <c r="AO14" s="224">
        <f>IFERROR(VLOOKUP($A14,Features!$C$4:$X$25,21,0),0)</f>
        <v>0</v>
      </c>
    </row>
    <row r="15" spans="1:41" ht="20.149999999999999" customHeight="1" x14ac:dyDescent="0.3">
      <c r="A15" s="223" t="s">
        <v>21</v>
      </c>
      <c r="B15" s="224">
        <f t="shared" si="0"/>
        <v>100</v>
      </c>
      <c r="C15" s="224">
        <f>IFERROR(VLOOKUP($A15,Features!$C$4:$X$25,2,0),0)</f>
        <v>6</v>
      </c>
      <c r="D15" s="224">
        <f t="shared" si="1"/>
        <v>250</v>
      </c>
      <c r="E15" s="224">
        <f>IFERROR(VLOOKUP($A15,Features!$C$4:$X$25,3,0),0)</f>
        <v>4</v>
      </c>
      <c r="F15" s="224">
        <f t="shared" si="2"/>
        <v>0</v>
      </c>
      <c r="G15" s="224">
        <f>IFERROR(VLOOKUP($A15,Features!$C$4:$X$25,4,0),0)</f>
        <v>0</v>
      </c>
      <c r="H15" s="224">
        <f t="shared" si="3"/>
        <v>0</v>
      </c>
      <c r="I15" s="224">
        <f>IFERROR(VLOOKUP($A15,Features!$C$4:$X$25,5,0),0)</f>
        <v>0</v>
      </c>
      <c r="J15" s="224">
        <f t="shared" si="4"/>
        <v>100</v>
      </c>
      <c r="K15" s="224">
        <f>IFERROR(VLOOKUP($A15,Features!$C$4:$X$25,6,0),0)</f>
        <v>6</v>
      </c>
      <c r="L15" s="224">
        <f t="shared" si="5"/>
        <v>100</v>
      </c>
      <c r="M15" s="224">
        <f>IFERROR(VLOOKUP($A15,Features!$C$4:$X$25,7,0),0)</f>
        <v>6</v>
      </c>
      <c r="N15" s="224">
        <f t="shared" si="6"/>
        <v>100</v>
      </c>
      <c r="O15" s="224">
        <f>IFERROR(VLOOKUP($A15,Features!$C$4:$X$25,8,0),0)</f>
        <v>6</v>
      </c>
      <c r="P15" s="224">
        <f t="shared" si="7"/>
        <v>100</v>
      </c>
      <c r="Q15" s="224">
        <f>IFERROR(VLOOKUP($A15,Features!$C$4:$X$25,9,0),0)</f>
        <v>4</v>
      </c>
      <c r="R15" s="224">
        <f t="shared" si="8"/>
        <v>100</v>
      </c>
      <c r="S15" s="224">
        <f>IFERROR(VLOOKUP($A15,Features!$C$4:$X$25,10,0),0)</f>
        <v>10</v>
      </c>
      <c r="T15" s="224">
        <f t="shared" si="9"/>
        <v>250</v>
      </c>
      <c r="U15" s="224">
        <f>IFERROR(VLOOKUP($A15,Features!$C$4:$X$25,11,0),0)</f>
        <v>4</v>
      </c>
      <c r="V15" s="224">
        <f t="shared" si="10"/>
        <v>0</v>
      </c>
      <c r="W15" s="224">
        <f>IFERROR(VLOOKUP($A15,Features!$C$4:$X$25,12,0),0)</f>
        <v>0</v>
      </c>
      <c r="X15" s="224">
        <f t="shared" si="11"/>
        <v>0</v>
      </c>
      <c r="Y15" s="224">
        <f>IFERROR(VLOOKUP($A15,Features!$C$4:$X$25,13,0),0)</f>
        <v>0</v>
      </c>
      <c r="Z15" s="224">
        <f t="shared" si="12"/>
        <v>0</v>
      </c>
      <c r="AA15" s="224">
        <f>IFERROR(VLOOKUP($A15,Features!$C$4:$X$25,14,0),0)</f>
        <v>0</v>
      </c>
      <c r="AB15" s="224">
        <f t="shared" si="13"/>
        <v>250</v>
      </c>
      <c r="AC15" s="224">
        <f>IFERROR(VLOOKUP($A15,Features!$C$4:$X$25,15,0),0)</f>
        <v>4</v>
      </c>
      <c r="AD15" s="224">
        <f t="shared" si="14"/>
        <v>250</v>
      </c>
      <c r="AE15" s="224">
        <f>IFERROR(VLOOKUP($A15,Features!$C$4:$X$25,16,0),0)</f>
        <v>4</v>
      </c>
      <c r="AF15" s="224">
        <f t="shared" si="15"/>
        <v>100</v>
      </c>
      <c r="AG15" s="224">
        <f>IFERROR(VLOOKUP($A15,Features!$C$4:$X$25,17,0),0)</f>
        <v>6</v>
      </c>
      <c r="AH15" s="224">
        <f t="shared" si="16"/>
        <v>100</v>
      </c>
      <c r="AI15" s="224">
        <f>IFERROR(VLOOKUP($A15,Features!$C$4:$X$25,18,0),0)</f>
        <v>6</v>
      </c>
      <c r="AJ15" s="224">
        <f t="shared" si="17"/>
        <v>0</v>
      </c>
      <c r="AK15" s="224">
        <f>IFERROR(VLOOKUP($A15,Features!$C$4:$X$25,19,0),0)</f>
        <v>0</v>
      </c>
      <c r="AL15" s="224">
        <f t="shared" si="18"/>
        <v>0</v>
      </c>
      <c r="AM15" s="224">
        <f>IFERROR(VLOOKUP($A15,Features!$C$4:$X$25,20,0),0)</f>
        <v>0</v>
      </c>
      <c r="AN15" s="224">
        <f t="shared" si="19"/>
        <v>0</v>
      </c>
      <c r="AO15" s="224">
        <f>IFERROR(VLOOKUP($A15,Features!$C$4:$X$25,21,0),0)</f>
        <v>0</v>
      </c>
    </row>
    <row r="16" spans="1:41" ht="20.149999999999999" customHeight="1" x14ac:dyDescent="0.3">
      <c r="A16" s="223" t="s">
        <v>40</v>
      </c>
      <c r="B16" s="224">
        <f t="shared" si="0"/>
        <v>0</v>
      </c>
      <c r="C16" s="224">
        <f>IFERROR(VLOOKUP($A16,Features!$C$4:$X$25,2,0),0)</f>
        <v>0</v>
      </c>
      <c r="D16" s="224">
        <f t="shared" si="1"/>
        <v>0</v>
      </c>
      <c r="E16" s="224">
        <f>IFERROR(VLOOKUP($A16,Features!$C$4:$X$25,3,0),0)</f>
        <v>0</v>
      </c>
      <c r="F16" s="224">
        <f t="shared" si="2"/>
        <v>0</v>
      </c>
      <c r="G16" s="224">
        <f>IFERROR(VLOOKUP($A16,Features!$C$4:$X$25,4,0),0)</f>
        <v>0</v>
      </c>
      <c r="H16" s="224">
        <f t="shared" si="3"/>
        <v>0</v>
      </c>
      <c r="I16" s="224">
        <f>IFERROR(VLOOKUP($A16,Features!$C$4:$X$25,5,0),0)</f>
        <v>0</v>
      </c>
      <c r="J16" s="224">
        <f t="shared" si="4"/>
        <v>0</v>
      </c>
      <c r="K16" s="224">
        <f>IFERROR(VLOOKUP($A16,Features!$C$4:$X$25,6,0),0)</f>
        <v>0</v>
      </c>
      <c r="L16" s="224">
        <f t="shared" si="5"/>
        <v>0</v>
      </c>
      <c r="M16" s="224">
        <f>IFERROR(VLOOKUP($A16,Features!$C$4:$X$25,7,0),0)</f>
        <v>0</v>
      </c>
      <c r="N16" s="224">
        <f t="shared" si="6"/>
        <v>0</v>
      </c>
      <c r="O16" s="224">
        <f>IFERROR(VLOOKUP($A16,Features!$C$4:$X$25,8,0),0)</f>
        <v>0</v>
      </c>
      <c r="P16" s="224">
        <f t="shared" si="7"/>
        <v>0</v>
      </c>
      <c r="Q16" s="224">
        <f>IFERROR(VLOOKUP($A16,Features!$C$4:$X$25,9,0),0)</f>
        <v>0</v>
      </c>
      <c r="R16" s="224">
        <f t="shared" si="8"/>
        <v>0</v>
      </c>
      <c r="S16" s="224">
        <f>IFERROR(VLOOKUP($A16,Features!$C$4:$X$25,10,0),0)</f>
        <v>0</v>
      </c>
      <c r="T16" s="224">
        <f t="shared" si="9"/>
        <v>0</v>
      </c>
      <c r="U16" s="224">
        <f>IFERROR(VLOOKUP($A16,Features!$C$4:$X$25,11,0),0)</f>
        <v>0</v>
      </c>
      <c r="V16" s="224">
        <f t="shared" si="10"/>
        <v>0</v>
      </c>
      <c r="W16" s="224">
        <f>IFERROR(VLOOKUP($A16,Features!$C$4:$X$25,12,0),0)</f>
        <v>0</v>
      </c>
      <c r="X16" s="224">
        <f t="shared" si="11"/>
        <v>0</v>
      </c>
      <c r="Y16" s="224">
        <f>IFERROR(VLOOKUP($A16,Features!$C$4:$X$25,13,0),0)</f>
        <v>0</v>
      </c>
      <c r="Z16" s="224">
        <f t="shared" si="12"/>
        <v>0</v>
      </c>
      <c r="AA16" s="224">
        <f>IFERROR(VLOOKUP($A16,Features!$C$4:$X$25,14,0),0)</f>
        <v>0</v>
      </c>
      <c r="AB16" s="224">
        <f t="shared" si="13"/>
        <v>0</v>
      </c>
      <c r="AC16" s="224">
        <f>IFERROR(VLOOKUP($A16,Features!$C$4:$X$25,15,0),0)</f>
        <v>0</v>
      </c>
      <c r="AD16" s="224">
        <f t="shared" si="14"/>
        <v>0</v>
      </c>
      <c r="AE16" s="224">
        <f>IFERROR(VLOOKUP($A16,Features!$C$4:$X$25,16,0),0)</f>
        <v>0</v>
      </c>
      <c r="AF16" s="224">
        <f t="shared" si="15"/>
        <v>0</v>
      </c>
      <c r="AG16" s="224">
        <f>IFERROR(VLOOKUP($A16,Features!$C$4:$X$25,17,0),0)</f>
        <v>0</v>
      </c>
      <c r="AH16" s="224">
        <f t="shared" si="16"/>
        <v>0</v>
      </c>
      <c r="AI16" s="224">
        <f>IFERROR(VLOOKUP($A16,Features!$C$4:$X$25,18,0),0)</f>
        <v>0</v>
      </c>
      <c r="AJ16" s="224">
        <f t="shared" si="17"/>
        <v>0</v>
      </c>
      <c r="AK16" s="224">
        <f>IFERROR(VLOOKUP($A16,Features!$C$4:$X$25,19,0),0)</f>
        <v>0</v>
      </c>
      <c r="AL16" s="224">
        <f t="shared" si="18"/>
        <v>0</v>
      </c>
      <c r="AM16" s="224">
        <f>IFERROR(VLOOKUP($A16,Features!$C$4:$X$25,20,0),0)</f>
        <v>0</v>
      </c>
      <c r="AN16" s="224">
        <f t="shared" si="19"/>
        <v>0</v>
      </c>
      <c r="AO16" s="224">
        <f>IFERROR(VLOOKUP($A16,Features!$C$4:$X$25,21,0),0)</f>
        <v>0</v>
      </c>
    </row>
    <row r="17" spans="1:41" ht="20.149999999999999" customHeight="1" x14ac:dyDescent="0.3">
      <c r="A17" s="223" t="s">
        <v>41</v>
      </c>
      <c r="B17" s="224">
        <f t="shared" si="0"/>
        <v>0</v>
      </c>
      <c r="C17" s="224">
        <f>IFERROR(VLOOKUP($A17,Features!$C$4:$X$25,2,0),0)</f>
        <v>0</v>
      </c>
      <c r="D17" s="224">
        <f t="shared" si="1"/>
        <v>0</v>
      </c>
      <c r="E17" s="224">
        <f>IFERROR(VLOOKUP($A17,Features!$C$4:$X$25,3,0),0)</f>
        <v>0</v>
      </c>
      <c r="F17" s="224">
        <f t="shared" si="2"/>
        <v>0</v>
      </c>
      <c r="G17" s="224">
        <f>IFERROR(VLOOKUP($A17,Features!$C$4:$X$25,4,0),0)</f>
        <v>0</v>
      </c>
      <c r="H17" s="224">
        <f t="shared" si="3"/>
        <v>0</v>
      </c>
      <c r="I17" s="224">
        <f>IFERROR(VLOOKUP($A17,Features!$C$4:$X$25,5,0),0)</f>
        <v>0</v>
      </c>
      <c r="J17" s="224">
        <f t="shared" si="4"/>
        <v>0</v>
      </c>
      <c r="K17" s="224">
        <f>IFERROR(VLOOKUP($A17,Features!$C$4:$X$25,6,0),0)</f>
        <v>0</v>
      </c>
      <c r="L17" s="224">
        <f t="shared" si="5"/>
        <v>0</v>
      </c>
      <c r="M17" s="224">
        <f>IFERROR(VLOOKUP($A17,Features!$C$4:$X$25,7,0),0)</f>
        <v>0</v>
      </c>
      <c r="N17" s="224">
        <f t="shared" si="6"/>
        <v>0</v>
      </c>
      <c r="O17" s="224">
        <f>IFERROR(VLOOKUP($A17,Features!$C$4:$X$25,8,0),0)</f>
        <v>0</v>
      </c>
      <c r="P17" s="224">
        <f t="shared" si="7"/>
        <v>0</v>
      </c>
      <c r="Q17" s="224">
        <f>IFERROR(VLOOKUP($A17,Features!$C$4:$X$25,9,0),0)</f>
        <v>0</v>
      </c>
      <c r="R17" s="224">
        <f t="shared" si="8"/>
        <v>0</v>
      </c>
      <c r="S17" s="224">
        <f>IFERROR(VLOOKUP($A17,Features!$C$4:$X$25,10,0),0)</f>
        <v>0</v>
      </c>
      <c r="T17" s="224">
        <f t="shared" si="9"/>
        <v>0</v>
      </c>
      <c r="U17" s="224">
        <f>IFERROR(VLOOKUP($A17,Features!$C$4:$X$25,11,0),0)</f>
        <v>0</v>
      </c>
      <c r="V17" s="224">
        <f t="shared" si="10"/>
        <v>0</v>
      </c>
      <c r="W17" s="224">
        <f>IFERROR(VLOOKUP($A17,Features!$C$4:$X$25,12,0),0)</f>
        <v>0</v>
      </c>
      <c r="X17" s="224">
        <f t="shared" si="11"/>
        <v>0</v>
      </c>
      <c r="Y17" s="224">
        <f>IFERROR(VLOOKUP($A17,Features!$C$4:$X$25,13,0),0)</f>
        <v>0</v>
      </c>
      <c r="Z17" s="224">
        <f t="shared" si="12"/>
        <v>0</v>
      </c>
      <c r="AA17" s="224">
        <f>IFERROR(VLOOKUP($A17,Features!$C$4:$X$25,14,0),0)</f>
        <v>0</v>
      </c>
      <c r="AB17" s="224">
        <f t="shared" si="13"/>
        <v>0</v>
      </c>
      <c r="AC17" s="224">
        <f>IFERROR(VLOOKUP($A17,Features!$C$4:$X$25,15,0),0)</f>
        <v>0</v>
      </c>
      <c r="AD17" s="224">
        <f t="shared" si="14"/>
        <v>0</v>
      </c>
      <c r="AE17" s="224">
        <f>IFERROR(VLOOKUP($A17,Features!$C$4:$X$25,16,0),0)</f>
        <v>0</v>
      </c>
      <c r="AF17" s="224">
        <f t="shared" si="15"/>
        <v>0</v>
      </c>
      <c r="AG17" s="224">
        <f>IFERROR(VLOOKUP($A17,Features!$C$4:$X$25,17,0),0)</f>
        <v>0</v>
      </c>
      <c r="AH17" s="224">
        <f t="shared" si="16"/>
        <v>0</v>
      </c>
      <c r="AI17" s="224">
        <f>IFERROR(VLOOKUP($A17,Features!$C$4:$X$25,18,0),0)</f>
        <v>0</v>
      </c>
      <c r="AJ17" s="224">
        <f t="shared" si="17"/>
        <v>0</v>
      </c>
      <c r="AK17" s="224">
        <f>IFERROR(VLOOKUP($A17,Features!$C$4:$X$25,19,0),0)</f>
        <v>0</v>
      </c>
      <c r="AL17" s="224">
        <f t="shared" si="18"/>
        <v>0</v>
      </c>
      <c r="AM17" s="224">
        <f>IFERROR(VLOOKUP($A17,Features!$C$4:$X$25,20,0),0)</f>
        <v>0</v>
      </c>
      <c r="AN17" s="224">
        <f t="shared" si="19"/>
        <v>0</v>
      </c>
      <c r="AO17" s="224">
        <f>IFERROR(VLOOKUP($A17,Features!$C$4:$X$25,21,0),0)</f>
        <v>0</v>
      </c>
    </row>
    <row r="18" spans="1:41" ht="23.15" customHeight="1" x14ac:dyDescent="0.3">
      <c r="A18" s="223" t="s">
        <v>30</v>
      </c>
      <c r="B18" s="224">
        <f t="shared" si="0"/>
        <v>100</v>
      </c>
      <c r="C18" s="224">
        <f>IFERROR(VLOOKUP($A18,Features!$C$4:$X$25,2,0),0)</f>
        <v>7</v>
      </c>
      <c r="D18" s="224">
        <f t="shared" si="1"/>
        <v>0</v>
      </c>
      <c r="E18" s="224">
        <f>IFERROR(VLOOKUP($A18,Features!$C$4:$X$25,3,0),0)</f>
        <v>0</v>
      </c>
      <c r="F18" s="224">
        <f t="shared" si="2"/>
        <v>0</v>
      </c>
      <c r="G18" s="224">
        <f>IFERROR(VLOOKUP($A18,Features!$C$4:$X$25,4,0),0)</f>
        <v>0</v>
      </c>
      <c r="H18" s="224">
        <f t="shared" si="3"/>
        <v>400</v>
      </c>
      <c r="I18" s="224">
        <f>IFERROR(VLOOKUP($A18,Features!$C$4:$X$25,5,0),0)</f>
        <v>7</v>
      </c>
      <c r="J18" s="224">
        <f t="shared" si="4"/>
        <v>100</v>
      </c>
      <c r="K18" s="224">
        <f>IFERROR(VLOOKUP($A18,Features!$C$4:$X$25,6,0),0)</f>
        <v>7</v>
      </c>
      <c r="L18" s="224">
        <f t="shared" si="5"/>
        <v>0</v>
      </c>
      <c r="M18" s="224">
        <f>IFERROR(VLOOKUP($A18,Features!$C$4:$X$25,7,0),0)</f>
        <v>0</v>
      </c>
      <c r="N18" s="224">
        <f t="shared" si="6"/>
        <v>0</v>
      </c>
      <c r="O18" s="224">
        <f>IFERROR(VLOOKUP($A18,Features!$C$4:$X$25,8,0),0)</f>
        <v>0</v>
      </c>
      <c r="P18" s="224">
        <f t="shared" si="7"/>
        <v>0</v>
      </c>
      <c r="Q18" s="224">
        <f>IFERROR(VLOOKUP($A18,Features!$C$4:$X$25,9,0),0)</f>
        <v>0</v>
      </c>
      <c r="R18" s="224">
        <f t="shared" si="8"/>
        <v>0</v>
      </c>
      <c r="S18" s="224">
        <f>IFERROR(VLOOKUP($A18,Features!$C$4:$X$25,10,0),0)</f>
        <v>0</v>
      </c>
      <c r="T18" s="224">
        <f t="shared" si="9"/>
        <v>0</v>
      </c>
      <c r="U18" s="224">
        <f>IFERROR(VLOOKUP($A18,Features!$C$4:$X$25,11,0),0)</f>
        <v>0</v>
      </c>
      <c r="V18" s="224">
        <f t="shared" si="10"/>
        <v>0</v>
      </c>
      <c r="W18" s="224">
        <f>IFERROR(VLOOKUP($A18,Features!$C$4:$X$25,12,0),0)</f>
        <v>0</v>
      </c>
      <c r="X18" s="224">
        <f t="shared" si="11"/>
        <v>0</v>
      </c>
      <c r="Y18" s="224">
        <f>IFERROR(VLOOKUP($A18,Features!$C$4:$X$25,13,0),0)</f>
        <v>0</v>
      </c>
      <c r="Z18" s="224">
        <f t="shared" si="12"/>
        <v>0</v>
      </c>
      <c r="AA18" s="224">
        <f>IFERROR(VLOOKUP($A18,Features!$C$4:$X$25,14,0),0)</f>
        <v>0</v>
      </c>
      <c r="AB18" s="224">
        <f t="shared" si="13"/>
        <v>0</v>
      </c>
      <c r="AC18" s="224">
        <f>IFERROR(VLOOKUP($A18,Features!$C$4:$X$25,15,0),0)</f>
        <v>0</v>
      </c>
      <c r="AD18" s="224">
        <f t="shared" si="14"/>
        <v>0</v>
      </c>
      <c r="AE18" s="224">
        <f>IFERROR(VLOOKUP($A18,Features!$C$4:$X$25,16,0),0)</f>
        <v>0</v>
      </c>
      <c r="AF18" s="224">
        <f t="shared" si="15"/>
        <v>0</v>
      </c>
      <c r="AG18" s="224">
        <f>IFERROR(VLOOKUP($A18,Features!$C$4:$X$25,17,0),0)</f>
        <v>0</v>
      </c>
      <c r="AH18" s="224">
        <f t="shared" si="16"/>
        <v>100</v>
      </c>
      <c r="AI18" s="224">
        <f>IFERROR(VLOOKUP($A18,Features!$C$4:$X$25,18,0),0)</f>
        <v>7</v>
      </c>
      <c r="AJ18" s="224">
        <f t="shared" si="17"/>
        <v>0</v>
      </c>
      <c r="AK18" s="224">
        <f>IFERROR(VLOOKUP($A18,Features!$C$4:$X$25,19,0),0)</f>
        <v>0</v>
      </c>
      <c r="AL18" s="224">
        <f t="shared" si="18"/>
        <v>0</v>
      </c>
      <c r="AM18" s="224">
        <f>IFERROR(VLOOKUP($A18,Features!$C$4:$X$25,20,0),0)</f>
        <v>0</v>
      </c>
      <c r="AN18" s="224">
        <f t="shared" si="19"/>
        <v>0</v>
      </c>
      <c r="AO18" s="224">
        <f>IFERROR(VLOOKUP($A18,Features!$C$4:$X$25,21,0),0)</f>
        <v>0</v>
      </c>
    </row>
    <row r="19" spans="1:41" ht="20.149999999999999" customHeight="1" x14ac:dyDescent="0.3">
      <c r="A19" s="223" t="s">
        <v>25</v>
      </c>
      <c r="B19" s="224">
        <f t="shared" si="0"/>
        <v>0</v>
      </c>
      <c r="C19" s="224">
        <f>IFERROR(VLOOKUP($A19,Features!$C$4:$X$25,2,0),0)</f>
        <v>0</v>
      </c>
      <c r="D19" s="224">
        <f t="shared" si="1"/>
        <v>0</v>
      </c>
      <c r="E19" s="224">
        <f>IFERROR(VLOOKUP($A19,Features!$C$4:$X$25,3,0),0)</f>
        <v>0</v>
      </c>
      <c r="F19" s="224">
        <f t="shared" si="2"/>
        <v>0</v>
      </c>
      <c r="G19" s="224">
        <f>IFERROR(VLOOKUP($A19,Features!$C$4:$X$25,4,0),0)</f>
        <v>0</v>
      </c>
      <c r="H19" s="224">
        <f t="shared" si="3"/>
        <v>0</v>
      </c>
      <c r="I19" s="224">
        <f>IFERROR(VLOOKUP($A19,Features!$C$4:$X$25,5,0),0)</f>
        <v>0</v>
      </c>
      <c r="J19" s="224">
        <f t="shared" si="4"/>
        <v>100</v>
      </c>
      <c r="K19" s="224">
        <f>IFERROR(VLOOKUP($A19,Features!$C$4:$X$25,6,0),0)</f>
        <v>10</v>
      </c>
      <c r="L19" s="224">
        <f t="shared" si="5"/>
        <v>100</v>
      </c>
      <c r="M19" s="224">
        <f>IFERROR(VLOOKUP($A19,Features!$C$4:$X$25,7,0),0)</f>
        <v>10</v>
      </c>
      <c r="N19" s="224">
        <f t="shared" si="6"/>
        <v>100</v>
      </c>
      <c r="O19" s="224">
        <f>IFERROR(VLOOKUP($A19,Features!$C$4:$X$25,8,0),0)</f>
        <v>10</v>
      </c>
      <c r="P19" s="224">
        <f t="shared" si="7"/>
        <v>0</v>
      </c>
      <c r="Q19" s="224">
        <f>IFERROR(VLOOKUP($A19,Features!$C$4:$X$25,9,0),0)</f>
        <v>0</v>
      </c>
      <c r="R19" s="224">
        <f t="shared" si="8"/>
        <v>0</v>
      </c>
      <c r="S19" s="224">
        <f>IFERROR(VLOOKUP($A19,Features!$C$4:$X$25,10,0),0)</f>
        <v>0</v>
      </c>
      <c r="T19" s="224">
        <f t="shared" si="9"/>
        <v>400</v>
      </c>
      <c r="U19" s="224">
        <f>IFERROR(VLOOKUP($A19,Features!$C$4:$X$25,11,0),0)</f>
        <v>7</v>
      </c>
      <c r="V19" s="224">
        <f t="shared" si="10"/>
        <v>0</v>
      </c>
      <c r="W19" s="224">
        <f>IFERROR(VLOOKUP($A19,Features!$C$4:$X$25,12,0),0)</f>
        <v>0</v>
      </c>
      <c r="X19" s="224">
        <f t="shared" si="11"/>
        <v>0</v>
      </c>
      <c r="Y19" s="224">
        <f>IFERROR(VLOOKUP($A19,Features!$C$4:$X$25,13,0),0)</f>
        <v>0</v>
      </c>
      <c r="Z19" s="224">
        <f t="shared" si="12"/>
        <v>0</v>
      </c>
      <c r="AA19" s="224">
        <f>IFERROR(VLOOKUP($A19,Features!$C$4:$X$25,14,0),0)</f>
        <v>0</v>
      </c>
      <c r="AB19" s="224">
        <f t="shared" si="13"/>
        <v>0</v>
      </c>
      <c r="AC19" s="224">
        <f>IFERROR(VLOOKUP($A19,Features!$C$4:$X$25,15,0),0)</f>
        <v>0</v>
      </c>
      <c r="AD19" s="224">
        <f t="shared" si="14"/>
        <v>550</v>
      </c>
      <c r="AE19" s="224">
        <f>IFERROR(VLOOKUP($A19,Features!$C$4:$X$25,16,0),0)</f>
        <v>10</v>
      </c>
      <c r="AF19" s="224">
        <f t="shared" si="15"/>
        <v>0</v>
      </c>
      <c r="AG19" s="224">
        <f>IFERROR(VLOOKUP($A19,Features!$C$4:$X$25,17,0),0)</f>
        <v>0</v>
      </c>
      <c r="AH19" s="224">
        <f t="shared" si="16"/>
        <v>0</v>
      </c>
      <c r="AI19" s="224">
        <f>IFERROR(VLOOKUP($A19,Features!$C$4:$X$25,18,0),0)</f>
        <v>0</v>
      </c>
      <c r="AJ19" s="224">
        <f t="shared" si="17"/>
        <v>0</v>
      </c>
      <c r="AK19" s="224">
        <f>IFERROR(VLOOKUP($A19,Features!$C$4:$X$25,19,0),0)</f>
        <v>0</v>
      </c>
      <c r="AL19" s="224">
        <f t="shared" si="18"/>
        <v>0</v>
      </c>
      <c r="AM19" s="224">
        <f>IFERROR(VLOOKUP($A19,Features!$C$4:$X$25,20,0),0)</f>
        <v>0</v>
      </c>
      <c r="AN19" s="224">
        <f t="shared" si="19"/>
        <v>0</v>
      </c>
      <c r="AO19" s="224">
        <f>IFERROR(VLOOKUP($A19,Features!$C$4:$X$25,21,0),0)</f>
        <v>0</v>
      </c>
    </row>
    <row r="20" spans="1:41" ht="20.149999999999999" customHeight="1" x14ac:dyDescent="0.3">
      <c r="A20" s="223" t="s">
        <v>32</v>
      </c>
      <c r="B20" s="224">
        <f t="shared" si="0"/>
        <v>100</v>
      </c>
      <c r="C20" s="224">
        <f>IFERROR(VLOOKUP($A20,Features!$C$4:$X$25,2,0),0)</f>
        <v>5</v>
      </c>
      <c r="D20" s="224">
        <f t="shared" si="1"/>
        <v>0</v>
      </c>
      <c r="E20" s="224">
        <f>IFERROR(VLOOKUP($A20,Features!$C$4:$X$25,3,0),0)</f>
        <v>0</v>
      </c>
      <c r="F20" s="224">
        <f t="shared" si="2"/>
        <v>0</v>
      </c>
      <c r="G20" s="224">
        <f>IFERROR(VLOOKUP($A20,Features!$C$4:$X$25,4,0),0)</f>
        <v>0</v>
      </c>
      <c r="H20" s="224">
        <f t="shared" si="3"/>
        <v>200</v>
      </c>
      <c r="I20" s="224">
        <f>IFERROR(VLOOKUP($A20,Features!$C$4:$X$25,5,0),0)</f>
        <v>3</v>
      </c>
      <c r="J20" s="224">
        <f t="shared" si="4"/>
        <v>100</v>
      </c>
      <c r="K20" s="224">
        <f>IFERROR(VLOOKUP($A20,Features!$C$4:$X$25,6,0),0)</f>
        <v>10</v>
      </c>
      <c r="L20" s="224">
        <f t="shared" si="5"/>
        <v>100</v>
      </c>
      <c r="M20" s="224">
        <f>IFERROR(VLOOKUP($A20,Features!$C$4:$X$25,7,0),0)</f>
        <v>10</v>
      </c>
      <c r="N20" s="224">
        <f t="shared" si="6"/>
        <v>100</v>
      </c>
      <c r="O20" s="224">
        <f>IFERROR(VLOOKUP($A20,Features!$C$4:$X$25,8,0),0)</f>
        <v>10</v>
      </c>
      <c r="P20" s="224">
        <f t="shared" si="7"/>
        <v>100</v>
      </c>
      <c r="Q20" s="224">
        <f>IFERROR(VLOOKUP($A20,Features!$C$4:$X$25,9,0),0)</f>
        <v>10</v>
      </c>
      <c r="R20" s="224">
        <f t="shared" si="8"/>
        <v>0</v>
      </c>
      <c r="S20" s="224">
        <f>IFERROR(VLOOKUP($A20,Features!$C$4:$X$25,10,0),0)</f>
        <v>0</v>
      </c>
      <c r="T20" s="224">
        <f t="shared" si="9"/>
        <v>0</v>
      </c>
      <c r="U20" s="224">
        <f>IFERROR(VLOOKUP($A20,Features!$C$4:$X$25,11,0),0)</f>
        <v>0</v>
      </c>
      <c r="V20" s="224">
        <f t="shared" si="10"/>
        <v>200</v>
      </c>
      <c r="W20" s="224">
        <f>IFERROR(VLOOKUP($A20,Features!$C$4:$X$25,12,0),0)</f>
        <v>3</v>
      </c>
      <c r="X20" s="224">
        <f t="shared" si="11"/>
        <v>100</v>
      </c>
      <c r="Y20" s="224">
        <f>IFERROR(VLOOKUP($A20,Features!$C$4:$X$25,13,0),0)</f>
        <v>1</v>
      </c>
      <c r="Z20" s="224">
        <f t="shared" si="12"/>
        <v>0</v>
      </c>
      <c r="AA20" s="224">
        <f>IFERROR(VLOOKUP($A20,Features!$C$4:$X$25,14,0),0)</f>
        <v>0</v>
      </c>
      <c r="AB20" s="224">
        <f t="shared" si="13"/>
        <v>0</v>
      </c>
      <c r="AC20" s="224">
        <f>IFERROR(VLOOKUP($A20,Features!$C$4:$X$25,15,0),0)</f>
        <v>0</v>
      </c>
      <c r="AD20" s="224">
        <f t="shared" si="14"/>
        <v>100</v>
      </c>
      <c r="AE20" s="224">
        <f>IFERROR(VLOOKUP($A20,Features!$C$4:$X$25,16,0),0)</f>
        <v>1</v>
      </c>
      <c r="AF20" s="224">
        <f t="shared" si="15"/>
        <v>100</v>
      </c>
      <c r="AG20" s="224">
        <f>IFERROR(VLOOKUP($A20,Features!$C$4:$X$25,17,0),0)</f>
        <v>2</v>
      </c>
      <c r="AH20" s="224">
        <f t="shared" si="16"/>
        <v>100</v>
      </c>
      <c r="AI20" s="224">
        <f>IFERROR(VLOOKUP($A20,Features!$C$4:$X$25,18,0),0)</f>
        <v>10</v>
      </c>
      <c r="AJ20" s="224">
        <f t="shared" si="17"/>
        <v>100</v>
      </c>
      <c r="AK20" s="224">
        <f>IFERROR(VLOOKUP($A20,Features!$C$4:$X$25,19,0),0)</f>
        <v>10</v>
      </c>
      <c r="AL20" s="224">
        <f t="shared" si="18"/>
        <v>0</v>
      </c>
      <c r="AM20" s="224">
        <f>IFERROR(VLOOKUP($A20,Features!$C$4:$X$25,20,0),0)</f>
        <v>0</v>
      </c>
      <c r="AN20" s="224">
        <f t="shared" si="19"/>
        <v>0</v>
      </c>
      <c r="AO20" s="224">
        <f>IFERROR(VLOOKUP($A20,Features!$C$4:$X$25,21,0),0)</f>
        <v>0</v>
      </c>
    </row>
    <row r="21" spans="1:41" ht="20.149999999999999" customHeight="1" x14ac:dyDescent="0.3">
      <c r="A21" s="223" t="s">
        <v>34</v>
      </c>
      <c r="B21" s="224">
        <f t="shared" si="0"/>
        <v>100</v>
      </c>
      <c r="C21" s="224">
        <f>IFERROR(VLOOKUP($A21,Features!$C$4:$X$25,2,0),0)</f>
        <v>7</v>
      </c>
      <c r="D21" s="224">
        <f t="shared" si="1"/>
        <v>0</v>
      </c>
      <c r="E21" s="224">
        <f>IFERROR(VLOOKUP($A21,Features!$C$4:$X$25,3,0),0)</f>
        <v>0</v>
      </c>
      <c r="F21" s="224">
        <f t="shared" si="2"/>
        <v>0</v>
      </c>
      <c r="G21" s="224">
        <f>IFERROR(VLOOKUP($A21,Features!$C$4:$X$25,4,0),0)</f>
        <v>0</v>
      </c>
      <c r="H21" s="224">
        <f t="shared" si="3"/>
        <v>0</v>
      </c>
      <c r="I21" s="224">
        <f>IFERROR(VLOOKUP($A21,Features!$C$4:$X$25,5,0),0)</f>
        <v>0</v>
      </c>
      <c r="J21" s="224">
        <f t="shared" si="4"/>
        <v>100</v>
      </c>
      <c r="K21" s="224">
        <f>IFERROR(VLOOKUP($A21,Features!$C$4:$X$25,6,0),0)</f>
        <v>10</v>
      </c>
      <c r="L21" s="224">
        <f t="shared" si="5"/>
        <v>100</v>
      </c>
      <c r="M21" s="224">
        <f>IFERROR(VLOOKUP($A21,Features!$C$4:$X$25,7,0),0)</f>
        <v>10</v>
      </c>
      <c r="N21" s="224">
        <f t="shared" si="6"/>
        <v>100</v>
      </c>
      <c r="O21" s="224">
        <f>IFERROR(VLOOKUP($A21,Features!$C$4:$X$25,8,0),0)</f>
        <v>10</v>
      </c>
      <c r="P21" s="224">
        <f t="shared" si="7"/>
        <v>100</v>
      </c>
      <c r="Q21" s="224">
        <f>IFERROR(VLOOKUP($A21,Features!$C$4:$X$25,9,0),0)</f>
        <v>10</v>
      </c>
      <c r="R21" s="224">
        <f t="shared" si="8"/>
        <v>100</v>
      </c>
      <c r="S21" s="224">
        <f>IFERROR(VLOOKUP($A21,Features!$C$4:$X$25,10,0),0)</f>
        <v>8</v>
      </c>
      <c r="T21" s="224">
        <f t="shared" si="9"/>
        <v>0</v>
      </c>
      <c r="U21" s="224">
        <f>IFERROR(VLOOKUP($A21,Features!$C$4:$X$25,11,0),0)</f>
        <v>0</v>
      </c>
      <c r="V21" s="224">
        <f t="shared" si="10"/>
        <v>0</v>
      </c>
      <c r="W21" s="224">
        <f>IFERROR(VLOOKUP($A21,Features!$C$4:$X$25,12,0),0)</f>
        <v>0</v>
      </c>
      <c r="X21" s="224">
        <f t="shared" si="11"/>
        <v>250</v>
      </c>
      <c r="Y21" s="224">
        <f>IFERROR(VLOOKUP($A21,Features!$C$4:$X$25,13,0),0)</f>
        <v>4</v>
      </c>
      <c r="Z21" s="224">
        <f t="shared" si="12"/>
        <v>0</v>
      </c>
      <c r="AA21" s="224">
        <f>IFERROR(VLOOKUP($A21,Features!$C$4:$X$25,14,0),0)</f>
        <v>0</v>
      </c>
      <c r="AB21" s="224">
        <f t="shared" si="13"/>
        <v>550</v>
      </c>
      <c r="AC21" s="224">
        <f>IFERROR(VLOOKUP($A21,Features!$C$4:$X$25,15,0),0)</f>
        <v>10</v>
      </c>
      <c r="AD21" s="224">
        <f t="shared" si="14"/>
        <v>250</v>
      </c>
      <c r="AE21" s="224">
        <f>IFERROR(VLOOKUP($A21,Features!$C$4:$X$25,16,0),0)</f>
        <v>4</v>
      </c>
      <c r="AF21" s="224">
        <f t="shared" si="15"/>
        <v>100</v>
      </c>
      <c r="AG21" s="224">
        <f>IFERROR(VLOOKUP($A21,Features!$C$4:$X$25,17,0),0)</f>
        <v>10</v>
      </c>
      <c r="AH21" s="224">
        <f t="shared" si="16"/>
        <v>100</v>
      </c>
      <c r="AI21" s="224">
        <f>IFERROR(VLOOKUP($A21,Features!$C$4:$X$25,18,0),0)</f>
        <v>10</v>
      </c>
      <c r="AJ21" s="224">
        <f t="shared" si="17"/>
        <v>0</v>
      </c>
      <c r="AK21" s="224">
        <f>IFERROR(VLOOKUP($A21,Features!$C$4:$X$25,19,0),0)</f>
        <v>0</v>
      </c>
      <c r="AL21" s="224">
        <f t="shared" si="18"/>
        <v>0</v>
      </c>
      <c r="AM21" s="224">
        <f>IFERROR(VLOOKUP($A21,Features!$C$4:$X$25,20,0),0)</f>
        <v>0</v>
      </c>
      <c r="AN21" s="224">
        <f t="shared" si="19"/>
        <v>0</v>
      </c>
      <c r="AO21" s="224">
        <f>IFERROR(VLOOKUP($A21,Features!$C$4:$X$25,21,0),0)</f>
        <v>0</v>
      </c>
    </row>
    <row r="22" spans="1:41" ht="20.149999999999999" customHeight="1" x14ac:dyDescent="0.3">
      <c r="A22" s="223" t="s">
        <v>31</v>
      </c>
      <c r="B22" s="224">
        <f t="shared" si="0"/>
        <v>0</v>
      </c>
      <c r="C22" s="224">
        <f>IFERROR(VLOOKUP($A22,Features!$C$4:$X$25,2,0),0)</f>
        <v>0</v>
      </c>
      <c r="D22" s="224">
        <f t="shared" si="1"/>
        <v>0</v>
      </c>
      <c r="E22" s="224">
        <f>IFERROR(VLOOKUP($A22,Features!$C$4:$X$25,3,0),0)</f>
        <v>0</v>
      </c>
      <c r="F22" s="224">
        <f t="shared" si="2"/>
        <v>0</v>
      </c>
      <c r="G22" s="224">
        <f>IFERROR(VLOOKUP($A22,Features!$C$4:$X$25,4,0),0)</f>
        <v>0</v>
      </c>
      <c r="H22" s="224">
        <f t="shared" si="3"/>
        <v>0</v>
      </c>
      <c r="I22" s="224">
        <f>IFERROR(VLOOKUP($A22,Features!$C$4:$X$25,5,0),0)</f>
        <v>0</v>
      </c>
      <c r="J22" s="224">
        <f t="shared" si="4"/>
        <v>100</v>
      </c>
      <c r="K22" s="224">
        <f>IFERROR(VLOOKUP($A22,Features!$C$4:$X$25,6,0),0)</f>
        <v>10</v>
      </c>
      <c r="L22" s="224">
        <f t="shared" si="5"/>
        <v>100</v>
      </c>
      <c r="M22" s="224">
        <f>IFERROR(VLOOKUP($A22,Features!$C$4:$X$25,7,0),0)</f>
        <v>10</v>
      </c>
      <c r="N22" s="224">
        <f t="shared" si="6"/>
        <v>100</v>
      </c>
      <c r="O22" s="224">
        <f>IFERROR(VLOOKUP($A22,Features!$C$4:$X$25,8,0),0)</f>
        <v>10</v>
      </c>
      <c r="P22" s="224">
        <f t="shared" si="7"/>
        <v>100</v>
      </c>
      <c r="Q22" s="224">
        <f>IFERROR(VLOOKUP($A22,Features!$C$4:$X$25,9,0),0)</f>
        <v>6</v>
      </c>
      <c r="R22" s="224">
        <f t="shared" si="8"/>
        <v>100</v>
      </c>
      <c r="S22" s="224">
        <f>IFERROR(VLOOKUP($A22,Features!$C$4:$X$25,10,0),0)</f>
        <v>10</v>
      </c>
      <c r="T22" s="224">
        <f t="shared" si="9"/>
        <v>0</v>
      </c>
      <c r="U22" s="224">
        <f>IFERROR(VLOOKUP($A22,Features!$C$4:$X$25,11,0),0)</f>
        <v>0</v>
      </c>
      <c r="V22" s="224">
        <f t="shared" si="10"/>
        <v>0</v>
      </c>
      <c r="W22" s="224">
        <f>IFERROR(VLOOKUP($A22,Features!$C$4:$X$25,12,0),0)</f>
        <v>0</v>
      </c>
      <c r="X22" s="224">
        <f t="shared" si="11"/>
        <v>150</v>
      </c>
      <c r="Y22" s="224">
        <f>IFERROR(VLOOKUP($A22,Features!$C$4:$X$25,13,0),0)</f>
        <v>2</v>
      </c>
      <c r="Z22" s="224">
        <f t="shared" si="12"/>
        <v>150</v>
      </c>
      <c r="AA22" s="224">
        <f>IFERROR(VLOOKUP($A22,Features!$C$4:$X$25,14,0),0)</f>
        <v>2</v>
      </c>
      <c r="AB22" s="224">
        <f t="shared" si="13"/>
        <v>0</v>
      </c>
      <c r="AC22" s="224">
        <f>IFERROR(VLOOKUP($A22,Features!$C$4:$X$25,15,0),0)</f>
        <v>0</v>
      </c>
      <c r="AD22" s="224">
        <f t="shared" si="14"/>
        <v>0</v>
      </c>
      <c r="AE22" s="224">
        <f>IFERROR(VLOOKUP($A22,Features!$C$4:$X$25,16,0),0)</f>
        <v>0</v>
      </c>
      <c r="AF22" s="224">
        <f t="shared" si="15"/>
        <v>100</v>
      </c>
      <c r="AG22" s="224">
        <f>IFERROR(VLOOKUP($A22,Features!$C$4:$X$25,17,0),0)</f>
        <v>3</v>
      </c>
      <c r="AH22" s="224">
        <f t="shared" si="16"/>
        <v>0</v>
      </c>
      <c r="AI22" s="224">
        <f>IFERROR(VLOOKUP($A22,Features!$C$4:$X$25,18,0),0)</f>
        <v>0</v>
      </c>
      <c r="AJ22" s="224">
        <f t="shared" si="17"/>
        <v>100</v>
      </c>
      <c r="AK22" s="224">
        <f>IFERROR(VLOOKUP($A22,Features!$C$4:$X$25,19,0),0)</f>
        <v>9</v>
      </c>
      <c r="AL22" s="224">
        <f t="shared" si="18"/>
        <v>0</v>
      </c>
      <c r="AM22" s="224">
        <f>IFERROR(VLOOKUP($A22,Features!$C$4:$X$25,20,0),0)</f>
        <v>0</v>
      </c>
      <c r="AN22" s="224">
        <f t="shared" si="19"/>
        <v>0</v>
      </c>
      <c r="AO22" s="224">
        <f>IFERROR(VLOOKUP($A22,Features!$C$4:$X$25,21,0),0)</f>
        <v>0</v>
      </c>
    </row>
    <row r="23" spans="1:41" ht="20.149999999999999" customHeight="1" x14ac:dyDescent="0.3">
      <c r="A23" s="223" t="s">
        <v>38</v>
      </c>
      <c r="B23" s="224">
        <f t="shared" si="0"/>
        <v>0</v>
      </c>
      <c r="C23" s="224">
        <f>IFERROR(VLOOKUP($A23,Features!$C$4:$X$25,2,0),0)</f>
        <v>0</v>
      </c>
      <c r="D23" s="224">
        <f t="shared" si="1"/>
        <v>0</v>
      </c>
      <c r="E23" s="224">
        <f>IFERROR(VLOOKUP($A23,Features!$C$4:$X$25,3,0),0)</f>
        <v>0</v>
      </c>
      <c r="F23" s="224">
        <f t="shared" si="2"/>
        <v>0</v>
      </c>
      <c r="G23" s="224">
        <f>IFERROR(VLOOKUP($A23,Features!$C$4:$X$25,4,0),0)</f>
        <v>0</v>
      </c>
      <c r="H23" s="224">
        <f t="shared" si="3"/>
        <v>0</v>
      </c>
      <c r="I23" s="224">
        <f>IFERROR(VLOOKUP($A23,Features!$C$4:$X$25,5,0),0)</f>
        <v>0</v>
      </c>
      <c r="J23" s="224">
        <f t="shared" si="4"/>
        <v>100</v>
      </c>
      <c r="K23" s="224">
        <f>IFERROR(VLOOKUP($A23,Features!$C$4:$X$25,6,0),0)</f>
        <v>10</v>
      </c>
      <c r="L23" s="224">
        <f t="shared" si="5"/>
        <v>100</v>
      </c>
      <c r="M23" s="224">
        <f>IFERROR(VLOOKUP($A23,Features!$C$4:$X$25,7,0),0)</f>
        <v>10</v>
      </c>
      <c r="N23" s="224">
        <f t="shared" si="6"/>
        <v>100</v>
      </c>
      <c r="O23" s="224">
        <f>IFERROR(VLOOKUP($A23,Features!$C$4:$X$25,8,0),0)</f>
        <v>10</v>
      </c>
      <c r="P23" s="224">
        <f t="shared" si="7"/>
        <v>0</v>
      </c>
      <c r="Q23" s="224">
        <f>IFERROR(VLOOKUP($A23,Features!$C$4:$X$25,9,0),0)</f>
        <v>0</v>
      </c>
      <c r="R23" s="224">
        <f t="shared" si="8"/>
        <v>100</v>
      </c>
      <c r="S23" s="224">
        <f>IFERROR(VLOOKUP($A23,Features!$C$4:$X$25,10,0),0)</f>
        <v>10</v>
      </c>
      <c r="T23" s="224">
        <f t="shared" si="9"/>
        <v>0</v>
      </c>
      <c r="U23" s="224">
        <f>IFERROR(VLOOKUP($A23,Features!$C$4:$X$25,11,0),0)</f>
        <v>0</v>
      </c>
      <c r="V23" s="224">
        <f t="shared" si="10"/>
        <v>0</v>
      </c>
      <c r="W23" s="224">
        <f>IFERROR(VLOOKUP($A23,Features!$C$4:$X$25,12,0),0)</f>
        <v>0</v>
      </c>
      <c r="X23" s="224">
        <f t="shared" si="11"/>
        <v>0</v>
      </c>
      <c r="Y23" s="224">
        <f>IFERROR(VLOOKUP($A23,Features!$C$4:$X$25,13,0),0)</f>
        <v>0</v>
      </c>
      <c r="Z23" s="224">
        <f t="shared" si="12"/>
        <v>0</v>
      </c>
      <c r="AA23" s="224">
        <f>IFERROR(VLOOKUP($A23,Features!$C$4:$X$25,14,0),0)</f>
        <v>0</v>
      </c>
      <c r="AB23" s="224">
        <f t="shared" si="13"/>
        <v>0</v>
      </c>
      <c r="AC23" s="224">
        <f>IFERROR(VLOOKUP($A23,Features!$C$4:$X$25,15,0),0)</f>
        <v>0</v>
      </c>
      <c r="AD23" s="224">
        <f t="shared" si="14"/>
        <v>0</v>
      </c>
      <c r="AE23" s="224">
        <f>IFERROR(VLOOKUP($A23,Features!$C$4:$X$25,16,0),0)</f>
        <v>0</v>
      </c>
      <c r="AF23" s="224">
        <f t="shared" si="15"/>
        <v>0</v>
      </c>
      <c r="AG23" s="224">
        <f>IFERROR(VLOOKUP($A23,Features!$C$4:$X$25,17,0),0)</f>
        <v>0</v>
      </c>
      <c r="AH23" s="224">
        <f t="shared" si="16"/>
        <v>0</v>
      </c>
      <c r="AI23" s="224">
        <f>IFERROR(VLOOKUP($A23,Features!$C$4:$X$25,18,0),0)</f>
        <v>0</v>
      </c>
      <c r="AJ23" s="224">
        <f t="shared" si="17"/>
        <v>0</v>
      </c>
      <c r="AK23" s="224">
        <f>IFERROR(VLOOKUP($A23,Features!$C$4:$X$25,19,0),0)</f>
        <v>0</v>
      </c>
      <c r="AL23" s="224">
        <f t="shared" si="18"/>
        <v>0</v>
      </c>
      <c r="AM23" s="224">
        <f>IFERROR(VLOOKUP($A23,Features!$C$4:$X$25,20,0),0)</f>
        <v>0</v>
      </c>
      <c r="AN23" s="224">
        <f t="shared" si="19"/>
        <v>0</v>
      </c>
      <c r="AO23" s="224">
        <f>IFERROR(VLOOKUP($A23,Features!$C$4:$X$25,21,0),0)</f>
        <v>0</v>
      </c>
    </row>
    <row r="24" spans="1:41" ht="20.149999999999999" customHeight="1" x14ac:dyDescent="0.3">
      <c r="A24" s="223" t="s">
        <v>33</v>
      </c>
      <c r="B24" s="224">
        <f t="shared" si="0"/>
        <v>0</v>
      </c>
      <c r="C24" s="224">
        <f>IFERROR(VLOOKUP($A24,Features!$C$4:$X$25,2,0),0)</f>
        <v>0</v>
      </c>
      <c r="D24" s="224">
        <f t="shared" si="1"/>
        <v>0</v>
      </c>
      <c r="E24" s="224">
        <f>IFERROR(VLOOKUP($A24,Features!$C$4:$X$25,3,0),0)</f>
        <v>0</v>
      </c>
      <c r="F24" s="224">
        <f t="shared" si="2"/>
        <v>0</v>
      </c>
      <c r="G24" s="224">
        <f>IFERROR(VLOOKUP($A24,Features!$C$4:$X$25,4,0),0)</f>
        <v>0</v>
      </c>
      <c r="H24" s="224">
        <f t="shared" si="3"/>
        <v>0</v>
      </c>
      <c r="I24" s="224">
        <f>IFERROR(VLOOKUP($A24,Features!$C$4:$X$25,5,0),0)</f>
        <v>0</v>
      </c>
      <c r="J24" s="224">
        <f t="shared" si="4"/>
        <v>100</v>
      </c>
      <c r="K24" s="224">
        <f>IFERROR(VLOOKUP($A24,Features!$C$4:$X$25,6,0),0)</f>
        <v>10</v>
      </c>
      <c r="L24" s="224">
        <f t="shared" si="5"/>
        <v>100</v>
      </c>
      <c r="M24" s="224">
        <f>IFERROR(VLOOKUP($A24,Features!$C$4:$X$25,7,0),0)</f>
        <v>10</v>
      </c>
      <c r="N24" s="224">
        <f t="shared" si="6"/>
        <v>100</v>
      </c>
      <c r="O24" s="224">
        <f>IFERROR(VLOOKUP($A24,Features!$C$4:$X$25,8,0),0)</f>
        <v>10</v>
      </c>
      <c r="P24" s="224">
        <f t="shared" si="7"/>
        <v>0</v>
      </c>
      <c r="Q24" s="224">
        <f>IFERROR(VLOOKUP($A24,Features!$C$4:$X$25,9,0),0)</f>
        <v>0</v>
      </c>
      <c r="R24" s="224">
        <f t="shared" si="8"/>
        <v>100</v>
      </c>
      <c r="S24" s="224">
        <f>IFERROR(VLOOKUP($A24,Features!$C$4:$X$25,10,0),0)</f>
        <v>10</v>
      </c>
      <c r="T24" s="224">
        <f t="shared" si="9"/>
        <v>0</v>
      </c>
      <c r="U24" s="224">
        <f>IFERROR(VLOOKUP($A24,Features!$C$4:$X$25,11,0),0)</f>
        <v>0</v>
      </c>
      <c r="V24" s="224">
        <f t="shared" si="10"/>
        <v>0</v>
      </c>
      <c r="W24" s="224">
        <f>IFERROR(VLOOKUP($A24,Features!$C$4:$X$25,12,0),0)</f>
        <v>0</v>
      </c>
      <c r="X24" s="224">
        <f t="shared" si="11"/>
        <v>0</v>
      </c>
      <c r="Y24" s="224">
        <f>IFERROR(VLOOKUP($A24,Features!$C$4:$X$25,13,0),0)</f>
        <v>0</v>
      </c>
      <c r="Z24" s="224">
        <f t="shared" si="12"/>
        <v>0</v>
      </c>
      <c r="AA24" s="224">
        <f>IFERROR(VLOOKUP($A24,Features!$C$4:$X$25,14,0),0)</f>
        <v>0</v>
      </c>
      <c r="AB24" s="224">
        <f t="shared" si="13"/>
        <v>0</v>
      </c>
      <c r="AC24" s="224">
        <f>IFERROR(VLOOKUP($A24,Features!$C$4:$X$25,15,0),0)</f>
        <v>0</v>
      </c>
      <c r="AD24" s="224">
        <f t="shared" si="14"/>
        <v>0</v>
      </c>
      <c r="AE24" s="224">
        <f>IFERROR(VLOOKUP($A24,Features!$C$4:$X$25,16,0),0)</f>
        <v>0</v>
      </c>
      <c r="AF24" s="224">
        <f t="shared" si="15"/>
        <v>0</v>
      </c>
      <c r="AG24" s="224">
        <f>IFERROR(VLOOKUP($A24,Features!$C$4:$X$25,17,0),0)</f>
        <v>0</v>
      </c>
      <c r="AH24" s="224">
        <f t="shared" si="16"/>
        <v>0</v>
      </c>
      <c r="AI24" s="224">
        <f>IFERROR(VLOOKUP($A24,Features!$C$4:$X$25,18,0),0)</f>
        <v>0</v>
      </c>
      <c r="AJ24" s="224">
        <f t="shared" si="17"/>
        <v>100</v>
      </c>
      <c r="AK24" s="224">
        <f>IFERROR(VLOOKUP($A24,Features!$C$4:$X$25,19,0),0)</f>
        <v>6</v>
      </c>
      <c r="AL24" s="224">
        <f t="shared" si="18"/>
        <v>0</v>
      </c>
      <c r="AM24" s="224">
        <f>IFERROR(VLOOKUP($A24,Features!$C$4:$X$25,20,0),0)</f>
        <v>0</v>
      </c>
      <c r="AN24" s="224">
        <f t="shared" si="19"/>
        <v>500</v>
      </c>
      <c r="AO24" s="224">
        <f>IFERROR(VLOOKUP($A24,Features!$C$4:$X$25,21,0),0)</f>
        <v>9</v>
      </c>
    </row>
    <row r="25" spans="1:41" ht="20.149999999999999" customHeight="1" x14ac:dyDescent="0.3">
      <c r="A25" s="223" t="s">
        <v>37</v>
      </c>
      <c r="B25" s="224">
        <f t="shared" si="0"/>
        <v>0</v>
      </c>
      <c r="C25" s="224">
        <f>IFERROR(VLOOKUP($A25,Features!$C$4:$X$25,2,0),0)</f>
        <v>0</v>
      </c>
      <c r="D25" s="224">
        <f t="shared" si="1"/>
        <v>0</v>
      </c>
      <c r="E25" s="224">
        <f>IFERROR(VLOOKUP($A25,Features!$C$4:$X$25,3,0),0)</f>
        <v>0</v>
      </c>
      <c r="F25" s="224">
        <f t="shared" si="2"/>
        <v>0</v>
      </c>
      <c r="G25" s="224">
        <f>IFERROR(VLOOKUP($A25,Features!$C$4:$X$25,4,0),0)</f>
        <v>0</v>
      </c>
      <c r="H25" s="224">
        <f t="shared" si="3"/>
        <v>0</v>
      </c>
      <c r="I25" s="224">
        <f>IFERROR(VLOOKUP($A25,Features!$C$4:$X$25,5,0),0)</f>
        <v>0</v>
      </c>
      <c r="J25" s="224">
        <f t="shared" si="4"/>
        <v>100</v>
      </c>
      <c r="K25" s="224">
        <f>IFERROR(VLOOKUP($A25,Features!$C$4:$X$25,6,0),0)</f>
        <v>4</v>
      </c>
      <c r="L25" s="224">
        <f t="shared" si="5"/>
        <v>100</v>
      </c>
      <c r="M25" s="224">
        <f>IFERROR(VLOOKUP($A25,Features!$C$4:$X$25,7,0),0)</f>
        <v>4</v>
      </c>
      <c r="N25" s="224">
        <f t="shared" si="6"/>
        <v>100</v>
      </c>
      <c r="O25" s="224">
        <f>IFERROR(VLOOKUP($A25,Features!$C$4:$X$25,8,0),0)</f>
        <v>4</v>
      </c>
      <c r="P25" s="224">
        <f t="shared" si="7"/>
        <v>0</v>
      </c>
      <c r="Q25" s="224">
        <f>IFERROR(VLOOKUP($A25,Features!$C$4:$X$25,9,0),0)</f>
        <v>0</v>
      </c>
      <c r="R25" s="224">
        <f t="shared" si="8"/>
        <v>0</v>
      </c>
      <c r="S25" s="224">
        <f>IFERROR(VLOOKUP($A25,Features!$C$4:$X$25,10,0),0)</f>
        <v>0</v>
      </c>
      <c r="T25" s="224">
        <f t="shared" si="9"/>
        <v>250</v>
      </c>
      <c r="U25" s="224">
        <f>IFERROR(VLOOKUP($A25,Features!$C$4:$X$25,11,0),0)</f>
        <v>4</v>
      </c>
      <c r="V25" s="224">
        <f t="shared" si="10"/>
        <v>0</v>
      </c>
      <c r="W25" s="224">
        <f>IFERROR(VLOOKUP($A25,Features!$C$4:$X$25,12,0),0)</f>
        <v>0</v>
      </c>
      <c r="X25" s="224">
        <f t="shared" si="11"/>
        <v>0</v>
      </c>
      <c r="Y25" s="224">
        <f>IFERROR(VLOOKUP($A25,Features!$C$4:$X$25,13,0),0)</f>
        <v>0</v>
      </c>
      <c r="Z25" s="224">
        <f t="shared" si="12"/>
        <v>0</v>
      </c>
      <c r="AA25" s="224">
        <f>IFERROR(VLOOKUP($A25,Features!$C$4:$X$25,14,0),0)</f>
        <v>0</v>
      </c>
      <c r="AB25" s="224">
        <f t="shared" si="13"/>
        <v>0</v>
      </c>
      <c r="AC25" s="224">
        <f>IFERROR(VLOOKUP($A25,Features!$C$4:$X$25,15,0),0)</f>
        <v>0</v>
      </c>
      <c r="AD25" s="224">
        <f t="shared" si="14"/>
        <v>0</v>
      </c>
      <c r="AE25" s="224">
        <f>IFERROR(VLOOKUP($A25,Features!$C$4:$X$25,16,0),0)</f>
        <v>0</v>
      </c>
      <c r="AF25" s="224">
        <f t="shared" si="15"/>
        <v>0</v>
      </c>
      <c r="AG25" s="224">
        <f>IFERROR(VLOOKUP($A25,Features!$C$4:$X$25,17,0),0)</f>
        <v>0</v>
      </c>
      <c r="AH25" s="224">
        <f t="shared" si="16"/>
        <v>0</v>
      </c>
      <c r="AI25" s="224">
        <f>IFERROR(VLOOKUP($A25,Features!$C$4:$X$25,18,0),0)</f>
        <v>0</v>
      </c>
      <c r="AJ25" s="224">
        <f t="shared" si="17"/>
        <v>0</v>
      </c>
      <c r="AK25" s="224">
        <f>IFERROR(VLOOKUP($A25,Features!$C$4:$X$25,19,0),0)</f>
        <v>0</v>
      </c>
      <c r="AL25" s="224">
        <f t="shared" si="18"/>
        <v>0</v>
      </c>
      <c r="AM25" s="224">
        <f>IFERROR(VLOOKUP($A25,Features!$C$4:$X$25,20,0),0)</f>
        <v>0</v>
      </c>
      <c r="AN25" s="224">
        <f t="shared" si="19"/>
        <v>0</v>
      </c>
      <c r="AO25" s="224">
        <f>IFERROR(VLOOKUP($A25,Features!$C$4:$X$25,21,0),0)</f>
        <v>0</v>
      </c>
    </row>
    <row r="26" spans="1:41" x14ac:dyDescent="0.3">
      <c r="A26" s="223" t="s">
        <v>39</v>
      </c>
      <c r="B26" s="224">
        <f t="shared" si="0"/>
        <v>0</v>
      </c>
      <c r="C26" s="224">
        <f>IFERROR(VLOOKUP($A26,Features!$C$4:$X$25,2,0),0)</f>
        <v>0</v>
      </c>
      <c r="D26" s="224">
        <f t="shared" si="1"/>
        <v>0</v>
      </c>
      <c r="E26" s="224">
        <f>IFERROR(VLOOKUP($A26,Features!$C$4:$X$25,3,0),0)</f>
        <v>0</v>
      </c>
      <c r="F26" s="224">
        <f t="shared" si="2"/>
        <v>0</v>
      </c>
      <c r="G26" s="224">
        <f>IFERROR(VLOOKUP($A26,Features!$C$4:$X$25,4,0),0)</f>
        <v>0</v>
      </c>
      <c r="H26" s="224">
        <f t="shared" si="3"/>
        <v>0</v>
      </c>
      <c r="I26" s="224">
        <f>IFERROR(VLOOKUP($A26,Features!$C$4:$X$25,5,0),0)</f>
        <v>0</v>
      </c>
      <c r="J26" s="224">
        <f t="shared" si="4"/>
        <v>0</v>
      </c>
      <c r="K26" s="224">
        <f>IFERROR(VLOOKUP($A26,Features!$C$4:$X$25,6,0),0)</f>
        <v>0</v>
      </c>
      <c r="L26" s="224">
        <f t="shared" si="5"/>
        <v>0</v>
      </c>
      <c r="M26" s="224">
        <f>IFERROR(VLOOKUP($A26,Features!$C$4:$X$25,7,0),0)</f>
        <v>0</v>
      </c>
      <c r="N26" s="224">
        <f t="shared" si="6"/>
        <v>0</v>
      </c>
      <c r="O26" s="224">
        <f>IFERROR(VLOOKUP($A26,Features!$C$4:$X$25,8,0),0)</f>
        <v>0</v>
      </c>
      <c r="P26" s="224">
        <f t="shared" si="7"/>
        <v>0</v>
      </c>
      <c r="Q26" s="224">
        <f>IFERROR(VLOOKUP($A26,Features!$C$4:$X$25,9,0),0)</f>
        <v>0</v>
      </c>
      <c r="R26" s="224">
        <f t="shared" si="8"/>
        <v>0</v>
      </c>
      <c r="S26" s="224">
        <f>IFERROR(VLOOKUP($A26,Features!$C$4:$X$25,10,0),0)</f>
        <v>0</v>
      </c>
      <c r="T26" s="224">
        <f t="shared" si="9"/>
        <v>0</v>
      </c>
      <c r="U26" s="224">
        <f>IFERROR(VLOOKUP($A26,Features!$C$4:$X$25,11,0),0)</f>
        <v>0</v>
      </c>
      <c r="V26" s="224">
        <f t="shared" si="10"/>
        <v>0</v>
      </c>
      <c r="W26" s="224">
        <f>IFERROR(VLOOKUP($A26,Features!$C$4:$X$25,12,0),0)</f>
        <v>0</v>
      </c>
      <c r="X26" s="224">
        <f t="shared" si="11"/>
        <v>0</v>
      </c>
      <c r="Y26" s="224">
        <f>IFERROR(VLOOKUP($A26,Features!$C$4:$X$25,13,0),0)</f>
        <v>0</v>
      </c>
      <c r="Z26" s="224">
        <f t="shared" si="12"/>
        <v>0</v>
      </c>
      <c r="AA26" s="224">
        <f>IFERROR(VLOOKUP($A26,Features!$C$4:$X$25,14,0),0)</f>
        <v>0</v>
      </c>
      <c r="AB26" s="224">
        <f t="shared" si="13"/>
        <v>0</v>
      </c>
      <c r="AC26" s="224">
        <f>IFERROR(VLOOKUP($A26,Features!$C$4:$X$25,15,0),0)</f>
        <v>0</v>
      </c>
      <c r="AD26" s="224">
        <f t="shared" si="14"/>
        <v>0</v>
      </c>
      <c r="AE26" s="224">
        <f>IFERROR(VLOOKUP($A26,Features!$C$4:$X$25,16,0),0)</f>
        <v>0</v>
      </c>
      <c r="AF26" s="224">
        <f t="shared" si="15"/>
        <v>0</v>
      </c>
      <c r="AG26" s="224">
        <f>IFERROR(VLOOKUP($A26,Features!$C$4:$X$25,17,0),0)</f>
        <v>0</v>
      </c>
      <c r="AH26" s="224">
        <f t="shared" si="16"/>
        <v>0</v>
      </c>
      <c r="AI26" s="224">
        <f>IFERROR(VLOOKUP($A26,Features!$C$4:$X$25,18,0),0)</f>
        <v>0</v>
      </c>
      <c r="AJ26" s="224">
        <f t="shared" si="17"/>
        <v>0</v>
      </c>
      <c r="AK26" s="224">
        <f>IFERROR(VLOOKUP($A26,Features!$C$4:$X$25,19,0),0)</f>
        <v>0</v>
      </c>
      <c r="AL26" s="224">
        <f t="shared" si="18"/>
        <v>0</v>
      </c>
      <c r="AM26" s="224">
        <f>IFERROR(VLOOKUP($A26,Features!$C$4:$X$25,20,0),0)</f>
        <v>0</v>
      </c>
      <c r="AN26" s="224">
        <f t="shared" si="19"/>
        <v>0</v>
      </c>
      <c r="AO26" s="224">
        <f>IFERROR(VLOOKUP($A26,Features!$C$4:$X$25,21,0),0)</f>
        <v>0</v>
      </c>
    </row>
    <row r="27" spans="1:41" x14ac:dyDescent="0.3">
      <c r="A27" s="223" t="s">
        <v>202</v>
      </c>
      <c r="B27" s="224">
        <f t="shared" si="0"/>
        <v>0</v>
      </c>
      <c r="C27" s="224">
        <f>IFERROR(VLOOKUP($A27,Features!$C$4:$X$25,2,0),0)</f>
        <v>0</v>
      </c>
      <c r="D27" s="224">
        <f t="shared" si="1"/>
        <v>0</v>
      </c>
      <c r="E27" s="224">
        <f>IFERROR(VLOOKUP($A27,Features!$C$4:$X$25,3,0),0)</f>
        <v>0</v>
      </c>
      <c r="F27" s="224">
        <f t="shared" si="2"/>
        <v>0</v>
      </c>
      <c r="G27" s="224">
        <f>IFERROR(VLOOKUP($A27,Features!$C$4:$X$25,4,0),0)</f>
        <v>0</v>
      </c>
      <c r="H27" s="224">
        <f t="shared" si="3"/>
        <v>0</v>
      </c>
      <c r="I27" s="224">
        <f>IFERROR(VLOOKUP($A27,Features!$C$4:$X$25,5,0),0)</f>
        <v>0</v>
      </c>
      <c r="J27" s="224">
        <f t="shared" si="4"/>
        <v>0</v>
      </c>
      <c r="K27" s="224">
        <f>IFERROR(VLOOKUP($A27,Features!$C$4:$X$25,6,0),0)</f>
        <v>0</v>
      </c>
      <c r="L27" s="224">
        <f t="shared" si="5"/>
        <v>0</v>
      </c>
      <c r="M27" s="224">
        <f>IFERROR(VLOOKUP($A27,Features!$C$4:$X$25,7,0),0)</f>
        <v>0</v>
      </c>
      <c r="N27" s="224">
        <f t="shared" si="6"/>
        <v>0</v>
      </c>
      <c r="O27" s="224">
        <f>IFERROR(VLOOKUP($A27,Features!$C$4:$X$25,8,0),0)</f>
        <v>0</v>
      </c>
      <c r="P27" s="224">
        <f t="shared" si="7"/>
        <v>0</v>
      </c>
      <c r="Q27" s="224">
        <f>IFERROR(VLOOKUP($A27,Features!$C$4:$X$25,9,0),0)</f>
        <v>0</v>
      </c>
      <c r="R27" s="224">
        <f t="shared" si="8"/>
        <v>0</v>
      </c>
      <c r="S27" s="224">
        <f>IFERROR(VLOOKUP($A27,Features!$C$4:$X$25,10,0),0)</f>
        <v>0</v>
      </c>
      <c r="T27" s="224">
        <f t="shared" si="9"/>
        <v>0</v>
      </c>
      <c r="U27" s="224">
        <f>IFERROR(VLOOKUP($A27,Features!$C$4:$X$25,11,0),0)</f>
        <v>0</v>
      </c>
      <c r="V27" s="224">
        <f t="shared" si="10"/>
        <v>0</v>
      </c>
      <c r="W27" s="224">
        <f>IFERROR(VLOOKUP($A27,Features!$C$4:$X$25,12,0),0)</f>
        <v>0</v>
      </c>
      <c r="X27" s="224">
        <f t="shared" si="11"/>
        <v>0</v>
      </c>
      <c r="Y27" s="224">
        <f>IFERROR(VLOOKUP($A27,Features!$C$4:$X$25,13,0),0)</f>
        <v>0</v>
      </c>
      <c r="Z27" s="224">
        <f t="shared" si="12"/>
        <v>0</v>
      </c>
      <c r="AA27" s="224">
        <f>IFERROR(VLOOKUP($A27,Features!$C$4:$X$25,14,0),0)</f>
        <v>0</v>
      </c>
      <c r="AB27" s="224">
        <f t="shared" si="13"/>
        <v>0</v>
      </c>
      <c r="AC27" s="224">
        <f>IFERROR(VLOOKUP($A27,Features!$C$4:$X$25,15,0),0)</f>
        <v>0</v>
      </c>
      <c r="AD27" s="224">
        <f t="shared" si="14"/>
        <v>0</v>
      </c>
      <c r="AE27" s="224">
        <f>IFERROR(VLOOKUP($A27,Features!$C$4:$X$25,16,0),0)</f>
        <v>0</v>
      </c>
      <c r="AF27" s="224">
        <f t="shared" si="15"/>
        <v>0</v>
      </c>
      <c r="AG27" s="224">
        <f>IFERROR(VLOOKUP($A27,Features!$C$4:$X$25,17,0),0)</f>
        <v>0</v>
      </c>
      <c r="AH27" s="224">
        <f t="shared" si="16"/>
        <v>0</v>
      </c>
      <c r="AI27" s="224">
        <f>IFERROR(VLOOKUP($A27,Features!$C$4:$X$25,18,0),0)</f>
        <v>0</v>
      </c>
      <c r="AJ27" s="224">
        <f t="shared" si="17"/>
        <v>0</v>
      </c>
      <c r="AK27" s="224">
        <f>IFERROR(VLOOKUP($A27,Features!$C$4:$X$25,19,0),0)</f>
        <v>0</v>
      </c>
      <c r="AL27" s="224">
        <f t="shared" si="18"/>
        <v>0</v>
      </c>
      <c r="AM27" s="224">
        <f>IFERROR(VLOOKUP($A27,Features!$C$4:$X$25,20,0),0)</f>
        <v>0</v>
      </c>
      <c r="AN27" s="224">
        <f t="shared" si="19"/>
        <v>0</v>
      </c>
      <c r="AO27" s="224">
        <f>IFERROR(VLOOKUP($A27,Features!$C$4:$X$25,21,0),0)</f>
        <v>0</v>
      </c>
    </row>
  </sheetData>
  <mergeCells count="26">
    <mergeCell ref="A1:A3"/>
    <mergeCell ref="B1:I1"/>
    <mergeCell ref="J1:Q1"/>
    <mergeCell ref="R1:Y1"/>
    <mergeCell ref="J2:K2"/>
    <mergeCell ref="L2:M2"/>
    <mergeCell ref="N2:O2"/>
    <mergeCell ref="P2:Q2"/>
    <mergeCell ref="R2:S2"/>
    <mergeCell ref="V2:W2"/>
    <mergeCell ref="X2:Y2"/>
    <mergeCell ref="Z1:AE1"/>
    <mergeCell ref="AF1:AO1"/>
    <mergeCell ref="B2:C2"/>
    <mergeCell ref="D2:E2"/>
    <mergeCell ref="F2:G2"/>
    <mergeCell ref="H2:I2"/>
    <mergeCell ref="T2:U2"/>
    <mergeCell ref="AH2:AI2"/>
    <mergeCell ref="AJ2:AK2"/>
    <mergeCell ref="AL2:AM2"/>
    <mergeCell ref="AN2:AO2"/>
    <mergeCell ref="Z2:AA2"/>
    <mergeCell ref="AB2:AC2"/>
    <mergeCell ref="AD2:AE2"/>
    <mergeCell ref="AF2:AG2"/>
  </mergeCells>
  <phoneticPr fontId="5" type="noConversion"/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7F3B-FA1C-4511-882C-8883A72B0832}">
  <sheetPr>
    <tabColor theme="1" tint="0.34998626667073579"/>
  </sheetPr>
  <dimension ref="A1:P46"/>
  <sheetViews>
    <sheetView topLeftCell="A2" zoomScale="85" zoomScaleNormal="85" workbookViewId="0">
      <selection activeCell="H39" sqref="H39"/>
    </sheetView>
  </sheetViews>
  <sheetFormatPr defaultColWidth="9" defaultRowHeight="13" x14ac:dyDescent="0.3"/>
  <cols>
    <col min="1" max="1" width="17" style="40" bestFit="1" customWidth="1"/>
    <col min="2" max="2" width="15.58203125" style="40" customWidth="1"/>
    <col min="3" max="3" width="14" style="40" customWidth="1"/>
    <col min="4" max="4" width="13" style="40" customWidth="1"/>
    <col min="5" max="5" width="11.9140625" style="40" customWidth="1"/>
    <col min="6" max="6" width="13.6640625" style="40" customWidth="1"/>
    <col min="7" max="7" width="9" style="40" customWidth="1"/>
    <col min="8" max="11" width="13.6640625" style="40" customWidth="1"/>
    <col min="12" max="12" width="10.6640625" style="40" customWidth="1"/>
    <col min="13" max="13" width="11" style="40" bestFit="1" customWidth="1"/>
    <col min="14" max="16384" width="9" style="40"/>
  </cols>
  <sheetData>
    <row r="1" spans="1:16" ht="13.5" hidden="1" thickBot="1" x14ac:dyDescent="0.35">
      <c r="A1" s="38"/>
      <c r="B1" s="38" t="s">
        <v>45</v>
      </c>
      <c r="C1" s="376"/>
      <c r="D1" s="377"/>
      <c r="E1" s="377"/>
      <c r="F1" s="377"/>
      <c r="G1" s="377"/>
      <c r="H1" s="377"/>
      <c r="I1" s="377"/>
      <c r="J1" s="377"/>
      <c r="K1" s="377"/>
      <c r="L1" s="39"/>
      <c r="M1" s="39"/>
    </row>
    <row r="2" spans="1:16" ht="39" x14ac:dyDescent="0.3">
      <c r="A2" s="378" t="s">
        <v>0</v>
      </c>
      <c r="B2" s="41" t="s">
        <v>46</v>
      </c>
      <c r="C2" s="42" t="s">
        <v>47</v>
      </c>
      <c r="D2" s="43" t="s">
        <v>48</v>
      </c>
      <c r="E2" s="43" t="s">
        <v>48</v>
      </c>
      <c r="F2" s="43" t="s">
        <v>49</v>
      </c>
      <c r="G2" s="43" t="s">
        <v>49</v>
      </c>
      <c r="H2" s="44" t="s">
        <v>50</v>
      </c>
      <c r="I2" s="44" t="s">
        <v>50</v>
      </c>
      <c r="J2" s="45" t="s">
        <v>51</v>
      </c>
      <c r="K2" s="46" t="s">
        <v>51</v>
      </c>
      <c r="L2" s="379" t="s">
        <v>52</v>
      </c>
      <c r="M2" s="381" t="s">
        <v>53</v>
      </c>
    </row>
    <row r="3" spans="1:16" x14ac:dyDescent="0.3">
      <c r="A3" s="378"/>
      <c r="B3" s="47">
        <f>C3</f>
        <v>0.3</v>
      </c>
      <c r="C3" s="48">
        <v>0.3</v>
      </c>
      <c r="D3" s="49">
        <v>0.3</v>
      </c>
      <c r="E3" s="49">
        <v>0.3</v>
      </c>
      <c r="F3" s="49">
        <v>0.4</v>
      </c>
      <c r="G3" s="49">
        <v>0.4</v>
      </c>
      <c r="H3" s="50">
        <v>0.3</v>
      </c>
      <c r="I3" s="50">
        <v>0.3</v>
      </c>
      <c r="J3" s="51">
        <v>0.3</v>
      </c>
      <c r="K3" s="52">
        <v>0.3</v>
      </c>
      <c r="L3" s="380"/>
      <c r="M3" s="382"/>
    </row>
    <row r="4" spans="1:16" x14ac:dyDescent="0.3">
      <c r="A4" s="53" t="s">
        <v>24</v>
      </c>
      <c r="B4" s="54">
        <f>IFERROR((C4-C$27)/C$28*20+100,"n/a")</f>
        <v>117.15237142168274</v>
      </c>
      <c r="C4" s="54">
        <f>D$3*D4+F$3*F4+J$3*J4</f>
        <v>74.102426869181684</v>
      </c>
      <c r="D4" s="55">
        <f>IFERROR(E4/MAX(E$4,E$6,E$7,E$15,E$16,E$17,E$18,E$21)*100,"n/a")</f>
        <v>100</v>
      </c>
      <c r="E4" s="56">
        <v>2.8401640108098034</v>
      </c>
      <c r="F4" s="55">
        <f>IFERROR(G4/MAX(G$4,G$6,G$7,G$15,G$16,G$17,G$18,G$21)*100,"n/a")</f>
        <v>100</v>
      </c>
      <c r="G4" s="57">
        <v>0.27690318855035467</v>
      </c>
      <c r="H4" s="58" t="str">
        <f t="shared" ref="H4:H11" si="0">IFERROR(I4/MAX(I$4:I$21)*100,"n/a")</f>
        <v>n/a</v>
      </c>
      <c r="I4" s="57" t="s">
        <v>54</v>
      </c>
      <c r="J4" s="55">
        <f t="shared" ref="J4:J25" si="1">IFERROR(K4/MAX(K$4:K$21)*100,"n/a")</f>
        <v>13.674756230605634</v>
      </c>
      <c r="K4" s="59">
        <v>8.3496412263535554E-3</v>
      </c>
      <c r="L4" s="60"/>
      <c r="M4" s="61"/>
      <c r="P4" s="62"/>
    </row>
    <row r="5" spans="1:16" x14ac:dyDescent="0.3">
      <c r="A5" s="63" t="s">
        <v>18</v>
      </c>
      <c r="B5" s="54">
        <f>IFERROR((C5-C$27)/C$28*20+100,"n/a")</f>
        <v>110.28019962352595</v>
      </c>
      <c r="C5" s="54">
        <f>D$3*D5+F$3*F5+H$3*H5</f>
        <v>65.810638199195083</v>
      </c>
      <c r="D5" s="55">
        <f>IFERROR(E5/MAX(E$5,E$8,E$10,E$11,E$13,E$14)*100,"n/a")</f>
        <v>65.48407093637087</v>
      </c>
      <c r="E5" s="56">
        <v>2.4117362329329879</v>
      </c>
      <c r="F5" s="55">
        <f>IFERROR(G5/MAX(G$5,G$8,G$10,G$11,G$13,G$14)*100,"n/a")</f>
        <v>65.484162250526509</v>
      </c>
      <c r="G5" s="57">
        <v>0.27375744530667911</v>
      </c>
      <c r="H5" s="55">
        <f t="shared" si="0"/>
        <v>66.572506726910717</v>
      </c>
      <c r="I5" s="57">
        <v>5.6781126506550303E-2</v>
      </c>
      <c r="J5" s="58" t="str">
        <f t="shared" si="1"/>
        <v>n/a</v>
      </c>
      <c r="K5" s="59" t="s">
        <v>54</v>
      </c>
      <c r="L5" s="64"/>
      <c r="M5" s="61"/>
      <c r="P5" s="62"/>
    </row>
    <row r="6" spans="1:16" x14ac:dyDescent="0.3">
      <c r="A6" s="53" t="s">
        <v>27</v>
      </c>
      <c r="B6" s="54">
        <f>IFERROR((C6-C$27)/C$28*20+100,"n/a")</f>
        <v>102.59594236763878</v>
      </c>
      <c r="C6" s="54">
        <f>D$3*D6+F$3*F6+J$3*J6</f>
        <v>56.539007756440867</v>
      </c>
      <c r="D6" s="55">
        <f>IFERROR(E6/MAX(E$4,E$6,E$7,E$15,E$16,E$17,E$18,E$21)*100,"n/a")</f>
        <v>86.164373469546703</v>
      </c>
      <c r="E6" s="56">
        <v>2.4472095254218158</v>
      </c>
      <c r="F6" s="55">
        <f>IFERROR(G6/MAX(G$4,G$6,G$7,G$15,G$16,G$17,G$18,G$21)*100,"n/a")</f>
        <v>62.930630874791795</v>
      </c>
      <c r="G6" s="57">
        <v>0.17425692346715244</v>
      </c>
      <c r="H6" s="58" t="str">
        <f t="shared" si="0"/>
        <v>n/a</v>
      </c>
      <c r="I6" s="57" t="s">
        <v>54</v>
      </c>
      <c r="J6" s="55">
        <f t="shared" si="1"/>
        <v>18.391477885533799</v>
      </c>
      <c r="K6" s="59">
        <v>1.1229614581569888E-2</v>
      </c>
      <c r="L6" s="60"/>
      <c r="M6" s="61"/>
      <c r="P6" s="62"/>
    </row>
    <row r="7" spans="1:16" x14ac:dyDescent="0.3">
      <c r="A7" s="53" t="s">
        <v>55</v>
      </c>
      <c r="B7" s="54">
        <f>IFERROR((C7-C$27)/C$28*20+100,"n/a")</f>
        <v>120.4949399495402</v>
      </c>
      <c r="C7" s="54">
        <f>D$3*D7+F$3*F7+J$3*J7</f>
        <v>78.135485509446767</v>
      </c>
      <c r="D7" s="55">
        <f>IFERROR(E7/MAX(E$4,E$6,E$7,E$15,E$16,E$17,E$18,E$21)*100,"n/a")</f>
        <v>60.700382237132956</v>
      </c>
      <c r="E7" s="56">
        <v>1.7239904107230368</v>
      </c>
      <c r="F7" s="55">
        <f>IFERROR(G7/MAX(G$4,G$6,G$7,G$15,G$16,G$17,G$18,G$21)*100,"n/a")</f>
        <v>74.81342709576721</v>
      </c>
      <c r="G7" s="57">
        <v>0.20716076509197442</v>
      </c>
      <c r="H7" s="58" t="str">
        <f t="shared" si="0"/>
        <v>n/a</v>
      </c>
      <c r="I7" s="57" t="s">
        <v>54</v>
      </c>
      <c r="J7" s="55">
        <f t="shared" si="1"/>
        <v>100</v>
      </c>
      <c r="K7" s="59">
        <v>6.1058793923259295E-2</v>
      </c>
      <c r="L7" s="64"/>
      <c r="M7" s="61"/>
      <c r="P7" s="62"/>
    </row>
    <row r="8" spans="1:16" x14ac:dyDescent="0.3">
      <c r="A8" s="63" t="s">
        <v>19</v>
      </c>
      <c r="B8" s="54">
        <f>IFERROR((C8-C$27)/C$28*20+100,"n/a")</f>
        <v>113.41644486159836</v>
      </c>
      <c r="C8" s="54">
        <f>D$3*D8+F$3*F8+H$3*H8</f>
        <v>69.594752376655435</v>
      </c>
      <c r="D8" s="55">
        <f>IFERROR(E8/MAX(E$5,E$8,E$10,E$11,E$13,E$14)*100,"n/a")</f>
        <v>71.792836952897147</v>
      </c>
      <c r="E8" s="56">
        <v>2.6440840294213408</v>
      </c>
      <c r="F8" s="55">
        <f>IFERROR(G8/MAX(G$5,G$8,G$10,G$11,G$13,G$14)*100,"n/a")</f>
        <v>64.840550136913905</v>
      </c>
      <c r="G8" s="57">
        <v>0.27106681597073451</v>
      </c>
      <c r="H8" s="55">
        <f t="shared" si="0"/>
        <v>73.735604120069127</v>
      </c>
      <c r="I8" s="57">
        <v>6.2890686732787887E-2</v>
      </c>
      <c r="J8" s="58" t="str">
        <f t="shared" si="1"/>
        <v>n/a</v>
      </c>
      <c r="K8" s="59" t="s">
        <v>54</v>
      </c>
      <c r="L8" s="65"/>
      <c r="M8" s="66"/>
      <c r="P8" s="62"/>
    </row>
    <row r="9" spans="1:16" x14ac:dyDescent="0.3">
      <c r="A9" s="53" t="s">
        <v>32</v>
      </c>
      <c r="B9" s="67" t="s">
        <v>54</v>
      </c>
      <c r="C9" s="67" t="s">
        <v>54</v>
      </c>
      <c r="D9" s="67" t="str">
        <f>IFERROR(E9/MAX(E$4:E$21)*100,"n/a")</f>
        <v>n/a</v>
      </c>
      <c r="E9" s="67" t="s">
        <v>54</v>
      </c>
      <c r="F9" s="67" t="str">
        <f>IFERROR(G9/MAX(G$4:G$21)*100,"n/a")</f>
        <v>n/a</v>
      </c>
      <c r="G9" s="67" t="s">
        <v>54</v>
      </c>
      <c r="H9" s="67" t="str">
        <f t="shared" si="0"/>
        <v>n/a</v>
      </c>
      <c r="I9" s="67" t="s">
        <v>54</v>
      </c>
      <c r="J9" s="67" t="str">
        <f t="shared" si="1"/>
        <v>n/a</v>
      </c>
      <c r="K9" s="68" t="s">
        <v>54</v>
      </c>
      <c r="L9" s="69" t="s">
        <v>54</v>
      </c>
      <c r="M9" s="70" t="s">
        <v>54</v>
      </c>
      <c r="P9" s="62"/>
    </row>
    <row r="10" spans="1:16" x14ac:dyDescent="0.3">
      <c r="A10" s="63" t="s">
        <v>20</v>
      </c>
      <c r="B10" s="54">
        <f t="shared" ref="B10:B21" si="2">IFERROR((C10-C$27)/C$28*20+100,"n/a")</f>
        <v>108.43697160742731</v>
      </c>
      <c r="C10" s="54">
        <f>D$3*D10+F$3*F10+H$3*H10</f>
        <v>63.586645896763429</v>
      </c>
      <c r="D10" s="55">
        <f>IFERROR(E10/MAX(E$5,E$8,E$10,E$11,E$13,E$14)*100,"n/a")</f>
        <v>100</v>
      </c>
      <c r="E10" s="56">
        <v>3.6829357100849882</v>
      </c>
      <c r="F10" s="55">
        <f>IFERROR(G10/MAX(G$5,G$8,G$10,G$11,G$13,G$14)*100,"n/a")</f>
        <v>28.465065161674946</v>
      </c>
      <c r="G10" s="57">
        <v>0.11899859830741946</v>
      </c>
      <c r="H10" s="55">
        <f t="shared" si="0"/>
        <v>74.002066106978191</v>
      </c>
      <c r="I10" s="57">
        <v>6.3117957907207325E-2</v>
      </c>
      <c r="J10" s="58" t="str">
        <f t="shared" si="1"/>
        <v>n/a</v>
      </c>
      <c r="K10" s="59" t="s">
        <v>54</v>
      </c>
      <c r="L10" s="60"/>
      <c r="M10" s="61"/>
      <c r="P10" s="62"/>
    </row>
    <row r="11" spans="1:16" x14ac:dyDescent="0.3">
      <c r="A11" s="63" t="s">
        <v>29</v>
      </c>
      <c r="B11" s="54">
        <f t="shared" si="2"/>
        <v>107.28214900129097</v>
      </c>
      <c r="C11" s="54">
        <f>D$3*D11+F$3*F11+H$3*H11</f>
        <v>62.1932661497708</v>
      </c>
      <c r="D11" s="55">
        <f>IFERROR(E11/MAX(E$5,E$8,E$10,E$11,E$13,E$14)*100,"n/a")</f>
        <v>48.581725244152544</v>
      </c>
      <c r="E11" s="56">
        <v>1.7892337075922675</v>
      </c>
      <c r="F11" s="55">
        <f>IFERROR(G11/MAX(G$5,G$8,G$10,G$11,G$13,G$14)*100,"n/a")</f>
        <v>100</v>
      </c>
      <c r="G11" s="57">
        <v>0.41805138204158365</v>
      </c>
      <c r="H11" s="55">
        <f t="shared" si="0"/>
        <v>25.395828588416791</v>
      </c>
      <c r="I11" s="57">
        <v>2.1660649819494584E-2</v>
      </c>
      <c r="J11" s="58" t="str">
        <f t="shared" si="1"/>
        <v>n/a</v>
      </c>
      <c r="K11" s="59" t="s">
        <v>54</v>
      </c>
      <c r="L11" s="60"/>
      <c r="M11" s="61"/>
      <c r="P11" s="62"/>
    </row>
    <row r="12" spans="1:16" ht="16.5" hidden="1" customHeight="1" x14ac:dyDescent="0.3">
      <c r="A12" s="71" t="s">
        <v>56</v>
      </c>
      <c r="B12" s="72">
        <f t="shared" si="2"/>
        <v>55.736839939476084</v>
      </c>
      <c r="C12" s="72"/>
      <c r="D12" s="55" t="str">
        <f>IFERROR(E12/MAX(E$4:E$21),"n/a")</f>
        <v>n/a</v>
      </c>
      <c r="E12" s="56" t="s">
        <v>54</v>
      </c>
      <c r="F12" s="55" t="str">
        <f>IFERROR(G12/MAX(G$4:G$21),"n/a")</f>
        <v>n/a</v>
      </c>
      <c r="G12" s="57" t="s">
        <v>54</v>
      </c>
      <c r="H12" s="55" t="str">
        <f>IFERROR(I12/MAX(I$4:I$21),"n/a")</f>
        <v>n/a</v>
      </c>
      <c r="I12" s="57" t="s">
        <v>54</v>
      </c>
      <c r="J12" s="58" t="str">
        <f t="shared" si="1"/>
        <v>n/a</v>
      </c>
      <c r="K12" s="59" t="s">
        <v>54</v>
      </c>
      <c r="L12" s="60"/>
      <c r="M12" s="61"/>
      <c r="P12" s="62"/>
    </row>
    <row r="13" spans="1:16" x14ac:dyDescent="0.3">
      <c r="A13" s="63" t="s">
        <v>23</v>
      </c>
      <c r="B13" s="54">
        <f t="shared" si="2"/>
        <v>125.25641753556383</v>
      </c>
      <c r="C13" s="54">
        <f>D$3*D13+F$3*F13+H$3*H13</f>
        <v>83.880563930037937</v>
      </c>
      <c r="D13" s="55">
        <f>IFERROR(E13/MAX(E$5,E$8,E$10,E$11,E$13,E$14)*100,"n/a")</f>
        <v>82.292975498311449</v>
      </c>
      <c r="E13" s="56">
        <v>3.0307973815188021</v>
      </c>
      <c r="F13" s="55">
        <f>IFERROR(G13/MAX(G$5,G$8,G$10,G$11,G$13,G$14)*100,"n/a")</f>
        <v>72.981678201361262</v>
      </c>
      <c r="G13" s="57">
        <v>0.30510091435793191</v>
      </c>
      <c r="H13" s="55">
        <f t="shared" ref="H13:H18" si="3">IFERROR(I13/MAX(I$4:I$21)*100,"n/a")</f>
        <v>100</v>
      </c>
      <c r="I13" s="57">
        <v>8.5292156324342783E-2</v>
      </c>
      <c r="J13" s="58" t="str">
        <f t="shared" si="1"/>
        <v>n/a</v>
      </c>
      <c r="K13" s="59" t="s">
        <v>54</v>
      </c>
      <c r="L13" s="60"/>
      <c r="M13" s="61"/>
      <c r="P13" s="62"/>
    </row>
    <row r="14" spans="1:16" x14ac:dyDescent="0.3">
      <c r="A14" s="63" t="s">
        <v>28</v>
      </c>
      <c r="B14" s="54">
        <f t="shared" si="2"/>
        <v>81.770571044478814</v>
      </c>
      <c r="C14" s="54">
        <f>D$3*D14+F$3*F14+H$3*H14</f>
        <v>31.411641465633544</v>
      </c>
      <c r="D14" s="55">
        <f>IFERROR(E14/MAX(E$5,E$8,E$10,E$11,E$13,E$14)*100,"n/a")</f>
        <v>43.057302303310749</v>
      </c>
      <c r="E14" s="56">
        <v>1.5857727623278777</v>
      </c>
      <c r="F14" s="55">
        <f>IFERROR(G14/MAX(G$5,G$8,G$10,G$11,G$13,G$14)*100,"n/a")</f>
        <v>26.468302407386691</v>
      </c>
      <c r="G14" s="57">
        <v>0.11065110401702581</v>
      </c>
      <c r="H14" s="55">
        <f t="shared" si="3"/>
        <v>26.357099372285475</v>
      </c>
      <c r="I14" s="57">
        <v>2.2480538399172099E-2</v>
      </c>
      <c r="J14" s="58" t="str">
        <f t="shared" si="1"/>
        <v>n/a</v>
      </c>
      <c r="K14" s="59" t="s">
        <v>54</v>
      </c>
      <c r="L14" s="64"/>
      <c r="M14" s="61"/>
      <c r="P14" s="62"/>
    </row>
    <row r="15" spans="1:16" x14ac:dyDescent="0.3">
      <c r="A15" s="53" t="s">
        <v>26</v>
      </c>
      <c r="B15" s="54">
        <f t="shared" si="2"/>
        <v>93.860234493590099</v>
      </c>
      <c r="C15" s="54">
        <f>D$3*D15+F$3*F15</f>
        <v>45.998723592739132</v>
      </c>
      <c r="D15" s="55">
        <f>IFERROR(E15/MAX(E$4,E$6,E$7,E$15,E$16,E$17,E$18,E$21)*100,"n/a")</f>
        <v>86.288755796227093</v>
      </c>
      <c r="E15" s="56">
        <v>2.4507421874999999</v>
      </c>
      <c r="F15" s="55">
        <f>IFERROR(G15/MAX(G$4,G$6,G$7,G$15,G$16,G$17,G$18,G$21)*100,"n/a")</f>
        <v>50.280242134677508</v>
      </c>
      <c r="G15" s="57">
        <v>0.13922759368176094</v>
      </c>
      <c r="H15" s="58" t="str">
        <f t="shared" si="3"/>
        <v>n/a</v>
      </c>
      <c r="I15" s="57" t="s">
        <v>54</v>
      </c>
      <c r="J15" s="58" t="str">
        <f t="shared" si="1"/>
        <v>n/a</v>
      </c>
      <c r="K15" s="59" t="s">
        <v>54</v>
      </c>
      <c r="L15" s="60"/>
      <c r="M15" s="61"/>
      <c r="P15" s="62"/>
    </row>
    <row r="16" spans="1:16" x14ac:dyDescent="0.3">
      <c r="A16" s="53" t="s">
        <v>39</v>
      </c>
      <c r="B16" s="54">
        <f t="shared" si="2"/>
        <v>66.942998387352915</v>
      </c>
      <c r="C16" s="54">
        <f>D$3*D16</f>
        <v>13.521067339600245</v>
      </c>
      <c r="D16" s="55">
        <f>IFERROR(E16/MAX(E$4,E$6,E$7,E$15,E$16,E$17,E$18,E$21)*100,"n/a")</f>
        <v>45.070224465334149</v>
      </c>
      <c r="E16" s="56">
        <v>1.2800682948556157</v>
      </c>
      <c r="F16" s="55" t="str">
        <f>IFERROR(G16/MAX(G$4,G$6,G$7,G$15,G$16,G$17,G$18,G$21)*100,"n/a")</f>
        <v>n/a</v>
      </c>
      <c r="G16" s="57" t="s">
        <v>54</v>
      </c>
      <c r="H16" s="58" t="str">
        <f t="shared" si="3"/>
        <v>n/a</v>
      </c>
      <c r="I16" s="57" t="s">
        <v>54</v>
      </c>
      <c r="J16" s="58" t="str">
        <f t="shared" si="1"/>
        <v>n/a</v>
      </c>
      <c r="K16" s="59" t="s">
        <v>54</v>
      </c>
      <c r="L16" s="64"/>
      <c r="M16" s="61"/>
      <c r="P16" s="62"/>
    </row>
    <row r="17" spans="1:16" x14ac:dyDescent="0.3">
      <c r="A17" s="53" t="s">
        <v>31</v>
      </c>
      <c r="B17" s="54">
        <f t="shared" si="2"/>
        <v>112.53756757842368</v>
      </c>
      <c r="C17" s="54">
        <f>D$3*D17+F$3*F17+J$3*J17</f>
        <v>68.534321276709548</v>
      </c>
      <c r="D17" s="55">
        <f>IFERROR(E17/MAX(E$4,E$6,E$7,E$15,E$16,E$17,E$18,E$21)*100,"n/a")</f>
        <v>71.892662364241147</v>
      </c>
      <c r="E17" s="56">
        <v>2.0418695228821813</v>
      </c>
      <c r="F17" s="55">
        <f>IFERROR(G17/MAX(G$4,G$6,G$7,G$15,G$16,G$17,G$18,G$21)*100,"n/a")</f>
        <v>86.69718296421425</v>
      </c>
      <c r="G17" s="57">
        <v>0.24006726401124415</v>
      </c>
      <c r="H17" s="58" t="str">
        <f t="shared" si="3"/>
        <v>n/a</v>
      </c>
      <c r="I17" s="57" t="s">
        <v>54</v>
      </c>
      <c r="J17" s="55">
        <f t="shared" si="1"/>
        <v>40.958831272505023</v>
      </c>
      <c r="K17" s="59">
        <v>2.5008968380054324E-2</v>
      </c>
      <c r="L17" s="64"/>
      <c r="M17" s="61"/>
      <c r="P17" s="62"/>
    </row>
    <row r="18" spans="1:16" x14ac:dyDescent="0.3">
      <c r="A18" s="53" t="s">
        <v>34</v>
      </c>
      <c r="B18" s="54">
        <f t="shared" si="2"/>
        <v>67.789008979531673</v>
      </c>
      <c r="C18" s="54">
        <f>D$3*D18</f>
        <v>14.541842321505969</v>
      </c>
      <c r="D18" s="55">
        <f>IFERROR(E18/MAX(E$4,E$6,E$7,E$15,E$16,E$17,E$18,E$21)*100,"n/a")</f>
        <v>48.472807738353232</v>
      </c>
      <c r="E18" s="56">
        <v>1.3767072404137379</v>
      </c>
      <c r="F18" s="55" t="str">
        <f>IFERROR(G18/MAX(G$4,G$6,G$7,G$15,G$16,G$17,G$18,G$21)*100,"n/a")</f>
        <v>n/a</v>
      </c>
      <c r="G18" s="57" t="s">
        <v>54</v>
      </c>
      <c r="H18" s="58" t="str">
        <f t="shared" si="3"/>
        <v>n/a</v>
      </c>
      <c r="I18" s="57" t="s">
        <v>54</v>
      </c>
      <c r="J18" s="58" t="str">
        <f t="shared" si="1"/>
        <v>n/a</v>
      </c>
      <c r="K18" s="59" t="s">
        <v>54</v>
      </c>
      <c r="L18" s="60"/>
      <c r="M18" s="61"/>
      <c r="P18" s="62"/>
    </row>
    <row r="19" spans="1:16" hidden="1" x14ac:dyDescent="0.3">
      <c r="A19" s="73" t="s">
        <v>57</v>
      </c>
      <c r="B19" s="72" t="str">
        <f t="shared" si="2"/>
        <v>n/a</v>
      </c>
      <c r="C19" s="72" t="e">
        <f>J$3*J19+#REF!*#REF!+#REF!*#REF!</f>
        <v>#VALUE!</v>
      </c>
      <c r="D19" s="55" t="str">
        <f>IFERROR(E19/MAX(E$4:E$21)*100,"n/a")</f>
        <v>n/a</v>
      </c>
      <c r="E19" s="56" t="s">
        <v>54</v>
      </c>
      <c r="F19" s="55" t="str">
        <f>IFERROR(G19/MAX(G$4:G$21)*100,"n/a")</f>
        <v>n/a</v>
      </c>
      <c r="G19" s="57" t="s">
        <v>54</v>
      </c>
      <c r="H19" s="58" t="str">
        <f>IFERROR(I19/MAX(I$4:I$21),"n/a")</f>
        <v>n/a</v>
      </c>
      <c r="I19" s="57" t="s">
        <v>54</v>
      </c>
      <c r="J19" s="58" t="str">
        <f t="shared" si="1"/>
        <v>n/a</v>
      </c>
      <c r="K19" s="59" t="s">
        <v>54</v>
      </c>
      <c r="L19" s="60"/>
      <c r="M19" s="61"/>
      <c r="P19" s="62"/>
    </row>
    <row r="20" spans="1:16" ht="1.5" hidden="1" customHeight="1" x14ac:dyDescent="0.3">
      <c r="A20" s="73" t="s">
        <v>58</v>
      </c>
      <c r="B20" s="72" t="str">
        <f t="shared" si="2"/>
        <v>n/a</v>
      </c>
      <c r="C20" s="72" t="e">
        <f>J$3*J20+#REF!*#REF!+#REF!*#REF!</f>
        <v>#VALUE!</v>
      </c>
      <c r="D20" s="55" t="str">
        <f>IFERROR(E20/MAX(E$4:E$21)*100,"n/a")</f>
        <v>n/a</v>
      </c>
      <c r="E20" s="56" t="s">
        <v>54</v>
      </c>
      <c r="F20" s="55" t="str">
        <f>IFERROR(G20/MAX(G$4:G$21)*100,"n/a")</f>
        <v>n/a</v>
      </c>
      <c r="G20" s="57" t="s">
        <v>54</v>
      </c>
      <c r="H20" s="58" t="str">
        <f>IFERROR(I20/MAX(I$4:I$21),"n/a")</f>
        <v>n/a</v>
      </c>
      <c r="I20" s="57" t="s">
        <v>54</v>
      </c>
      <c r="J20" s="58" t="str">
        <f t="shared" si="1"/>
        <v>n/a</v>
      </c>
      <c r="K20" s="59" t="s">
        <v>54</v>
      </c>
      <c r="L20" s="60"/>
      <c r="M20" s="61"/>
    </row>
    <row r="21" spans="1:16" x14ac:dyDescent="0.3">
      <c r="A21" s="53" t="s">
        <v>59</v>
      </c>
      <c r="B21" s="54">
        <f t="shared" si="2"/>
        <v>72.184183148354606</v>
      </c>
      <c r="C21" s="54">
        <f>D$3*D21+F$3*F21</f>
        <v>19.844948304019173</v>
      </c>
      <c r="D21" s="55">
        <f>IFERROR(E21/MAX(E$4,E$6,E$7,E$15,E$16,E$17,E$18,E$21)*100,"n/a")</f>
        <v>38.586160458303077</v>
      </c>
      <c r="E21" s="56">
        <v>1.0959102424900471</v>
      </c>
      <c r="F21" s="55">
        <f>IFERROR(G21/MAX(G$4,G$6,G$7,G$15,G$16,G$17,G$18,G$21)*100,"n/a")</f>
        <v>20.672750416320625</v>
      </c>
      <c r="G21" s="57">
        <v>5.7243505063848524E-2</v>
      </c>
      <c r="H21" s="58" t="str">
        <f>IFERROR(I21/MAX(I$4:I$21)*100,"n/a")</f>
        <v>n/a</v>
      </c>
      <c r="I21" s="57" t="s">
        <v>54</v>
      </c>
      <c r="J21" s="58" t="str">
        <f t="shared" si="1"/>
        <v>n/a</v>
      </c>
      <c r="K21" s="59" t="s">
        <v>54</v>
      </c>
      <c r="L21" s="60"/>
      <c r="M21" s="61"/>
    </row>
    <row r="22" spans="1:16" x14ac:dyDescent="0.3">
      <c r="A22" s="53" t="s">
        <v>40</v>
      </c>
      <c r="B22" s="67" t="s">
        <v>54</v>
      </c>
      <c r="C22" s="70" t="s">
        <v>54</v>
      </c>
      <c r="D22" s="70" t="str">
        <f>IFERROR(E22/MAX(E$4:E$21)*100,"n/a")</f>
        <v>n/a</v>
      </c>
      <c r="E22" s="70" t="s">
        <v>54</v>
      </c>
      <c r="F22" s="74" t="str">
        <f>IFERROR(G22/MAX(G$4:G$21)*100,"n/a")</f>
        <v>n/a</v>
      </c>
      <c r="G22" s="70" t="s">
        <v>54</v>
      </c>
      <c r="H22" s="74" t="str">
        <f>IFERROR(I22/MAX(I$4:I$21)*100,"n/a")</f>
        <v>n/a</v>
      </c>
      <c r="I22" s="70" t="s">
        <v>54</v>
      </c>
      <c r="J22" s="70" t="str">
        <f t="shared" si="1"/>
        <v>n/a</v>
      </c>
      <c r="K22" s="68" t="s">
        <v>54</v>
      </c>
      <c r="L22" s="69" t="s">
        <v>54</v>
      </c>
      <c r="M22" s="70" t="s">
        <v>54</v>
      </c>
      <c r="P22" s="62"/>
    </row>
    <row r="23" spans="1:16" x14ac:dyDescent="0.3">
      <c r="A23" s="53" t="s">
        <v>37</v>
      </c>
      <c r="B23" s="67" t="s">
        <v>54</v>
      </c>
      <c r="C23" s="70" t="s">
        <v>54</v>
      </c>
      <c r="D23" s="70" t="str">
        <f>IFERROR(E23/MAX(E$4:E$21)*100,"n/a")</f>
        <v>n/a</v>
      </c>
      <c r="E23" s="70" t="s">
        <v>54</v>
      </c>
      <c r="F23" s="74" t="str">
        <f>IFERROR(G23/MAX(G$4:G$21)*100,"n/a")</f>
        <v>n/a</v>
      </c>
      <c r="G23" s="70" t="s">
        <v>54</v>
      </c>
      <c r="H23" s="74" t="str">
        <f>IFERROR(I23/MAX(I$4:I$21)*100,"n/a")</f>
        <v>n/a</v>
      </c>
      <c r="I23" s="70" t="s">
        <v>54</v>
      </c>
      <c r="J23" s="70" t="str">
        <f t="shared" si="1"/>
        <v>n/a</v>
      </c>
      <c r="K23" s="68" t="s">
        <v>54</v>
      </c>
      <c r="L23" s="69" t="s">
        <v>54</v>
      </c>
      <c r="M23" s="70" t="s">
        <v>54</v>
      </c>
      <c r="P23" s="62"/>
    </row>
    <row r="24" spans="1:16" x14ac:dyDescent="0.3">
      <c r="A24" s="53" t="s">
        <v>41</v>
      </c>
      <c r="B24" s="67" t="s">
        <v>54</v>
      </c>
      <c r="C24" s="70" t="s">
        <v>54</v>
      </c>
      <c r="D24" s="70" t="str">
        <f>IFERROR(E24/MAX(E$4:E$21)*100,"n/a")</f>
        <v>n/a</v>
      </c>
      <c r="E24" s="70" t="s">
        <v>54</v>
      </c>
      <c r="F24" s="74" t="str">
        <f>IFERROR(G24/MAX(G$4:G$21)*100,"n/a")</f>
        <v>n/a</v>
      </c>
      <c r="G24" s="70" t="s">
        <v>54</v>
      </c>
      <c r="H24" s="74" t="str">
        <f>IFERROR(I24/MAX(I$4:I$21)*100,"n/a")</f>
        <v>n/a</v>
      </c>
      <c r="I24" s="70" t="s">
        <v>54</v>
      </c>
      <c r="J24" s="70" t="str">
        <f t="shared" si="1"/>
        <v>n/a</v>
      </c>
      <c r="K24" s="68" t="s">
        <v>54</v>
      </c>
      <c r="L24" s="69" t="s">
        <v>54</v>
      </c>
      <c r="M24" s="70" t="s">
        <v>54</v>
      </c>
    </row>
    <row r="25" spans="1:16" ht="13.5" thickBot="1" x14ac:dyDescent="0.35">
      <c r="A25" s="53" t="s">
        <v>33</v>
      </c>
      <c r="B25" s="75" t="s">
        <v>54</v>
      </c>
      <c r="C25" s="76" t="s">
        <v>54</v>
      </c>
      <c r="D25" s="76" t="str">
        <f>IFERROR(E25/MAX(E$4:E$21)*100,"n/a")</f>
        <v>n/a</v>
      </c>
      <c r="E25" s="76" t="s">
        <v>54</v>
      </c>
      <c r="F25" s="77" t="str">
        <f>IFERROR(G25/MAX(G$4:G$21)*100,"n/a")</f>
        <v>n/a</v>
      </c>
      <c r="G25" s="76" t="s">
        <v>54</v>
      </c>
      <c r="H25" s="77" t="str">
        <f>IFERROR(I25/MAX(I$4:I$21)*100,"n/a")</f>
        <v>n/a</v>
      </c>
      <c r="I25" s="76" t="s">
        <v>54</v>
      </c>
      <c r="J25" s="76" t="str">
        <f t="shared" si="1"/>
        <v>n/a</v>
      </c>
      <c r="K25" s="78" t="s">
        <v>54</v>
      </c>
      <c r="L25" s="69" t="s">
        <v>54</v>
      </c>
      <c r="M25" s="70" t="s">
        <v>54</v>
      </c>
    </row>
    <row r="27" spans="1:16" x14ac:dyDescent="0.3">
      <c r="A27" s="79" t="s">
        <v>42</v>
      </c>
      <c r="C27" s="80">
        <f>AVERAGE(C4,C5,C6,C7,C8,C10,C11,C13,C14,C15,C16,C17,C18,C21)</f>
        <v>53.406809356264262</v>
      </c>
    </row>
    <row r="28" spans="1:16" x14ac:dyDescent="0.3">
      <c r="A28" s="79" t="s">
        <v>43</v>
      </c>
      <c r="C28" s="81">
        <f>STDEV(C4,C5,C6,C7,C8,C10,C11,C13,C14,C15,C16,C17,C18,C21)</f>
        <v>24.131494128859142</v>
      </c>
    </row>
    <row r="29" spans="1:16" x14ac:dyDescent="0.3">
      <c r="A29" s="82"/>
    </row>
    <row r="30" spans="1:16" x14ac:dyDescent="0.3">
      <c r="A30" s="83"/>
    </row>
    <row r="31" spans="1:16" x14ac:dyDescent="0.3">
      <c r="A31" s="82"/>
    </row>
    <row r="32" spans="1:16" x14ac:dyDescent="0.3">
      <c r="A32" s="82"/>
    </row>
    <row r="33" spans="1:1" x14ac:dyDescent="0.3">
      <c r="A33" s="82"/>
    </row>
    <row r="34" spans="1:1" x14ac:dyDescent="0.3">
      <c r="A34" s="82"/>
    </row>
    <row r="35" spans="1:1" x14ac:dyDescent="0.3">
      <c r="A35" s="82"/>
    </row>
    <row r="36" spans="1:1" x14ac:dyDescent="0.3">
      <c r="A36" s="82"/>
    </row>
    <row r="37" spans="1:1" x14ac:dyDescent="0.3">
      <c r="A37" s="82"/>
    </row>
    <row r="38" spans="1:1" x14ac:dyDescent="0.3">
      <c r="A38" s="82"/>
    </row>
    <row r="39" spans="1:1" x14ac:dyDescent="0.3">
      <c r="A39" s="83"/>
    </row>
    <row r="40" spans="1:1" x14ac:dyDescent="0.3">
      <c r="A40" s="82"/>
    </row>
    <row r="41" spans="1:1" x14ac:dyDescent="0.3">
      <c r="A41" s="82"/>
    </row>
    <row r="42" spans="1:1" x14ac:dyDescent="0.3">
      <c r="A42" s="82"/>
    </row>
    <row r="43" spans="1:1" x14ac:dyDescent="0.3">
      <c r="A43" s="82"/>
    </row>
    <row r="44" spans="1:1" x14ac:dyDescent="0.3">
      <c r="A44" s="82"/>
    </row>
    <row r="45" spans="1:1" x14ac:dyDescent="0.3">
      <c r="A45" s="82"/>
    </row>
    <row r="46" spans="1:1" x14ac:dyDescent="0.3">
      <c r="A46" s="82"/>
    </row>
  </sheetData>
  <autoFilter ref="A3:T3" xr:uid="{81FFB612-ACD9-4F2B-9363-C3EF6DC0E938}"/>
  <mergeCells count="4">
    <mergeCell ref="C1:K1"/>
    <mergeCell ref="A2:A3"/>
    <mergeCell ref="L2:L3"/>
    <mergeCell ref="M2:M3"/>
  </mergeCells>
  <phoneticPr fontId="5" type="noConversion"/>
  <conditionalFormatting sqref="L19:M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 B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M1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8 D10:D21">
    <cfRule type="colorScale" priority="58">
      <colorScale>
        <cfvo type="min"/>
        <cfvo type="max"/>
        <color rgb="FFFCFCFF"/>
        <color rgb="FFF8696B"/>
      </colorScale>
    </cfRule>
  </conditionalFormatting>
  <conditionalFormatting sqref="D4:D8 D10:D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M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M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M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M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8 H10:H21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:H8 H10:H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65">
      <colorScale>
        <cfvo type="min"/>
        <cfvo type="max"/>
        <color rgb="FFFCFCFF"/>
        <color rgb="FFF8696B"/>
      </colorScale>
    </cfRule>
  </conditionalFormatting>
  <conditionalFormatting sqref="B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67">
      <colorScale>
        <cfvo type="min"/>
        <cfvo type="max"/>
        <color rgb="FFFCFCFF"/>
        <color rgb="FFF8696B"/>
      </colorScale>
    </cfRule>
  </conditionalFormatting>
  <conditionalFormatting sqref="B22:C2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C2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M9 B9">
    <cfRule type="colorScale" priority="70">
      <colorScale>
        <cfvo type="min"/>
        <cfvo type="max"/>
        <color rgb="FFFCFCFF"/>
        <color rgb="FFF8696B"/>
      </colorScale>
    </cfRule>
  </conditionalFormatting>
  <conditionalFormatting sqref="L9:M9 B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M25 E25:I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M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M22 E22:I2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2:M22 E22:I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M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6">
      <colorScale>
        <cfvo type="min"/>
        <cfvo type="max"/>
        <color rgb="FFFCFCFF"/>
        <color rgb="FFF8696B"/>
      </colorScale>
    </cfRule>
  </conditionalFormatting>
  <conditionalFormatting sqref="D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 F10:F21">
    <cfRule type="colorScale" priority="33">
      <colorScale>
        <cfvo type="min"/>
        <cfvo type="max"/>
        <color rgb="FFFCFCFF"/>
        <color rgb="FFF8696B"/>
      </colorScale>
    </cfRule>
  </conditionalFormatting>
  <conditionalFormatting sqref="F4:F8 F10:F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 J10:J21">
    <cfRule type="colorScale" priority="30">
      <colorScale>
        <cfvo type="min"/>
        <cfvo type="max"/>
        <color rgb="FFFCFCFF"/>
        <color rgb="FFF8696B"/>
      </colorScale>
    </cfRule>
  </conditionalFormatting>
  <conditionalFormatting sqref="J4:J8 J10:J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25">
      <colorScale>
        <cfvo type="min"/>
        <cfvo type="max"/>
        <color rgb="FFFCFCFF"/>
        <color rgb="FFF8696B"/>
      </colorScale>
    </cfRule>
  </conditionalFormatting>
  <conditionalFormatting sqref="J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K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5">
      <colorScale>
        <cfvo type="min"/>
        <cfvo type="max"/>
        <color rgb="FFFCFCFF"/>
        <color rgb="FFF8696B"/>
      </colorScale>
    </cfRule>
  </conditionalFormatting>
  <conditionalFormatting sqref="K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6">
      <colorScale>
        <cfvo type="min"/>
        <cfvo type="max"/>
        <color rgb="FFFCFCFF"/>
        <color rgb="FFF8696B"/>
      </colorScale>
    </cfRule>
  </conditionalFormatting>
  <conditionalFormatting sqref="K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J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J9">
    <cfRule type="colorScale" priority="9">
      <colorScale>
        <cfvo type="min"/>
        <cfvo type="max"/>
        <color rgb="FFFCFCFF"/>
        <color rgb="FFF8696B"/>
      </colorScale>
    </cfRule>
  </conditionalFormatting>
  <conditionalFormatting sqref="D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J9">
    <cfRule type="colorScale" priority="11">
      <colorScale>
        <cfvo type="min"/>
        <cfvo type="max"/>
        <color rgb="FFFCFCFF"/>
        <color rgb="FFF8696B"/>
      </colorScale>
    </cfRule>
  </conditionalFormatting>
  <conditionalFormatting sqref="D9:J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">
      <colorScale>
        <cfvo type="min"/>
        <cfvo type="max"/>
        <color rgb="FFFCFCFF"/>
        <color rgb="FFF8696B"/>
      </colorScale>
    </cfRule>
  </conditionalFormatting>
  <conditionalFormatting sqref="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6">
      <colorScale>
        <cfvo type="min"/>
        <cfvo type="max"/>
        <color rgb="FFFCFCFF"/>
        <color rgb="FFF8696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0065-00DB-4369-8F88-4E3D775F56F5}">
  <dimension ref="A1:M16"/>
  <sheetViews>
    <sheetView zoomScale="70" zoomScaleNormal="70" workbookViewId="0">
      <selection activeCell="H22" sqref="H22"/>
    </sheetView>
  </sheetViews>
  <sheetFormatPr defaultColWidth="9.1640625" defaultRowHeight="16.5" x14ac:dyDescent="0.3"/>
  <cols>
    <col min="1" max="1" width="25.6640625" style="87" customWidth="1"/>
    <col min="2" max="2" width="7.6640625" style="87" customWidth="1"/>
    <col min="3" max="3" width="11.5" style="87" customWidth="1"/>
    <col min="4" max="4" width="10.58203125" style="87" customWidth="1"/>
    <col min="5" max="5" width="11.5" style="87" customWidth="1"/>
    <col min="6" max="6" width="9.5" style="87" bestFit="1" customWidth="1"/>
    <col min="7" max="7" width="13.1640625" style="87" customWidth="1"/>
    <col min="8" max="8" width="12.25" style="87" customWidth="1"/>
    <col min="9" max="9" width="10.6640625" style="87" customWidth="1"/>
    <col min="10" max="10" width="10.58203125" style="87" customWidth="1"/>
    <col min="11" max="11" width="11.6640625" style="87" customWidth="1"/>
    <col min="12" max="16384" width="9.1640625" style="87"/>
  </cols>
  <sheetData>
    <row r="1" spans="1:13" ht="40.5" x14ac:dyDescent="0.3">
      <c r="A1" s="84" t="s">
        <v>60</v>
      </c>
      <c r="B1" s="85" t="s">
        <v>61</v>
      </c>
      <c r="C1" s="85" t="s">
        <v>62</v>
      </c>
      <c r="D1" s="85" t="s">
        <v>63</v>
      </c>
      <c r="E1" s="85" t="s">
        <v>64</v>
      </c>
      <c r="F1" s="86" t="s">
        <v>65</v>
      </c>
      <c r="G1" s="86" t="s">
        <v>66</v>
      </c>
      <c r="H1" s="86" t="s">
        <v>67</v>
      </c>
      <c r="I1" s="86" t="s">
        <v>68</v>
      </c>
      <c r="J1" s="86" t="s">
        <v>69</v>
      </c>
      <c r="K1" s="86" t="s">
        <v>70</v>
      </c>
      <c r="L1" s="86" t="s">
        <v>71</v>
      </c>
      <c r="M1" s="86" t="s">
        <v>72</v>
      </c>
    </row>
    <row r="2" spans="1:13" x14ac:dyDescent="0.3">
      <c r="A2" s="88" t="s">
        <v>18</v>
      </c>
      <c r="B2" s="89">
        <f t="shared" ref="B2:C7" si="0">G2/F2</f>
        <v>2.4117362329329879</v>
      </c>
      <c r="C2" s="90">
        <f>H2/G2</f>
        <v>0.27375744530667911</v>
      </c>
      <c r="D2" s="91">
        <f>MAX(I2:J2)/F2</f>
        <v>5.6781126506550303E-2</v>
      </c>
      <c r="E2" s="92">
        <f>K2</f>
        <v>1.37E-2</v>
      </c>
      <c r="F2" s="93">
        <v>1522601</v>
      </c>
      <c r="G2" s="93">
        <v>3672112</v>
      </c>
      <c r="H2" s="93">
        <v>1005268</v>
      </c>
      <c r="I2" s="94">
        <v>27605</v>
      </c>
      <c r="J2" s="95">
        <v>86455</v>
      </c>
      <c r="K2" s="96">
        <v>1.37E-2</v>
      </c>
      <c r="L2" s="97">
        <v>0.18859999999999999</v>
      </c>
      <c r="M2" s="91" t="s">
        <v>73</v>
      </c>
    </row>
    <row r="3" spans="1:13" x14ac:dyDescent="0.3">
      <c r="A3" s="88" t="s">
        <v>74</v>
      </c>
      <c r="B3" s="89">
        <f t="shared" si="0"/>
        <v>1.7892337075922675</v>
      </c>
      <c r="C3" s="90">
        <f t="shared" si="0"/>
        <v>0.41805138204158365</v>
      </c>
      <c r="D3" s="91">
        <f t="shared" ref="D3:D7" si="1">MAX(I3:J3)/F3</f>
        <v>2.1660649819494584E-2</v>
      </c>
      <c r="E3" s="92">
        <f>K3</f>
        <v>5.0000000000000001E-3</v>
      </c>
      <c r="F3" s="93">
        <v>271737</v>
      </c>
      <c r="G3" s="93">
        <v>486201</v>
      </c>
      <c r="H3" s="93">
        <v>203257</v>
      </c>
      <c r="I3" s="94">
        <v>4076</v>
      </c>
      <c r="J3" s="95">
        <v>5886</v>
      </c>
      <c r="K3" s="96">
        <v>5.0000000000000001E-3</v>
      </c>
      <c r="L3" s="97">
        <v>6.54E-2</v>
      </c>
      <c r="M3" s="91" t="s">
        <v>73</v>
      </c>
    </row>
    <row r="4" spans="1:13" x14ac:dyDescent="0.3">
      <c r="A4" s="88" t="s">
        <v>19</v>
      </c>
      <c r="B4" s="89">
        <f t="shared" si="0"/>
        <v>2.6440840294213408</v>
      </c>
      <c r="C4" s="90">
        <f t="shared" si="0"/>
        <v>0.27106681597073451</v>
      </c>
      <c r="D4" s="91">
        <f t="shared" si="1"/>
        <v>6.2890686732787887E-2</v>
      </c>
      <c r="E4" s="92">
        <f t="shared" ref="E4" si="2">K4</f>
        <v>1.4500000000000001E-2</v>
      </c>
      <c r="F4" s="93">
        <v>525197</v>
      </c>
      <c r="G4" s="93">
        <v>1388665</v>
      </c>
      <c r="H4" s="93">
        <v>376421</v>
      </c>
      <c r="I4" s="94">
        <v>26380</v>
      </c>
      <c r="J4" s="95">
        <v>33030</v>
      </c>
      <c r="K4" s="96">
        <v>1.4500000000000001E-2</v>
      </c>
      <c r="L4" s="97">
        <v>0.1686</v>
      </c>
      <c r="M4" s="91" t="s">
        <v>73</v>
      </c>
    </row>
    <row r="5" spans="1:13" x14ac:dyDescent="0.3">
      <c r="A5" s="88" t="s">
        <v>23</v>
      </c>
      <c r="B5" s="89">
        <f t="shared" si="0"/>
        <v>3.0307973815188021</v>
      </c>
      <c r="C5" s="90">
        <f t="shared" si="0"/>
        <v>0.30510091435793191</v>
      </c>
      <c r="D5" s="91">
        <f t="shared" si="1"/>
        <v>8.5292156324342783E-2</v>
      </c>
      <c r="E5" s="92">
        <f>K5</f>
        <v>1.24E-2</v>
      </c>
      <c r="F5" s="93">
        <v>433381</v>
      </c>
      <c r="G5" s="93">
        <v>1313490</v>
      </c>
      <c r="H5" s="93">
        <v>400747</v>
      </c>
      <c r="I5" s="94">
        <v>16849</v>
      </c>
      <c r="J5" s="95">
        <v>36964</v>
      </c>
      <c r="K5" s="96">
        <v>1.24E-2</v>
      </c>
      <c r="L5" s="97">
        <v>0.15939999999999999</v>
      </c>
      <c r="M5" s="91" t="s">
        <v>73</v>
      </c>
    </row>
    <row r="6" spans="1:13" x14ac:dyDescent="0.3">
      <c r="A6" s="88" t="s">
        <v>20</v>
      </c>
      <c r="B6" s="89">
        <f t="shared" si="0"/>
        <v>3.6829357100849882</v>
      </c>
      <c r="C6" s="90">
        <f t="shared" si="0"/>
        <v>0.11899859830741946</v>
      </c>
      <c r="D6" s="91">
        <f t="shared" si="1"/>
        <v>6.3117957907207325E-2</v>
      </c>
      <c r="E6" s="92">
        <f t="shared" ref="E6:E7" si="3">K6</f>
        <v>2.01E-2</v>
      </c>
      <c r="F6" s="93">
        <v>942014</v>
      </c>
      <c r="G6" s="93">
        <v>3469377</v>
      </c>
      <c r="H6" s="93">
        <v>412851</v>
      </c>
      <c r="I6" s="94">
        <v>59458</v>
      </c>
      <c r="J6" s="95">
        <v>30475</v>
      </c>
      <c r="K6" s="96">
        <v>2.01E-2</v>
      </c>
      <c r="L6" s="97">
        <v>0.19739999999999999</v>
      </c>
      <c r="M6" s="91" t="s">
        <v>73</v>
      </c>
    </row>
    <row r="7" spans="1:13" x14ac:dyDescent="0.3">
      <c r="A7" s="88" t="s">
        <v>28</v>
      </c>
      <c r="B7" s="89">
        <f t="shared" si="0"/>
        <v>1.5857727623278777</v>
      </c>
      <c r="C7" s="90">
        <f t="shared" si="0"/>
        <v>0.11065110401702581</v>
      </c>
      <c r="D7" s="91">
        <f t="shared" si="1"/>
        <v>2.2480538399172099E-2</v>
      </c>
      <c r="E7" s="92">
        <f t="shared" si="3"/>
        <v>6.7999999999999996E-3</v>
      </c>
      <c r="F7" s="93">
        <v>303418</v>
      </c>
      <c r="G7" s="93">
        <v>481152</v>
      </c>
      <c r="H7" s="93">
        <v>53240</v>
      </c>
      <c r="I7" s="94">
        <v>6821</v>
      </c>
      <c r="J7" s="95">
        <v>4227</v>
      </c>
      <c r="K7" s="96">
        <v>6.7999999999999996E-3</v>
      </c>
      <c r="L7" s="97">
        <v>5.16E-2</v>
      </c>
      <c r="M7" s="91" t="s">
        <v>73</v>
      </c>
    </row>
    <row r="8" spans="1:13" ht="40.5" x14ac:dyDescent="0.3">
      <c r="B8" s="85" t="s">
        <v>61</v>
      </c>
      <c r="C8" s="85" t="s">
        <v>62</v>
      </c>
      <c r="D8" s="85" t="s">
        <v>63</v>
      </c>
      <c r="E8" s="85" t="s">
        <v>75</v>
      </c>
      <c r="F8" s="93"/>
      <c r="G8" s="93"/>
      <c r="H8" s="93"/>
      <c r="I8" s="98"/>
      <c r="J8" s="95"/>
      <c r="K8" s="96"/>
      <c r="L8" s="97"/>
    </row>
    <row r="9" spans="1:13" x14ac:dyDescent="0.3">
      <c r="A9" s="99" t="s">
        <v>21</v>
      </c>
      <c r="B9" s="89">
        <f>G9/F9</f>
        <v>1.7239904107230368</v>
      </c>
      <c r="C9" s="90">
        <f t="shared" ref="B9:C13" si="4">H9/G9</f>
        <v>0.20716076509197442</v>
      </c>
      <c r="D9" s="91" t="s">
        <v>73</v>
      </c>
      <c r="E9" s="92">
        <f>M9/F9</f>
        <v>6.1058793923259295E-2</v>
      </c>
      <c r="F9" s="93">
        <v>226503</v>
      </c>
      <c r="G9" s="93">
        <v>390489</v>
      </c>
      <c r="H9" s="93">
        <v>80894</v>
      </c>
      <c r="I9" s="91" t="s">
        <v>73</v>
      </c>
      <c r="J9" s="91" t="s">
        <v>73</v>
      </c>
      <c r="K9" s="91" t="s">
        <v>73</v>
      </c>
      <c r="L9" s="97">
        <v>9.7500000000000003E-2</v>
      </c>
      <c r="M9" s="95">
        <v>13830</v>
      </c>
    </row>
    <row r="10" spans="1:13" x14ac:dyDescent="0.3">
      <c r="A10" s="99" t="s">
        <v>24</v>
      </c>
      <c r="B10" s="89">
        <f t="shared" si="4"/>
        <v>2.8401640108098034</v>
      </c>
      <c r="C10" s="90">
        <f t="shared" si="4"/>
        <v>0.27690318855035467</v>
      </c>
      <c r="D10" s="91" t="s">
        <v>73</v>
      </c>
      <c r="E10" s="92">
        <f>M10/F10</f>
        <v>8.3496412263535554E-3</v>
      </c>
      <c r="F10" s="93">
        <v>53655</v>
      </c>
      <c r="G10" s="93">
        <v>152389</v>
      </c>
      <c r="H10" s="93">
        <v>42197</v>
      </c>
      <c r="I10" s="91" t="s">
        <v>73</v>
      </c>
      <c r="J10" s="91" t="s">
        <v>73</v>
      </c>
      <c r="K10" s="91" t="s">
        <v>73</v>
      </c>
      <c r="L10" s="97">
        <v>0.104</v>
      </c>
      <c r="M10" s="95">
        <v>448</v>
      </c>
    </row>
    <row r="11" spans="1:13" x14ac:dyDescent="0.3">
      <c r="A11" s="99" t="s">
        <v>76</v>
      </c>
      <c r="B11" s="89">
        <f t="shared" si="4"/>
        <v>1.0959102424900471</v>
      </c>
      <c r="C11" s="90">
        <f t="shared" si="4"/>
        <v>5.7243505063848524E-2</v>
      </c>
      <c r="D11" s="91" t="s">
        <v>73</v>
      </c>
      <c r="E11" s="91" t="s">
        <v>73</v>
      </c>
      <c r="F11" s="93">
        <v>8289</v>
      </c>
      <c r="G11" s="93">
        <v>9084</v>
      </c>
      <c r="H11" s="93">
        <v>520</v>
      </c>
      <c r="I11" s="91" t="s">
        <v>73</v>
      </c>
      <c r="J11" s="91" t="s">
        <v>73</v>
      </c>
      <c r="K11" s="91" t="s">
        <v>73</v>
      </c>
      <c r="L11" s="97">
        <v>6.6E-3</v>
      </c>
      <c r="M11" s="91" t="s">
        <v>73</v>
      </c>
    </row>
    <row r="12" spans="1:13" x14ac:dyDescent="0.3">
      <c r="A12" s="99" t="s">
        <v>27</v>
      </c>
      <c r="B12" s="89">
        <f t="shared" si="4"/>
        <v>2.4472095254218158</v>
      </c>
      <c r="C12" s="90">
        <f t="shared" si="4"/>
        <v>0.17425692346715244</v>
      </c>
      <c r="D12" s="91" t="s">
        <v>73</v>
      </c>
      <c r="E12" s="92">
        <f>M12/F12</f>
        <v>1.1229614581569888E-2</v>
      </c>
      <c r="F12" s="93">
        <v>17721</v>
      </c>
      <c r="G12" s="93">
        <v>43367</v>
      </c>
      <c r="H12" s="93">
        <v>7557</v>
      </c>
      <c r="I12" s="91" t="s">
        <v>73</v>
      </c>
      <c r="J12" s="91" t="s">
        <v>73</v>
      </c>
      <c r="K12" s="91" t="s">
        <v>73</v>
      </c>
      <c r="L12" s="97">
        <v>5.62E-2</v>
      </c>
      <c r="M12" s="95">
        <v>199</v>
      </c>
    </row>
    <row r="13" spans="1:13" x14ac:dyDescent="0.3">
      <c r="A13" s="99" t="s">
        <v>26</v>
      </c>
      <c r="B13" s="89">
        <f t="shared" si="4"/>
        <v>2.4507421874999999</v>
      </c>
      <c r="C13" s="90">
        <f t="shared" si="4"/>
        <v>0.13922759368176094</v>
      </c>
      <c r="D13" s="91" t="s">
        <v>73</v>
      </c>
      <c r="E13" s="91" t="s">
        <v>73</v>
      </c>
      <c r="F13" s="93">
        <v>25600</v>
      </c>
      <c r="G13" s="93">
        <v>62739</v>
      </c>
      <c r="H13" s="93">
        <v>8735</v>
      </c>
      <c r="I13" s="91" t="s">
        <v>73</v>
      </c>
      <c r="J13" s="91" t="s">
        <v>73</v>
      </c>
      <c r="K13" s="91" t="s">
        <v>73</v>
      </c>
      <c r="L13" s="97">
        <v>9.8299999999999998E-2</v>
      </c>
      <c r="M13" s="91" t="s">
        <v>73</v>
      </c>
    </row>
    <row r="14" spans="1:13" x14ac:dyDescent="0.3">
      <c r="A14" s="99" t="s">
        <v>77</v>
      </c>
      <c r="B14" s="89">
        <f>G14/F14</f>
        <v>1.3767072404137379</v>
      </c>
      <c r="C14" s="91" t="s">
        <v>73</v>
      </c>
      <c r="D14" s="91" t="s">
        <v>73</v>
      </c>
      <c r="E14" s="91" t="s">
        <v>73</v>
      </c>
      <c r="F14" s="93">
        <v>17499</v>
      </c>
      <c r="G14" s="93">
        <v>24091</v>
      </c>
      <c r="H14" s="91" t="s">
        <v>73</v>
      </c>
      <c r="I14" s="91" t="s">
        <v>73</v>
      </c>
      <c r="J14" s="91" t="s">
        <v>73</v>
      </c>
      <c r="K14" s="91" t="s">
        <v>73</v>
      </c>
      <c r="L14" s="97">
        <v>6.8599999999999994E-2</v>
      </c>
      <c r="M14" s="91" t="s">
        <v>73</v>
      </c>
    </row>
    <row r="15" spans="1:13" x14ac:dyDescent="0.3">
      <c r="A15" s="99" t="s">
        <v>31</v>
      </c>
      <c r="B15" s="89">
        <f>G15/F15</f>
        <v>2.0418695228821813</v>
      </c>
      <c r="C15" s="90">
        <f>H15/G15</f>
        <v>0.24006726401124415</v>
      </c>
      <c r="D15" s="91" t="s">
        <v>73</v>
      </c>
      <c r="E15" s="92">
        <f>M15/F15</f>
        <v>2.5008968380054324E-2</v>
      </c>
      <c r="F15" s="93">
        <v>19513</v>
      </c>
      <c r="G15" s="93">
        <v>39843</v>
      </c>
      <c r="H15" s="93">
        <v>9565</v>
      </c>
      <c r="I15" s="91" t="s">
        <v>73</v>
      </c>
      <c r="J15" s="91" t="s">
        <v>73</v>
      </c>
      <c r="K15" s="91" t="s">
        <v>73</v>
      </c>
      <c r="L15" s="97">
        <v>9.1899999999999996E-2</v>
      </c>
      <c r="M15" s="95">
        <v>488</v>
      </c>
    </row>
    <row r="16" spans="1:13" x14ac:dyDescent="0.3">
      <c r="A16" s="99" t="s">
        <v>39</v>
      </c>
      <c r="B16" s="89">
        <f>G16/F16</f>
        <v>1.2800682948556157</v>
      </c>
      <c r="C16" s="91" t="s">
        <v>73</v>
      </c>
      <c r="D16" s="91" t="s">
        <v>73</v>
      </c>
      <c r="E16" s="91" t="s">
        <v>73</v>
      </c>
      <c r="F16" s="93">
        <v>67355</v>
      </c>
      <c r="G16" s="93">
        <v>86219</v>
      </c>
      <c r="H16" s="91" t="s">
        <v>73</v>
      </c>
      <c r="I16" s="91" t="s">
        <v>73</v>
      </c>
      <c r="J16" s="91" t="s">
        <v>73</v>
      </c>
      <c r="K16" s="91" t="s">
        <v>73</v>
      </c>
      <c r="L16" s="97">
        <v>4.1099999999999998E-2</v>
      </c>
      <c r="M16" s="91" t="s">
        <v>73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BC13-E1F3-4D00-8FF8-95DCAEA1E1A8}">
  <sheetPr>
    <tabColor theme="1" tint="0.34998626667073579"/>
    <outlinePr summaryRight="0"/>
    <pageSetUpPr fitToPage="1"/>
  </sheetPr>
  <dimension ref="A1:O25"/>
  <sheetViews>
    <sheetView topLeftCell="A3" zoomScale="75" zoomScaleNormal="75" workbookViewId="0">
      <pane xSplit="3" ySplit="1" topLeftCell="E4" activePane="bottomRight" state="frozen"/>
      <selection activeCell="E6" sqref="E6"/>
      <selection pane="topRight" activeCell="E6" sqref="E6"/>
      <selection pane="bottomLeft" activeCell="E6" sqref="E6"/>
      <selection pane="bottomRight" activeCell="C5" sqref="C5"/>
    </sheetView>
  </sheetViews>
  <sheetFormatPr defaultColWidth="9.25" defaultRowHeight="14" outlineLevelCol="1" x14ac:dyDescent="0.3"/>
  <cols>
    <col min="1" max="1" width="2.08203125" style="100" customWidth="1"/>
    <col min="2" max="2" width="30.25" style="100" customWidth="1"/>
    <col min="3" max="3" width="18.83203125" style="101" customWidth="1"/>
    <col min="4" max="4" width="18.83203125" style="101" hidden="1" customWidth="1"/>
    <col min="5" max="5" width="20.75" style="101" customWidth="1" collapsed="1"/>
    <col min="6" max="6" width="8.6640625" style="101" hidden="1" customWidth="1" outlineLevel="1"/>
    <col min="7" max="7" width="8.83203125" style="101" hidden="1" customWidth="1" outlineLevel="1"/>
    <col min="8" max="8" width="19.25" style="101" customWidth="1" collapsed="1"/>
    <col min="9" max="9" width="8.6640625" style="101" hidden="1" customWidth="1" outlineLevel="1"/>
    <col min="10" max="10" width="8.83203125" style="101" hidden="1" customWidth="1" outlineLevel="1"/>
    <col min="11" max="11" width="22.4140625" style="101" customWidth="1" collapsed="1"/>
    <col min="12" max="13" width="7.75" style="101" hidden="1" customWidth="1" outlineLevel="1"/>
    <col min="14" max="14" width="21.83203125" style="100" customWidth="1"/>
    <col min="15" max="15" width="22.4140625" style="101" customWidth="1"/>
    <col min="16" max="16" width="9.33203125" style="100" customWidth="1"/>
    <col min="17" max="17" width="10" style="100" customWidth="1"/>
    <col min="18" max="18" width="9.6640625" style="100" customWidth="1"/>
    <col min="19" max="19" width="9.5" style="100" customWidth="1"/>
    <col min="20" max="16384" width="9.25" style="100"/>
  </cols>
  <sheetData>
    <row r="1" spans="1:15" ht="14.5" hidden="1" thickBot="1" x14ac:dyDescent="0.35"/>
    <row r="2" spans="1:15" ht="14.5" hidden="1" thickBot="1" x14ac:dyDescent="0.35"/>
    <row r="3" spans="1:15" s="102" customFormat="1" ht="51" customHeight="1" x14ac:dyDescent="0.35">
      <c r="B3" s="103" t="s">
        <v>78</v>
      </c>
      <c r="C3" s="103" t="s">
        <v>79</v>
      </c>
      <c r="D3" s="103" t="s">
        <v>80</v>
      </c>
      <c r="E3" s="103" t="s">
        <v>81</v>
      </c>
      <c r="F3" s="104" t="s">
        <v>82</v>
      </c>
      <c r="G3" s="104" t="s">
        <v>83</v>
      </c>
      <c r="H3" s="103" t="s">
        <v>84</v>
      </c>
      <c r="I3" s="104" t="s">
        <v>82</v>
      </c>
      <c r="J3" s="104" t="s">
        <v>83</v>
      </c>
      <c r="K3" s="103" t="s">
        <v>85</v>
      </c>
      <c r="L3" s="104" t="s">
        <v>86</v>
      </c>
      <c r="M3" s="104" t="s">
        <v>87</v>
      </c>
      <c r="N3" s="103" t="s">
        <v>88</v>
      </c>
      <c r="O3" s="103" t="s">
        <v>89</v>
      </c>
    </row>
    <row r="4" spans="1:15" ht="21" customHeight="1" x14ac:dyDescent="0.3">
      <c r="A4" s="105"/>
      <c r="B4" s="106" t="s">
        <v>90</v>
      </c>
      <c r="C4" s="107">
        <f t="shared" ref="C4:C18" si="0">(D4-$D$21)/$D$22*20+100</f>
        <v>124.46184508591885</v>
      </c>
      <c r="D4" s="108">
        <f>E4*30%+H4*30%+K4*15%+N4*15%+O4*10%</f>
        <v>75.849249999999998</v>
      </c>
      <c r="E4" s="109">
        <f>(F4*25%+G4*75%)*100</f>
        <v>75.002499999999998</v>
      </c>
      <c r="F4" s="110">
        <f>VLOOKUP(B4,'SEO Kws Rankings'!$D:$J,2,FALSE)</f>
        <v>1</v>
      </c>
      <c r="G4" s="110">
        <f>VLOOKUP(B4,'SEO Kws Rankings'!$D:$J,3,FALSE)</f>
        <v>0.66669999999999996</v>
      </c>
      <c r="H4" s="109">
        <f>(I4*25%+J4*75%)*100</f>
        <v>84.182500000000005</v>
      </c>
      <c r="I4" s="110">
        <f>VLOOKUP(B4,'SEO Kws Rankings'!$D:$J,4,FALSE)</f>
        <v>0.89800000000000002</v>
      </c>
      <c r="J4" s="110">
        <f>VLOOKUP(B4,'SEO Kws Rankings'!$D:$J,5,FALSE)</f>
        <v>0.82310000000000005</v>
      </c>
      <c r="K4" s="109">
        <f>(L4*25%+M4*75%)*100</f>
        <v>20.625</v>
      </c>
      <c r="L4" s="110">
        <f>VLOOKUP(B4,'SEO Kws Rankings'!$D:$J,6,FALSE)</f>
        <v>0.22500000000000001</v>
      </c>
      <c r="M4" s="110">
        <f>VLOOKUP(B4,'SEO Kws Rankings'!$D:$J,7,FALSE)</f>
        <v>0.2</v>
      </c>
      <c r="N4" s="108">
        <f>VLOOKUP(B4,'Search Volume'!D:H,5,FALSE)</f>
        <v>100</v>
      </c>
      <c r="O4" s="109">
        <f>VLOOKUP(B4,Brandzone!D:G,4,0)</f>
        <v>100</v>
      </c>
    </row>
    <row r="5" spans="1:15" ht="21" customHeight="1" x14ac:dyDescent="0.3">
      <c r="A5" s="105"/>
      <c r="B5" s="106" t="s">
        <v>91</v>
      </c>
      <c r="C5" s="107">
        <f t="shared" si="0"/>
        <v>122.29738509612575</v>
      </c>
      <c r="D5" s="108">
        <f t="shared" ref="D5:D18" si="1">E5*30%+H5*30%+K5*15%+N5*15%+O5*10%</f>
        <v>73.985874999999993</v>
      </c>
      <c r="E5" s="109">
        <f>(F5*25%+G5*75%)*100</f>
        <v>81.25</v>
      </c>
      <c r="F5" s="110">
        <f>VLOOKUP(B5,'SEO Kws Rankings'!$D:$J,2,FALSE)</f>
        <v>1</v>
      </c>
      <c r="G5" s="110">
        <f>VLOOKUP(B5,'SEO Kws Rankings'!$D:$J,3,FALSE)</f>
        <v>0.75</v>
      </c>
      <c r="H5" s="109">
        <f>(I5*25%+J5*75%)*100</f>
        <v>75.632500000000007</v>
      </c>
      <c r="I5" s="110">
        <f>VLOOKUP(B5,'SEO Kws Rankings'!$D:$J,4,FALSE)</f>
        <v>0.86080000000000001</v>
      </c>
      <c r="J5" s="110">
        <f>VLOOKUP(B5,'SEO Kws Rankings'!$D:$J,5,FALSE)</f>
        <v>0.72150000000000003</v>
      </c>
      <c r="K5" s="109">
        <f>(L5*25%+M5*75%)*100</f>
        <v>12.807499999999999</v>
      </c>
      <c r="L5" s="110">
        <f>VLOOKUP(B5,'SEO Kws Rankings'!$D:$J,6,FALSE)</f>
        <v>0.14630000000000001</v>
      </c>
      <c r="M5" s="110">
        <f>VLOOKUP(B5,'SEO Kws Rankings'!$D:$J,7,FALSE)</f>
        <v>0.122</v>
      </c>
      <c r="N5" s="108">
        <f>VLOOKUP(B5,'Search Volume'!D:H,5,FALSE)</f>
        <v>100</v>
      </c>
      <c r="O5" s="109">
        <f>VLOOKUP(B5,Brandzone!D:G,4,0)</f>
        <v>100</v>
      </c>
    </row>
    <row r="6" spans="1:15" ht="20.25" customHeight="1" x14ac:dyDescent="0.3">
      <c r="A6" s="105"/>
      <c r="B6" s="106" t="s">
        <v>92</v>
      </c>
      <c r="C6" s="107">
        <f t="shared" si="0"/>
        <v>120.90340821395795</v>
      </c>
      <c r="D6" s="108">
        <f>E6*30%+H6*30%+K6*15%+N6*15%+O6*10%</f>
        <v>72.785805844155846</v>
      </c>
      <c r="E6" s="109">
        <f>(F6*25%+G6*75%)*100</f>
        <v>78.409090909090921</v>
      </c>
      <c r="F6" s="110">
        <f>VLOOKUP(B6,'SEO Kws Rankings'!$D:$J,2,FALSE)</f>
        <v>0.81818181818181823</v>
      </c>
      <c r="G6" s="110">
        <f>VLOOKUP(B6,'SEO Kws Rankings'!$D:$J,3,FALSE)</f>
        <v>0.77272727272727271</v>
      </c>
      <c r="H6" s="109">
        <f>(I6*25%+J6*75%)*100</f>
        <v>80</v>
      </c>
      <c r="I6" s="110">
        <f>VLOOKUP(B6,'SEO Kws Rankings'!$D:$J,4,FALSE)</f>
        <v>0.82068965517241377</v>
      </c>
      <c r="J6" s="110">
        <f>VLOOKUP(B6,'SEO Kws Rankings'!$D:$J,5,FALSE)</f>
        <v>0.7931034482758621</v>
      </c>
      <c r="K6" s="109">
        <f>(L6*25%+M6*75%)*100</f>
        <v>7.1428571428571423</v>
      </c>
      <c r="L6" s="110">
        <f>VLOOKUP(B6,'SEO Kws Rankings'!$D:$J,6,FALSE)</f>
        <v>7.1428571428571425E-2</v>
      </c>
      <c r="M6" s="110">
        <f>VLOOKUP(B6,'SEO Kws Rankings'!$D:$J,7,FALSE)</f>
        <v>7.1428571428571425E-2</v>
      </c>
      <c r="N6" s="108">
        <f>VLOOKUP(B6,'Search Volume'!D:H,5,FALSE)</f>
        <v>94.611000000000004</v>
      </c>
      <c r="O6" s="109">
        <f>VLOOKUP(B6,Brandzone!D:G,4,0)</f>
        <v>100</v>
      </c>
    </row>
    <row r="7" spans="1:15" ht="21" customHeight="1" x14ac:dyDescent="0.3">
      <c r="A7" s="105"/>
      <c r="B7" s="106" t="s">
        <v>93</v>
      </c>
      <c r="C7" s="107">
        <f t="shared" si="0"/>
        <v>118.81596806982378</v>
      </c>
      <c r="D7" s="108">
        <f t="shared" si="1"/>
        <v>70.988736923076914</v>
      </c>
      <c r="E7" s="109">
        <f t="shared" ref="E7:E18" si="2">(F7*25%+G7*75%)*100</f>
        <v>100</v>
      </c>
      <c r="F7" s="110">
        <f>VLOOKUP(B7,'SEO Kws Rankings'!$D:$J,2,FALSE)</f>
        <v>1</v>
      </c>
      <c r="G7" s="110">
        <f>VLOOKUP(B7,'SEO Kws Rankings'!$D:$J,3,FALSE)</f>
        <v>1</v>
      </c>
      <c r="H7" s="109">
        <f t="shared" ref="H7:H18" si="3">(I7*25%+J7*75%)*100</f>
        <v>98.076923076923066</v>
      </c>
      <c r="I7" s="110">
        <f>VLOOKUP(B7,'SEO Kws Rankings'!$D:$J,4,FALSE)</f>
        <v>1</v>
      </c>
      <c r="J7" s="110">
        <f>VLOOKUP(B7,'SEO Kws Rankings'!$D:$J,5,FALSE)</f>
        <v>0.97435897435897434</v>
      </c>
      <c r="K7" s="109">
        <f t="shared" ref="K7:K18" si="4">(L7*25%+M7*75%)*100</f>
        <v>57.500000000000007</v>
      </c>
      <c r="L7" s="110">
        <f>VLOOKUP(B7,'SEO Kws Rankings'!$D:$J,6,FALSE)</f>
        <v>0.65</v>
      </c>
      <c r="M7" s="110">
        <f>VLOOKUP(B7,'SEO Kws Rankings'!$D:$J,7,FALSE)</f>
        <v>0.55000000000000004</v>
      </c>
      <c r="N7" s="108">
        <f>VLOOKUP(B7,'Search Volume'!D:H,5,FALSE)</f>
        <v>19.604399999999998</v>
      </c>
      <c r="O7" s="109">
        <f>VLOOKUP(B7,Brandzone!D:G,4,0)</f>
        <v>0</v>
      </c>
    </row>
    <row r="8" spans="1:15" ht="21" customHeight="1" x14ac:dyDescent="0.3">
      <c r="A8" s="105"/>
      <c r="B8" s="106" t="s">
        <v>94</v>
      </c>
      <c r="C8" s="107">
        <f t="shared" si="0"/>
        <v>112.21997350819352</v>
      </c>
      <c r="D8" s="108">
        <f t="shared" si="1"/>
        <v>65.31027142857144</v>
      </c>
      <c r="E8" s="109">
        <f>(F8*25%+G8*75%)*100</f>
        <v>72.916666666666657</v>
      </c>
      <c r="F8" s="110">
        <f>VLOOKUP(B8,'SEO Kws Rankings'!$D:$J,2,FALSE)</f>
        <v>0.91666666666666663</v>
      </c>
      <c r="G8" s="110">
        <f>VLOOKUP(B8,'SEO Kws Rankings'!$D:$J,3,FALSE)</f>
        <v>0.66666666666666663</v>
      </c>
      <c r="H8" s="109">
        <f>(I8*25%+J8*75%)*100</f>
        <v>76.636904761904773</v>
      </c>
      <c r="I8" s="110">
        <f>VLOOKUP(B8,'SEO Kws Rankings'!$D:$J,4,FALSE)</f>
        <v>0.79761904761904767</v>
      </c>
      <c r="J8" s="110">
        <f>VLOOKUP(B8,'SEO Kws Rankings'!$D:$J,5,FALSE)</f>
        <v>0.75595238095238093</v>
      </c>
      <c r="K8" s="109">
        <f>(L8*25%+M8*75%)*100</f>
        <v>17.5</v>
      </c>
      <c r="L8" s="110">
        <f>VLOOKUP(B8,'SEO Kws Rankings'!$D:$J,6,FALSE)</f>
        <v>0.1</v>
      </c>
      <c r="M8" s="110">
        <f>VLOOKUP(B8,'SEO Kws Rankings'!$D:$J,7,FALSE)</f>
        <v>0.2</v>
      </c>
      <c r="N8" s="108">
        <f>VLOOKUP(B8,'Search Volume'!D:H,5,FALSE)</f>
        <v>52.128</v>
      </c>
      <c r="O8" s="109">
        <f>VLOOKUP(B8,Brandzone!D:G,4,0)</f>
        <v>100</v>
      </c>
    </row>
    <row r="9" spans="1:15" ht="21" customHeight="1" x14ac:dyDescent="0.3">
      <c r="A9" s="105"/>
      <c r="B9" s="106" t="s">
        <v>95</v>
      </c>
      <c r="C9" s="107">
        <f t="shared" si="0"/>
        <v>106.34540644581185</v>
      </c>
      <c r="D9" s="108">
        <f t="shared" si="1"/>
        <v>60.252879999999998</v>
      </c>
      <c r="E9" s="109">
        <f>(F9*25%+G9*75%)*100</f>
        <v>82.75</v>
      </c>
      <c r="F9" s="110">
        <f>VLOOKUP(B9,'SEO Kws Rankings'!$D:$J,2,FALSE)</f>
        <v>1</v>
      </c>
      <c r="G9" s="110">
        <f>VLOOKUP(B9,'SEO Kws Rankings'!$D:$J,3,FALSE)</f>
        <v>0.77</v>
      </c>
      <c r="H9" s="109">
        <f>(I9*25%+J9*75%)*100</f>
        <v>43.25</v>
      </c>
      <c r="I9" s="110">
        <f>VLOOKUP(B9,'SEO Kws Rankings'!$D:$J,4,FALSE)</f>
        <v>0.56000000000000005</v>
      </c>
      <c r="J9" s="110">
        <f>VLOOKUP(B9,'SEO Kws Rankings'!$D:$J,5,FALSE)</f>
        <v>0.39</v>
      </c>
      <c r="K9" s="109">
        <f>(L9*25%+M9*75%)*100</f>
        <v>0</v>
      </c>
      <c r="L9" s="110">
        <f>VLOOKUP(B9,'SEO Kws Rankings'!$D:$J,6,FALSE)</f>
        <v>0</v>
      </c>
      <c r="M9" s="110">
        <f>VLOOKUP(B9,'SEO Kws Rankings'!$D:$J,7,FALSE)</f>
        <v>0</v>
      </c>
      <c r="N9" s="108">
        <f>VLOOKUP(B9,'Search Volume'!D:H,5,FALSE)</f>
        <v>83.019199999999998</v>
      </c>
      <c r="O9" s="109">
        <f>VLOOKUP(B9,Brandzone!D:G,4,0)</f>
        <v>100</v>
      </c>
    </row>
    <row r="10" spans="1:15" ht="21" customHeight="1" x14ac:dyDescent="0.3">
      <c r="A10" s="105"/>
      <c r="B10" s="106" t="s">
        <v>30</v>
      </c>
      <c r="C10" s="107">
        <f t="shared" si="0"/>
        <v>104.98205945982129</v>
      </c>
      <c r="D10" s="108">
        <f t="shared" si="1"/>
        <v>59.079180000000001</v>
      </c>
      <c r="E10" s="109">
        <f>(F10*25%+G10*75%)*100</f>
        <v>100</v>
      </c>
      <c r="F10" s="110">
        <f>VLOOKUP(B10,'SEO Kws Rankings'!$D:$J,2,FALSE)</f>
        <v>1</v>
      </c>
      <c r="G10" s="110">
        <f>VLOOKUP(B10,'SEO Kws Rankings'!$D:$J,3,FALSE)</f>
        <v>1</v>
      </c>
      <c r="H10" s="109">
        <f>(I10*25%+J10*75%)*100</f>
        <v>95.34</v>
      </c>
      <c r="I10" s="110">
        <f>VLOOKUP(B10,'SEO Kws Rankings'!$D:$J,4,FALSE)</f>
        <v>0.95340000000000003</v>
      </c>
      <c r="J10" s="110">
        <f>VLOOKUP(B10,'SEO Kws Rankings'!$D:$J,5,FALSE)</f>
        <v>0.95340000000000003</v>
      </c>
      <c r="K10" s="109">
        <f>(L10*25%+M10*75%)*100</f>
        <v>0</v>
      </c>
      <c r="L10" s="110">
        <f>VLOOKUP(B10,'SEO Kws Rankings'!$D:$J,6,FALSE)</f>
        <v>0</v>
      </c>
      <c r="M10" s="110">
        <f>VLOOKUP(B10,'SEO Kws Rankings'!$D:$J,7,FALSE)</f>
        <v>0</v>
      </c>
      <c r="N10" s="108">
        <f>VLOOKUP(B10,'Search Volume'!D:H,5,FALSE)</f>
        <v>3.1812</v>
      </c>
      <c r="O10" s="109">
        <f>VLOOKUP(B10,Brandzone!D:G,4,0)</f>
        <v>0</v>
      </c>
    </row>
    <row r="11" spans="1:15" ht="21" customHeight="1" x14ac:dyDescent="0.3">
      <c r="A11" s="105"/>
      <c r="B11" s="106" t="s">
        <v>96</v>
      </c>
      <c r="C11" s="107">
        <f t="shared" si="0"/>
        <v>101.37347037094167</v>
      </c>
      <c r="D11" s="108">
        <f t="shared" si="1"/>
        <v>55.972559999999994</v>
      </c>
      <c r="E11" s="109">
        <f>(F11*25%+G11*75%)*100</f>
        <v>91.674999999999997</v>
      </c>
      <c r="F11" s="110">
        <f>VLOOKUP(B11,'SEO Kws Rankings'!$D:$J,2,FALSE)</f>
        <v>0.66700000000000004</v>
      </c>
      <c r="G11" s="110">
        <f>VLOOKUP(B11,'SEO Kws Rankings'!$D:$J,3,FALSE)</f>
        <v>1</v>
      </c>
      <c r="H11" s="109">
        <f>(I11*25%+J11*75%)*100</f>
        <v>88.949999999999989</v>
      </c>
      <c r="I11" s="110">
        <f>VLOOKUP(B11,'SEO Kws Rankings'!$D:$J,4,FALSE)</f>
        <v>0.90900000000000003</v>
      </c>
      <c r="J11" s="110">
        <f>VLOOKUP(B11,'SEO Kws Rankings'!$D:$J,5,FALSE)</f>
        <v>0.88300000000000001</v>
      </c>
      <c r="K11" s="109">
        <f>(L11*25%+M11*75%)*100</f>
        <v>0</v>
      </c>
      <c r="L11" s="110">
        <f>VLOOKUP(B11,'SEO Kws Rankings'!$D:$J,6,FALSE)</f>
        <v>0</v>
      </c>
      <c r="M11" s="110">
        <f>VLOOKUP(B11,'SEO Kws Rankings'!$D:$J,7,FALSE)</f>
        <v>0</v>
      </c>
      <c r="N11" s="108">
        <f>VLOOKUP(B11,'Search Volume'!D:H,5,FALSE)</f>
        <v>11.900399999999999</v>
      </c>
      <c r="O11" s="109">
        <f>VLOOKUP(B11,Brandzone!D:G,4,0)</f>
        <v>0</v>
      </c>
    </row>
    <row r="12" spans="1:15" ht="21" customHeight="1" x14ac:dyDescent="0.3">
      <c r="A12" s="105"/>
      <c r="B12" s="106" t="s">
        <v>97</v>
      </c>
      <c r="C12" s="107">
        <f t="shared" si="0"/>
        <v>99.410962759937291</v>
      </c>
      <c r="D12" s="108">
        <f t="shared" si="1"/>
        <v>54.283044999999994</v>
      </c>
      <c r="E12" s="109">
        <f t="shared" si="2"/>
        <v>64.583333333333343</v>
      </c>
      <c r="F12" s="110">
        <f>VLOOKUP(B12,'SEO Kws Rankings'!$D:$J,2,FALSE)</f>
        <v>0.83333333333333337</v>
      </c>
      <c r="G12" s="110">
        <f>VLOOKUP(B12,'SEO Kws Rankings'!$D:$J,3,FALSE)</f>
        <v>0.58333333333333337</v>
      </c>
      <c r="H12" s="109">
        <f t="shared" si="3"/>
        <v>85.324999999999989</v>
      </c>
      <c r="I12" s="110">
        <f>VLOOKUP(B12,'SEO Kws Rankings'!$D:$J,4,FALSE)</f>
        <v>0.91400000000000003</v>
      </c>
      <c r="J12" s="110">
        <f>VLOOKUP(B12,'SEO Kws Rankings'!$D:$J,5,FALSE)</f>
        <v>0.83299999999999996</v>
      </c>
      <c r="K12" s="109">
        <f t="shared" si="4"/>
        <v>4.6875</v>
      </c>
      <c r="L12" s="110">
        <f>VLOOKUP(B12,'SEO Kws Rankings'!$D:$J,6,FALSE)</f>
        <v>0</v>
      </c>
      <c r="M12" s="110">
        <f>VLOOKUP(B12,'SEO Kws Rankings'!$D:$J,7,FALSE)</f>
        <v>6.25E-2</v>
      </c>
      <c r="N12" s="108">
        <f>VLOOKUP(B12,'Search Volume'!D:H,5,FALSE)</f>
        <v>57.382800000000003</v>
      </c>
      <c r="O12" s="109">
        <f>VLOOKUP(B12,Brandzone!D:G,4,0)</f>
        <v>0</v>
      </c>
    </row>
    <row r="13" spans="1:15" ht="21" customHeight="1" x14ac:dyDescent="0.3">
      <c r="A13" s="105"/>
      <c r="B13" s="106" t="s">
        <v>21</v>
      </c>
      <c r="C13" s="107">
        <f t="shared" si="0"/>
        <v>98.069900695073287</v>
      </c>
      <c r="D13" s="108">
        <f>E13*30%+H13*30%+K13*15%+N13*15%+O13*10%</f>
        <v>53.128529999999998</v>
      </c>
      <c r="E13" s="109">
        <f>(F13*25%+G13*75%)*100</f>
        <v>62.5</v>
      </c>
      <c r="F13" s="110">
        <f>VLOOKUP(B13,'SEO Kws Rankings'!$D:$J,2,FALSE)</f>
        <v>1</v>
      </c>
      <c r="G13" s="110">
        <f>VLOOKUP(B13,'SEO Kws Rankings'!$D:$J,3,FALSE)</f>
        <v>0.5</v>
      </c>
      <c r="H13" s="109">
        <f>(I13*25%+J13*75%)*100</f>
        <v>43.207499999999996</v>
      </c>
      <c r="I13" s="110">
        <f>VLOOKUP(B13,'SEO Kws Rankings'!$D:$J,4,FALSE)</f>
        <v>0.51449999999999996</v>
      </c>
      <c r="J13" s="110">
        <f>VLOOKUP(B13,'SEO Kws Rankings'!$D:$J,5,FALSE)</f>
        <v>0.40460000000000002</v>
      </c>
      <c r="K13" s="109">
        <f>(L13*25%+M13*75%)*100</f>
        <v>0</v>
      </c>
      <c r="L13" s="110">
        <f>VLOOKUP(B13,'SEO Kws Rankings'!$D:$J,6,FALSE)</f>
        <v>0</v>
      </c>
      <c r="M13" s="110">
        <f>VLOOKUP(B13,'SEO Kws Rankings'!$D:$J,7,FALSE)</f>
        <v>0</v>
      </c>
      <c r="N13" s="108">
        <f>VLOOKUP(B13,'Search Volume'!D:H,5,FALSE)</f>
        <v>76.108533333333327</v>
      </c>
      <c r="O13" s="109">
        <f>VLOOKUP(B13,Brandzone!D:G,4,0)</f>
        <v>100</v>
      </c>
    </row>
    <row r="14" spans="1:15" ht="21" customHeight="1" x14ac:dyDescent="0.3">
      <c r="A14" s="105"/>
      <c r="B14" s="106" t="s">
        <v>98</v>
      </c>
      <c r="C14" s="107">
        <f t="shared" si="0"/>
        <v>96.344036063297779</v>
      </c>
      <c r="D14" s="108">
        <f t="shared" si="1"/>
        <v>51.642740000000003</v>
      </c>
      <c r="E14" s="109">
        <f>(F14*25%+G14*75%)*100</f>
        <v>62.5</v>
      </c>
      <c r="F14" s="110">
        <f>VLOOKUP(B14,'SEO Kws Rankings'!$D:$J,2,FALSE)</f>
        <v>1</v>
      </c>
      <c r="G14" s="110">
        <f>VLOOKUP(B14,'SEO Kws Rankings'!$D:$J,3,FALSE)</f>
        <v>0.5</v>
      </c>
      <c r="H14" s="109">
        <f>(I14*25%+J14*75%)*100</f>
        <v>45.2</v>
      </c>
      <c r="I14" s="110">
        <f>VLOOKUP(B14,'SEO Kws Rankings'!$D:$J,4,FALSE)</f>
        <v>0.53600000000000003</v>
      </c>
      <c r="J14" s="110">
        <f>VLOOKUP(B14,'SEO Kws Rankings'!$D:$J,5,FALSE)</f>
        <v>0.42399999999999999</v>
      </c>
      <c r="K14" s="109">
        <f>(L14*25%+M14*75%)*100</f>
        <v>0</v>
      </c>
      <c r="L14" s="110">
        <f>VLOOKUP(B14,'SEO Kws Rankings'!$D:$J,6,FALSE)</f>
        <v>0</v>
      </c>
      <c r="M14" s="110">
        <f>VLOOKUP(B14,'SEO Kws Rankings'!$D:$J,7,FALSE)</f>
        <v>0</v>
      </c>
      <c r="N14" s="108">
        <f>VLOOKUP(B14,'Search Volume'!D:H,5,FALSE)</f>
        <v>62.218266666666665</v>
      </c>
      <c r="O14" s="109">
        <f>VLOOKUP(B14,Brandzone!D:G,4,0)</f>
        <v>100</v>
      </c>
    </row>
    <row r="15" spans="1:15" ht="20.25" customHeight="1" x14ac:dyDescent="0.3">
      <c r="A15" s="105"/>
      <c r="B15" s="106" t="s">
        <v>99</v>
      </c>
      <c r="C15" s="107">
        <f t="shared" si="0"/>
        <v>86.721621913199229</v>
      </c>
      <c r="D15" s="108">
        <f t="shared" si="1"/>
        <v>43.358841913875601</v>
      </c>
      <c r="E15" s="109">
        <f t="shared" si="2"/>
        <v>37.5</v>
      </c>
      <c r="F15" s="110">
        <f>VLOOKUP(B15,'SEO Kws Rankings'!$D:$J,2,FALSE)</f>
        <v>0.75</v>
      </c>
      <c r="G15" s="110">
        <f>VLOOKUP(B15,'SEO Kws Rankings'!$D:$J,3,FALSE)</f>
        <v>0.25</v>
      </c>
      <c r="H15" s="109">
        <f t="shared" si="3"/>
        <v>42.763157894736842</v>
      </c>
      <c r="I15" s="110">
        <f>VLOOKUP(B15,'SEO Kws Rankings'!$D:$J,4,FALSE)</f>
        <v>0.48684210526315791</v>
      </c>
      <c r="J15" s="110">
        <f>VLOOKUP(B15,'SEO Kws Rankings'!$D:$J,5,FALSE)</f>
        <v>0.40789473684210525</v>
      </c>
      <c r="K15" s="109">
        <f t="shared" si="4"/>
        <v>1.1363636363636365</v>
      </c>
      <c r="L15" s="110">
        <f>VLOOKUP(B15,'SEO Kws Rankings'!$D:$J,6,FALSE)</f>
        <v>4.5454545454545456E-2</v>
      </c>
      <c r="M15" s="110">
        <f>VLOOKUP(B15,'SEO Kws Rankings'!$D:$J,7,FALSE)</f>
        <v>0</v>
      </c>
      <c r="N15" s="108">
        <f>VLOOKUP(B15,'Search Volume'!D:H,5,FALSE)</f>
        <v>60.729599999999998</v>
      </c>
      <c r="O15" s="109">
        <f>VLOOKUP(B15,Brandzone!D:G,4,0)</f>
        <v>100</v>
      </c>
    </row>
    <row r="16" spans="1:15" ht="21" customHeight="1" x14ac:dyDescent="0.3">
      <c r="A16" s="105"/>
      <c r="B16" s="106" t="s">
        <v>100</v>
      </c>
      <c r="C16" s="107">
        <f t="shared" si="0"/>
        <v>81.064567386445759</v>
      </c>
      <c r="D16" s="108">
        <f t="shared" si="1"/>
        <v>38.488706162464979</v>
      </c>
      <c r="E16" s="109">
        <f t="shared" si="2"/>
        <v>82.35294117647058</v>
      </c>
      <c r="F16" s="110">
        <f>VLOOKUP(B16,'SEO Kws Rankings'!$D:$J,2,FALSE)</f>
        <v>1</v>
      </c>
      <c r="G16" s="110">
        <f>VLOOKUP(B16,'SEO Kws Rankings'!$D:$J,3,FALSE)</f>
        <v>0.76470588235294112</v>
      </c>
      <c r="H16" s="109">
        <f t="shared" si="3"/>
        <v>21.031746031746028</v>
      </c>
      <c r="I16" s="110">
        <f>VLOOKUP(B16,'SEO Kws Rankings'!$D:$J,4,FALSE)</f>
        <v>0.26984126984126983</v>
      </c>
      <c r="J16" s="110">
        <f>VLOOKUP(B16,'SEO Kws Rankings'!$D:$J,5,FALSE)</f>
        <v>0.19047619047619047</v>
      </c>
      <c r="K16" s="109">
        <f t="shared" si="4"/>
        <v>1</v>
      </c>
      <c r="L16" s="110">
        <f>VLOOKUP(B16,'SEO Kws Rankings'!$D:$J,6,FALSE)</f>
        <v>0.04</v>
      </c>
      <c r="M16" s="110">
        <f>VLOOKUP(B16,'SEO Kws Rankings'!$D:$J,7,FALSE)</f>
        <v>0</v>
      </c>
      <c r="N16" s="108">
        <f>VLOOKUP(B16,'Search Volume'!D:H,5,FALSE)</f>
        <v>48.821999999999996</v>
      </c>
      <c r="O16" s="109">
        <f>VLOOKUP(B16,Brandzone!D:G,4,0)</f>
        <v>0</v>
      </c>
    </row>
    <row r="17" spans="1:15" ht="21" customHeight="1" x14ac:dyDescent="0.3">
      <c r="A17" s="105"/>
      <c r="B17" s="106" t="s">
        <v>77</v>
      </c>
      <c r="C17" s="107">
        <f t="shared" si="0"/>
        <v>75.31784998650636</v>
      </c>
      <c r="D17" s="108">
        <f t="shared" si="1"/>
        <v>33.541379999999997</v>
      </c>
      <c r="E17" s="109">
        <f t="shared" si="2"/>
        <v>80</v>
      </c>
      <c r="F17" s="110">
        <f>VLOOKUP(B17,'SEO Kws Rankings'!$D:$J,2,FALSE)</f>
        <v>0.8</v>
      </c>
      <c r="G17" s="110">
        <f>VLOOKUP(B17,'SEO Kws Rankings'!$D:$J,3,FALSE)</f>
        <v>0.8</v>
      </c>
      <c r="H17" s="109">
        <f t="shared" si="3"/>
        <v>7.9750000000000005</v>
      </c>
      <c r="I17" s="110">
        <f>VLOOKUP(B17,'SEO Kws Rankings'!$D:$J,4,FALSE)</f>
        <v>0.14499999999999999</v>
      </c>
      <c r="J17" s="110">
        <f>VLOOKUP(B17,'SEO Kws Rankings'!$D:$J,5,FALSE)</f>
        <v>5.8000000000000003E-2</v>
      </c>
      <c r="K17" s="109">
        <f t="shared" si="4"/>
        <v>0</v>
      </c>
      <c r="L17" s="110">
        <f>VLOOKUP(B17,'SEO Kws Rankings'!$D:$J,6,FALSE)</f>
        <v>0</v>
      </c>
      <c r="M17" s="110">
        <f>VLOOKUP(B17,'SEO Kws Rankings'!$D:$J,7,FALSE)</f>
        <v>0</v>
      </c>
      <c r="N17" s="108">
        <f>VLOOKUP(B17,'Search Volume'!D:H,5,FALSE)</f>
        <v>47.659199999999998</v>
      </c>
      <c r="O17" s="109">
        <f>VLOOKUP(B17,Brandzone!D:G,4,0)</f>
        <v>0</v>
      </c>
    </row>
    <row r="18" spans="1:15" ht="21" customHeight="1" x14ac:dyDescent="0.3">
      <c r="A18" s="105"/>
      <c r="B18" s="106" t="s">
        <v>101</v>
      </c>
      <c r="C18" s="107">
        <f t="shared" si="0"/>
        <v>51.671544944945744</v>
      </c>
      <c r="D18" s="108">
        <f t="shared" si="1"/>
        <v>13.184369999999998</v>
      </c>
      <c r="E18" s="109">
        <f t="shared" si="2"/>
        <v>33.332499999999996</v>
      </c>
      <c r="F18" s="110">
        <f>VLOOKUP(B18,'SEO Kws Rankings'!$D:$J,2,FALSE)</f>
        <v>0.33329999999999999</v>
      </c>
      <c r="G18" s="110">
        <f>VLOOKUP(B18,'SEO Kws Rankings'!$D:$J,3,FALSE)</f>
        <v>0.33333333333333331</v>
      </c>
      <c r="H18" s="109">
        <f t="shared" si="3"/>
        <v>6.5</v>
      </c>
      <c r="I18" s="110">
        <f>VLOOKUP(B18,'SEO Kws Rankings'!$D:$J,4,FALSE)</f>
        <v>0.08</v>
      </c>
      <c r="J18" s="110">
        <f>VLOOKUP(B18,'SEO Kws Rankings'!$D:$J,5,FALSE)</f>
        <v>0.06</v>
      </c>
      <c r="K18" s="109">
        <f t="shared" si="4"/>
        <v>0</v>
      </c>
      <c r="L18" s="110">
        <f>VLOOKUP(B18,'SEO Kws Rankings'!$D:$J,6,FALSE)</f>
        <v>0</v>
      </c>
      <c r="M18" s="110">
        <f>VLOOKUP(B18,'SEO Kws Rankings'!$D:$J,7,FALSE)</f>
        <v>0</v>
      </c>
      <c r="N18" s="108">
        <f>VLOOKUP(B18,'Search Volume'!D:H,5,FALSE)</f>
        <v>8.2308000000000003</v>
      </c>
      <c r="O18" s="109">
        <f>VLOOKUP(B18,Brandzone!D:G,4,0)</f>
        <v>0</v>
      </c>
    </row>
    <row r="19" spans="1:15" x14ac:dyDescent="0.3">
      <c r="C19" s="111"/>
      <c r="D19" s="112"/>
      <c r="E19" s="111"/>
      <c r="F19" s="111"/>
      <c r="G19" s="111"/>
      <c r="H19" s="111"/>
      <c r="I19" s="111"/>
      <c r="J19" s="111"/>
      <c r="K19" s="111"/>
      <c r="L19" s="111"/>
      <c r="M19" s="111"/>
      <c r="O19" s="111"/>
    </row>
    <row r="20" spans="1:15" x14ac:dyDescent="0.3"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O20" s="112"/>
    </row>
    <row r="21" spans="1:15" x14ac:dyDescent="0.3">
      <c r="B21" s="113" t="s">
        <v>102</v>
      </c>
      <c r="C21" s="114">
        <f>AVERAGE(C4:C18)</f>
        <v>100.00000000000001</v>
      </c>
      <c r="D21" s="115">
        <f>AVERAGE(D4:D18)</f>
        <v>54.790144818142977</v>
      </c>
      <c r="E21" s="112"/>
      <c r="F21" s="112"/>
      <c r="G21" s="112"/>
      <c r="H21" s="112"/>
      <c r="I21" s="112"/>
      <c r="J21" s="112"/>
      <c r="K21" s="112"/>
      <c r="L21" s="112"/>
      <c r="M21" s="112"/>
      <c r="O21" s="112"/>
    </row>
    <row r="22" spans="1:15" x14ac:dyDescent="0.3">
      <c r="B22" s="113" t="s">
        <v>103</v>
      </c>
      <c r="C22" s="116">
        <f>STDEV(C4:C18)</f>
        <v>20</v>
      </c>
      <c r="D22" s="117">
        <f>STDEV(D4:D18)</f>
        <v>17.217920486283695</v>
      </c>
      <c r="E22" s="112"/>
      <c r="F22" s="112"/>
      <c r="G22" s="112"/>
      <c r="H22" s="112"/>
      <c r="I22" s="112"/>
      <c r="J22" s="112"/>
      <c r="K22" s="112"/>
      <c r="L22" s="112"/>
      <c r="M22" s="112"/>
      <c r="O22" s="112"/>
    </row>
    <row r="23" spans="1:15" x14ac:dyDescent="0.3">
      <c r="B23" s="101"/>
    </row>
    <row r="24" spans="1:15" ht="14.5" x14ac:dyDescent="0.3">
      <c r="B24" s="118"/>
    </row>
    <row r="25" spans="1:15" ht="14.5" x14ac:dyDescent="0.3">
      <c r="B25" s="118"/>
    </row>
  </sheetData>
  <autoFilter ref="B3:K18" xr:uid="{00000000-0009-0000-0000-000000000000}">
    <sortState xmlns:xlrd2="http://schemas.microsoft.com/office/spreadsheetml/2017/richdata2" ref="B4:L18">
      <sortCondition descending="1" ref="C3:C18"/>
    </sortState>
  </autoFilter>
  <phoneticPr fontId="5" type="noConversion"/>
  <conditionalFormatting sqref="H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8 H10:H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8 K10:K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0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horizontalDpi="300" verticalDpi="300" r:id="rId1"/>
  <headerFooter>
    <oddFooter>&amp;C&amp;1#&amp;"arial"&amp;9&amp;K008000C1 -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3002-ADD6-4FC7-88F1-E591A25F41A9}">
  <dimension ref="B1:Q29"/>
  <sheetViews>
    <sheetView showGridLines="0" topLeftCell="B1" workbookViewId="0">
      <selection activeCell="E6" sqref="E6"/>
    </sheetView>
  </sheetViews>
  <sheetFormatPr defaultColWidth="7.75" defaultRowHeight="14" x14ac:dyDescent="0.3"/>
  <cols>
    <col min="1" max="1" width="2.9140625" style="119" customWidth="1"/>
    <col min="2" max="2" width="5.25" style="119" customWidth="1"/>
    <col min="3" max="3" width="8.58203125" style="119" customWidth="1"/>
    <col min="4" max="4" width="19.08203125" style="119" customWidth="1"/>
    <col min="5" max="10" width="11.6640625" style="119" customWidth="1"/>
    <col min="11" max="11" width="7.75" style="119" customWidth="1"/>
    <col min="12" max="12" width="1.5" style="119" customWidth="1"/>
    <col min="13" max="13" width="12.25" style="119" customWidth="1"/>
    <col min="14" max="14" width="9.5" style="119" customWidth="1"/>
    <col min="15" max="15" width="6.75" style="119" customWidth="1"/>
    <col min="16" max="16" width="10.1640625" style="119" customWidth="1"/>
    <col min="17" max="17" width="1.6640625" style="119" customWidth="1"/>
    <col min="18" max="16384" width="7.75" style="119"/>
  </cols>
  <sheetData>
    <row r="1" spans="2:17" ht="45.75" customHeight="1" x14ac:dyDescent="0.3">
      <c r="B1" s="400" t="s">
        <v>104</v>
      </c>
      <c r="C1" s="400"/>
      <c r="D1" s="400"/>
      <c r="E1" s="400"/>
      <c r="F1" s="400"/>
      <c r="G1" s="400"/>
      <c r="H1" s="400"/>
      <c r="I1" s="400"/>
      <c r="J1" s="400"/>
    </row>
    <row r="2" spans="2:17" s="120" customFormat="1" ht="15" customHeight="1" x14ac:dyDescent="0.35">
      <c r="B2" s="401" t="s">
        <v>105</v>
      </c>
      <c r="C2" s="401" t="s">
        <v>106</v>
      </c>
      <c r="D2" s="401" t="s">
        <v>78</v>
      </c>
      <c r="E2" s="401" t="s">
        <v>107</v>
      </c>
      <c r="F2" s="401"/>
      <c r="G2" s="401" t="s">
        <v>108</v>
      </c>
      <c r="H2" s="401"/>
      <c r="I2" s="401" t="s">
        <v>109</v>
      </c>
      <c r="J2" s="401"/>
    </row>
    <row r="3" spans="2:17" s="120" customFormat="1" ht="14.5" x14ac:dyDescent="0.35">
      <c r="B3" s="401"/>
      <c r="C3" s="401"/>
      <c r="D3" s="401"/>
      <c r="E3" s="121" t="s">
        <v>110</v>
      </c>
      <c r="F3" s="121" t="s">
        <v>111</v>
      </c>
      <c r="G3" s="121" t="s">
        <v>110</v>
      </c>
      <c r="H3" s="121" t="s">
        <v>111</v>
      </c>
      <c r="I3" s="121" t="s">
        <v>112</v>
      </c>
      <c r="J3" s="121" t="s">
        <v>113</v>
      </c>
    </row>
    <row r="4" spans="2:17" x14ac:dyDescent="0.3">
      <c r="B4" s="122">
        <v>1</v>
      </c>
      <c r="C4" s="392" t="s">
        <v>114</v>
      </c>
      <c r="D4" s="123" t="s">
        <v>21</v>
      </c>
      <c r="E4" s="124">
        <v>1</v>
      </c>
      <c r="F4" s="124">
        <v>0.5</v>
      </c>
      <c r="G4" s="124">
        <v>0.51449999999999996</v>
      </c>
      <c r="H4" s="124">
        <v>0.40460000000000002</v>
      </c>
      <c r="I4" s="124">
        <v>0</v>
      </c>
      <c r="J4" s="124">
        <v>0</v>
      </c>
    </row>
    <row r="5" spans="2:17" s="100" customFormat="1" x14ac:dyDescent="0.3">
      <c r="B5" s="125">
        <v>2</v>
      </c>
      <c r="C5" s="393"/>
      <c r="D5" s="126" t="s">
        <v>115</v>
      </c>
      <c r="E5" s="124" t="s">
        <v>116</v>
      </c>
      <c r="F5" s="124" t="s">
        <v>116</v>
      </c>
      <c r="G5" s="124" t="s">
        <v>116</v>
      </c>
      <c r="H5" s="124" t="s">
        <v>116</v>
      </c>
      <c r="I5" s="124" t="s">
        <v>116</v>
      </c>
      <c r="J5" s="124" t="s">
        <v>116</v>
      </c>
      <c r="L5" s="127"/>
      <c r="M5" s="128" t="s">
        <v>117</v>
      </c>
      <c r="N5" s="127"/>
      <c r="O5" s="127"/>
      <c r="P5" s="127"/>
      <c r="Q5" s="127"/>
    </row>
    <row r="6" spans="2:17" s="100" customFormat="1" ht="15" customHeight="1" x14ac:dyDescent="0.3">
      <c r="B6" s="125">
        <v>3</v>
      </c>
      <c r="C6" s="393"/>
      <c r="D6" s="126" t="s">
        <v>97</v>
      </c>
      <c r="E6" s="124">
        <f>10/12</f>
        <v>0.83333333333333337</v>
      </c>
      <c r="F6" s="124">
        <f>7/12</f>
        <v>0.58333333333333337</v>
      </c>
      <c r="G6" s="124">
        <v>0.91400000000000003</v>
      </c>
      <c r="H6" s="124">
        <v>0.83299999999999996</v>
      </c>
      <c r="I6" s="124">
        <v>0</v>
      </c>
      <c r="J6" s="124">
        <f>1/16</f>
        <v>6.25E-2</v>
      </c>
      <c r="L6" s="127"/>
      <c r="M6" s="395" t="s">
        <v>118</v>
      </c>
      <c r="N6" s="395"/>
      <c r="O6" s="395"/>
      <c r="P6" s="395"/>
      <c r="Q6" s="127"/>
    </row>
    <row r="7" spans="2:17" s="100" customFormat="1" ht="15" customHeight="1" x14ac:dyDescent="0.3">
      <c r="B7" s="125">
        <v>4</v>
      </c>
      <c r="C7" s="393"/>
      <c r="D7" s="126" t="s">
        <v>41</v>
      </c>
      <c r="E7" s="124" t="s">
        <v>116</v>
      </c>
      <c r="F7" s="124" t="s">
        <v>116</v>
      </c>
      <c r="G7" s="124" t="s">
        <v>116</v>
      </c>
      <c r="H7" s="124" t="s">
        <v>116</v>
      </c>
      <c r="I7" s="124" t="s">
        <v>116</v>
      </c>
      <c r="J7" s="124" t="s">
        <v>116</v>
      </c>
      <c r="L7" s="127"/>
      <c r="M7" s="395"/>
      <c r="N7" s="395"/>
      <c r="O7" s="395"/>
      <c r="P7" s="395"/>
      <c r="Q7" s="127"/>
    </row>
    <row r="8" spans="2:17" s="100" customFormat="1" x14ac:dyDescent="0.3">
      <c r="B8" s="125">
        <v>5</v>
      </c>
      <c r="C8" s="393"/>
      <c r="D8" s="126" t="s">
        <v>119</v>
      </c>
      <c r="E8" s="124" t="s">
        <v>116</v>
      </c>
      <c r="F8" s="124" t="s">
        <v>116</v>
      </c>
      <c r="G8" s="124" t="s">
        <v>116</v>
      </c>
      <c r="H8" s="124" t="s">
        <v>116</v>
      </c>
      <c r="I8" s="124" t="s">
        <v>116</v>
      </c>
      <c r="J8" s="124" t="s">
        <v>116</v>
      </c>
      <c r="L8" s="127"/>
      <c r="M8" s="396" t="s">
        <v>120</v>
      </c>
      <c r="N8" s="398" t="s">
        <v>121</v>
      </c>
      <c r="O8" s="396" t="s">
        <v>122</v>
      </c>
      <c r="P8" s="396" t="s">
        <v>123</v>
      </c>
      <c r="Q8" s="127"/>
    </row>
    <row r="9" spans="2:17" s="100" customFormat="1" x14ac:dyDescent="0.3">
      <c r="B9" s="125">
        <v>6</v>
      </c>
      <c r="C9" s="394"/>
      <c r="D9" s="126" t="s">
        <v>58</v>
      </c>
      <c r="E9" s="124" t="s">
        <v>116</v>
      </c>
      <c r="F9" s="124" t="s">
        <v>116</v>
      </c>
      <c r="G9" s="124" t="s">
        <v>116</v>
      </c>
      <c r="H9" s="124" t="s">
        <v>116</v>
      </c>
      <c r="I9" s="124" t="s">
        <v>116</v>
      </c>
      <c r="J9" s="124" t="s">
        <v>116</v>
      </c>
      <c r="L9" s="127"/>
      <c r="M9" s="397"/>
      <c r="N9" s="399"/>
      <c r="O9" s="397"/>
      <c r="P9" s="397"/>
      <c r="Q9" s="127"/>
    </row>
    <row r="10" spans="2:17" s="100" customFormat="1" x14ac:dyDescent="0.3">
      <c r="B10" s="125">
        <v>7</v>
      </c>
      <c r="C10" s="388" t="s">
        <v>124</v>
      </c>
      <c r="D10" s="126" t="s">
        <v>90</v>
      </c>
      <c r="E10" s="124">
        <v>1</v>
      </c>
      <c r="F10" s="124">
        <v>0.66669999999999996</v>
      </c>
      <c r="G10" s="124">
        <v>0.89800000000000002</v>
      </c>
      <c r="H10" s="124">
        <v>0.82310000000000005</v>
      </c>
      <c r="I10" s="124">
        <v>0.22500000000000001</v>
      </c>
      <c r="J10" s="124">
        <v>0.2</v>
      </c>
      <c r="L10" s="127"/>
      <c r="M10" s="390" t="s">
        <v>125</v>
      </c>
      <c r="N10" s="390" t="s">
        <v>126</v>
      </c>
      <c r="O10" s="129" t="s">
        <v>127</v>
      </c>
      <c r="P10" s="130">
        <v>0.1</v>
      </c>
      <c r="Q10" s="127"/>
    </row>
    <row r="11" spans="2:17" s="100" customFormat="1" x14ac:dyDescent="0.3">
      <c r="B11" s="125">
        <v>8</v>
      </c>
      <c r="C11" s="387"/>
      <c r="D11" s="126" t="s">
        <v>94</v>
      </c>
      <c r="E11" s="124">
        <v>0.91666666666666663</v>
      </c>
      <c r="F11" s="124">
        <v>0.66666666666666663</v>
      </c>
      <c r="G11" s="124">
        <v>0.79761904761904767</v>
      </c>
      <c r="H11" s="124">
        <v>0.75595238095238093</v>
      </c>
      <c r="I11" s="124">
        <f>2/20</f>
        <v>0.1</v>
      </c>
      <c r="J11" s="124">
        <f>2/10</f>
        <v>0.2</v>
      </c>
      <c r="L11" s="127"/>
      <c r="M11" s="391"/>
      <c r="N11" s="391"/>
      <c r="O11" s="129" t="s">
        <v>128</v>
      </c>
      <c r="P11" s="130">
        <v>0.3</v>
      </c>
      <c r="Q11" s="127"/>
    </row>
    <row r="12" spans="2:17" s="100" customFormat="1" x14ac:dyDescent="0.3">
      <c r="B12" s="125">
        <v>9</v>
      </c>
      <c r="C12" s="387"/>
      <c r="D12" s="126" t="s">
        <v>129</v>
      </c>
      <c r="E12" s="124">
        <v>1</v>
      </c>
      <c r="F12" s="124">
        <v>0.77</v>
      </c>
      <c r="G12" s="124">
        <v>0.56000000000000005</v>
      </c>
      <c r="H12" s="124">
        <v>0.39</v>
      </c>
      <c r="I12" s="124">
        <v>0</v>
      </c>
      <c r="J12" s="124">
        <v>0</v>
      </c>
      <c r="L12" s="127"/>
      <c r="M12" s="390" t="s">
        <v>130</v>
      </c>
      <c r="N12" s="390" t="s">
        <v>131</v>
      </c>
      <c r="O12" s="129" t="s">
        <v>127</v>
      </c>
      <c r="P12" s="130">
        <v>0.1</v>
      </c>
      <c r="Q12" s="127"/>
    </row>
    <row r="13" spans="2:17" s="100" customFormat="1" x14ac:dyDescent="0.3">
      <c r="B13" s="125">
        <v>10</v>
      </c>
      <c r="C13" s="387"/>
      <c r="D13" s="126" t="s">
        <v>98</v>
      </c>
      <c r="E13" s="124">
        <v>1</v>
      </c>
      <c r="F13" s="124">
        <v>0.5</v>
      </c>
      <c r="G13" s="124">
        <v>0.53600000000000003</v>
      </c>
      <c r="H13" s="124">
        <v>0.42399999999999999</v>
      </c>
      <c r="I13" s="124">
        <v>0</v>
      </c>
      <c r="J13" s="124">
        <v>0</v>
      </c>
      <c r="L13" s="127"/>
      <c r="M13" s="391"/>
      <c r="N13" s="391"/>
      <c r="O13" s="129" t="s">
        <v>128</v>
      </c>
      <c r="P13" s="130">
        <v>0.3</v>
      </c>
      <c r="Q13" s="127"/>
    </row>
    <row r="14" spans="2:17" s="100" customFormat="1" x14ac:dyDescent="0.3">
      <c r="B14" s="125">
        <v>11</v>
      </c>
      <c r="C14" s="387"/>
      <c r="D14" s="126" t="s">
        <v>99</v>
      </c>
      <c r="E14" s="124">
        <v>0.75</v>
      </c>
      <c r="F14" s="124">
        <v>0.25</v>
      </c>
      <c r="G14" s="124">
        <v>0.48684210526315791</v>
      </c>
      <c r="H14" s="124">
        <v>0.40789473684210525</v>
      </c>
      <c r="I14" s="124">
        <f>1/22</f>
        <v>4.5454545454545456E-2</v>
      </c>
      <c r="J14" s="124">
        <v>0</v>
      </c>
      <c r="L14" s="127"/>
      <c r="M14" s="390" t="s">
        <v>109</v>
      </c>
      <c r="N14" s="390" t="s">
        <v>131</v>
      </c>
      <c r="O14" s="129" t="s">
        <v>127</v>
      </c>
      <c r="P14" s="130">
        <v>0.05</v>
      </c>
      <c r="Q14" s="127"/>
    </row>
    <row r="15" spans="2:17" s="100" customFormat="1" x14ac:dyDescent="0.3">
      <c r="B15" s="125">
        <v>12</v>
      </c>
      <c r="C15" s="387"/>
      <c r="D15" s="126" t="s">
        <v>92</v>
      </c>
      <c r="E15" s="124">
        <v>0.81818181818181823</v>
      </c>
      <c r="F15" s="124">
        <v>0.77272727272727271</v>
      </c>
      <c r="G15" s="124">
        <v>0.82068965517241377</v>
      </c>
      <c r="H15" s="124">
        <v>0.7931034482758621</v>
      </c>
      <c r="I15" s="124">
        <v>7.1428571428571425E-2</v>
      </c>
      <c r="J15" s="124">
        <f>1/14</f>
        <v>7.1428571428571425E-2</v>
      </c>
      <c r="L15" s="127"/>
      <c r="M15" s="391"/>
      <c r="N15" s="391"/>
      <c r="O15" s="129" t="s">
        <v>128</v>
      </c>
      <c r="P15" s="130">
        <v>0.15</v>
      </c>
      <c r="Q15" s="127"/>
    </row>
    <row r="16" spans="2:17" s="100" customFormat="1" x14ac:dyDescent="0.3">
      <c r="B16" s="125">
        <v>13</v>
      </c>
      <c r="C16" s="387"/>
      <c r="D16" s="126" t="s">
        <v>132</v>
      </c>
      <c r="E16" s="124" t="s">
        <v>116</v>
      </c>
      <c r="F16" s="124" t="s">
        <v>116</v>
      </c>
      <c r="G16" s="124" t="s">
        <v>116</v>
      </c>
      <c r="H16" s="124" t="s">
        <v>116</v>
      </c>
      <c r="I16" s="124" t="s">
        <v>116</v>
      </c>
      <c r="J16" s="124" t="s">
        <v>116</v>
      </c>
      <c r="L16" s="127"/>
      <c r="M16" s="127"/>
      <c r="N16" s="127"/>
      <c r="O16" s="127"/>
      <c r="P16" s="127"/>
      <c r="Q16" s="127"/>
    </row>
    <row r="17" spans="2:10" s="100" customFormat="1" x14ac:dyDescent="0.3">
      <c r="B17" s="125">
        <v>14</v>
      </c>
      <c r="C17" s="387"/>
      <c r="D17" s="126" t="s">
        <v>91</v>
      </c>
      <c r="E17" s="124">
        <v>1</v>
      </c>
      <c r="F17" s="124">
        <v>0.75</v>
      </c>
      <c r="G17" s="124">
        <v>0.86080000000000001</v>
      </c>
      <c r="H17" s="124">
        <v>0.72150000000000003</v>
      </c>
      <c r="I17" s="124">
        <v>0.14630000000000001</v>
      </c>
      <c r="J17" s="124">
        <v>0.122</v>
      </c>
    </row>
    <row r="18" spans="2:10" s="100" customFormat="1" x14ac:dyDescent="0.3">
      <c r="B18" s="125">
        <v>15</v>
      </c>
      <c r="C18" s="387"/>
      <c r="D18" s="126" t="s">
        <v>93</v>
      </c>
      <c r="E18" s="124">
        <v>1</v>
      </c>
      <c r="F18" s="124">
        <v>1</v>
      </c>
      <c r="G18" s="124">
        <v>1</v>
      </c>
      <c r="H18" s="124">
        <f>76/78</f>
        <v>0.97435897435897434</v>
      </c>
      <c r="I18" s="124">
        <v>0.65</v>
      </c>
      <c r="J18" s="124">
        <v>0.55000000000000004</v>
      </c>
    </row>
    <row r="19" spans="2:10" s="100" customFormat="1" x14ac:dyDescent="0.3">
      <c r="B19" s="125">
        <v>16</v>
      </c>
      <c r="C19" s="389"/>
      <c r="D19" s="126" t="s">
        <v>133</v>
      </c>
      <c r="E19" s="124" t="s">
        <v>116</v>
      </c>
      <c r="F19" s="124" t="s">
        <v>116</v>
      </c>
      <c r="G19" s="124" t="s">
        <v>116</v>
      </c>
      <c r="H19" s="124" t="s">
        <v>116</v>
      </c>
      <c r="I19" s="124" t="s">
        <v>116</v>
      </c>
      <c r="J19" s="124" t="s">
        <v>116</v>
      </c>
    </row>
    <row r="20" spans="2:10" s="100" customFormat="1" x14ac:dyDescent="0.3">
      <c r="B20" s="125">
        <v>17</v>
      </c>
      <c r="C20" s="383" t="s">
        <v>134</v>
      </c>
      <c r="D20" s="126" t="s">
        <v>135</v>
      </c>
      <c r="E20" s="124" t="s">
        <v>116</v>
      </c>
      <c r="F20" s="124" t="s">
        <v>116</v>
      </c>
      <c r="G20" s="124" t="s">
        <v>116</v>
      </c>
      <c r="H20" s="124" t="s">
        <v>116</v>
      </c>
      <c r="I20" s="124" t="s">
        <v>116</v>
      </c>
      <c r="J20" s="124" t="s">
        <v>116</v>
      </c>
    </row>
    <row r="21" spans="2:10" s="100" customFormat="1" x14ac:dyDescent="0.3">
      <c r="B21" s="125">
        <v>18</v>
      </c>
      <c r="C21" s="384"/>
      <c r="D21" s="126" t="s">
        <v>77</v>
      </c>
      <c r="E21" s="124">
        <v>0.8</v>
      </c>
      <c r="F21" s="124">
        <v>0.8</v>
      </c>
      <c r="G21" s="124">
        <v>0.14499999999999999</v>
      </c>
      <c r="H21" s="124">
        <v>5.8000000000000003E-2</v>
      </c>
      <c r="I21" s="124">
        <v>0</v>
      </c>
      <c r="J21" s="124">
        <v>0</v>
      </c>
    </row>
    <row r="22" spans="2:10" s="100" customFormat="1" x14ac:dyDescent="0.3">
      <c r="B22" s="125">
        <v>19</v>
      </c>
      <c r="C22" s="384"/>
      <c r="D22" s="126" t="s">
        <v>100</v>
      </c>
      <c r="E22" s="124">
        <v>1</v>
      </c>
      <c r="F22" s="124">
        <v>0.76470588235294112</v>
      </c>
      <c r="G22" s="124">
        <v>0.26984126984126983</v>
      </c>
      <c r="H22" s="124">
        <v>0.19047619047619047</v>
      </c>
      <c r="I22" s="124">
        <v>0.04</v>
      </c>
      <c r="J22" s="124">
        <v>0</v>
      </c>
    </row>
    <row r="23" spans="2:10" s="100" customFormat="1" x14ac:dyDescent="0.3">
      <c r="B23" s="125">
        <v>20</v>
      </c>
      <c r="C23" s="384"/>
      <c r="D23" s="126" t="s">
        <v>38</v>
      </c>
      <c r="E23" s="124">
        <v>0.33329999999999999</v>
      </c>
      <c r="F23" s="124">
        <f>1/3</f>
        <v>0.33333333333333331</v>
      </c>
      <c r="G23" s="124">
        <f>4/50</f>
        <v>0.08</v>
      </c>
      <c r="H23" s="124">
        <f>3/50</f>
        <v>0.06</v>
      </c>
      <c r="I23" s="124">
        <v>0</v>
      </c>
      <c r="J23" s="124">
        <v>0</v>
      </c>
    </row>
    <row r="24" spans="2:10" s="100" customFormat="1" x14ac:dyDescent="0.3">
      <c r="B24" s="125">
        <v>21</v>
      </c>
      <c r="C24" s="385"/>
      <c r="D24" s="126" t="s">
        <v>30</v>
      </c>
      <c r="E24" s="124">
        <v>1</v>
      </c>
      <c r="F24" s="124">
        <v>1</v>
      </c>
      <c r="G24" s="124">
        <v>0.95340000000000003</v>
      </c>
      <c r="H24" s="124">
        <v>0.95340000000000003</v>
      </c>
      <c r="I24" s="124">
        <v>0</v>
      </c>
      <c r="J24" s="124">
        <v>0</v>
      </c>
    </row>
    <row r="25" spans="2:10" s="100" customFormat="1" x14ac:dyDescent="0.3">
      <c r="B25" s="125">
        <v>22</v>
      </c>
      <c r="C25" s="386" t="s">
        <v>136</v>
      </c>
      <c r="D25" s="126" t="s">
        <v>137</v>
      </c>
      <c r="E25" s="124" t="s">
        <v>116</v>
      </c>
      <c r="F25" s="124" t="s">
        <v>116</v>
      </c>
      <c r="G25" s="124" t="s">
        <v>116</v>
      </c>
      <c r="H25" s="124" t="s">
        <v>116</v>
      </c>
      <c r="I25" s="124" t="s">
        <v>116</v>
      </c>
      <c r="J25" s="124" t="s">
        <v>116</v>
      </c>
    </row>
    <row r="26" spans="2:10" s="100" customFormat="1" x14ac:dyDescent="0.3">
      <c r="B26" s="125">
        <v>23</v>
      </c>
      <c r="C26" s="387"/>
      <c r="D26" s="126" t="s">
        <v>138</v>
      </c>
      <c r="E26" s="124" t="s">
        <v>116</v>
      </c>
      <c r="F26" s="124" t="s">
        <v>116</v>
      </c>
      <c r="G26" s="124" t="s">
        <v>116</v>
      </c>
      <c r="H26" s="124" t="s">
        <v>116</v>
      </c>
      <c r="I26" s="124" t="s">
        <v>116</v>
      </c>
      <c r="J26" s="124" t="s">
        <v>116</v>
      </c>
    </row>
    <row r="27" spans="2:10" s="100" customFormat="1" x14ac:dyDescent="0.3">
      <c r="B27" s="125">
        <v>24</v>
      </c>
      <c r="C27" s="131" t="s">
        <v>139</v>
      </c>
      <c r="D27" s="132" t="s">
        <v>96</v>
      </c>
      <c r="E27" s="124">
        <v>0.66700000000000004</v>
      </c>
      <c r="F27" s="124">
        <v>1</v>
      </c>
      <c r="G27" s="124">
        <v>0.90900000000000003</v>
      </c>
      <c r="H27" s="124">
        <v>0.88300000000000001</v>
      </c>
      <c r="I27" s="124">
        <v>0</v>
      </c>
      <c r="J27" s="124">
        <v>0</v>
      </c>
    </row>
    <row r="29" spans="2:10" x14ac:dyDescent="0.3">
      <c r="E29" s="100"/>
      <c r="G29" s="100"/>
    </row>
  </sheetData>
  <mergeCells count="22">
    <mergeCell ref="B1:J1"/>
    <mergeCell ref="B2:B3"/>
    <mergeCell ref="C2:C3"/>
    <mergeCell ref="D2:D3"/>
    <mergeCell ref="E2:F2"/>
    <mergeCell ref="G2:H2"/>
    <mergeCell ref="I2:J2"/>
    <mergeCell ref="C4:C9"/>
    <mergeCell ref="M6:P7"/>
    <mergeCell ref="M8:M9"/>
    <mergeCell ref="N8:N9"/>
    <mergeCell ref="O8:O9"/>
    <mergeCell ref="P8:P9"/>
    <mergeCell ref="C20:C24"/>
    <mergeCell ref="C25:C26"/>
    <mergeCell ref="C10:C19"/>
    <mergeCell ref="M10:M11"/>
    <mergeCell ref="N10:N11"/>
    <mergeCell ref="M12:M13"/>
    <mergeCell ref="N12:N13"/>
    <mergeCell ref="M14:M15"/>
    <mergeCell ref="N14:N15"/>
  </mergeCells>
  <phoneticPr fontId="5" type="noConversion"/>
  <pageMargins left="0.7" right="0.7" top="0.75" bottom="0.75" header="0.3" footer="0.3"/>
  <pageSetup paperSize="9" orientation="portrait" r:id="rId1"/>
  <headerFooter>
    <oddFooter>&amp;C&amp;1#&amp;"arial"&amp;9&amp;K008000C1 - Internal use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F3C5-BCDC-4FF1-B2C5-EFD411E22785}">
  <dimension ref="B1:M29"/>
  <sheetViews>
    <sheetView showGridLines="0" workbookViewId="0">
      <selection activeCell="L20" sqref="L20"/>
    </sheetView>
  </sheetViews>
  <sheetFormatPr defaultColWidth="7.75" defaultRowHeight="14" x14ac:dyDescent="0.3"/>
  <cols>
    <col min="1" max="1" width="2.9140625" style="119" customWidth="1"/>
    <col min="2" max="2" width="5.25" style="119" customWidth="1"/>
    <col min="3" max="3" width="8.58203125" style="119" customWidth="1"/>
    <col min="4" max="4" width="21" style="119" customWidth="1"/>
    <col min="5" max="8" width="11.6640625" style="119" customWidth="1"/>
    <col min="9" max="9" width="7.75" style="119" customWidth="1"/>
    <col min="10" max="10" width="1.5" style="119" customWidth="1"/>
    <col min="11" max="12" width="19.5" style="119" customWidth="1"/>
    <col min="13" max="13" width="1.6640625" style="119" customWidth="1"/>
    <col min="14" max="16384" width="7.75" style="119"/>
  </cols>
  <sheetData>
    <row r="1" spans="2:13" ht="45.75" customHeight="1" x14ac:dyDescent="0.3">
      <c r="B1" s="400" t="s">
        <v>140</v>
      </c>
      <c r="C1" s="400"/>
      <c r="D1" s="400"/>
      <c r="E1" s="400"/>
      <c r="F1" s="400"/>
      <c r="G1" s="133"/>
      <c r="H1" s="133"/>
    </row>
    <row r="2" spans="2:13" s="120" customFormat="1" ht="15" customHeight="1" x14ac:dyDescent="0.35">
      <c r="B2" s="401" t="s">
        <v>105</v>
      </c>
      <c r="C2" s="401" t="s">
        <v>106</v>
      </c>
      <c r="D2" s="401" t="s">
        <v>78</v>
      </c>
      <c r="E2" s="402" t="s">
        <v>141</v>
      </c>
      <c r="F2" s="403"/>
      <c r="G2" s="403"/>
      <c r="H2" s="134"/>
    </row>
    <row r="3" spans="2:13" s="120" customFormat="1" ht="14.5" x14ac:dyDescent="0.35">
      <c r="B3" s="401"/>
      <c r="C3" s="401"/>
      <c r="D3" s="401"/>
      <c r="E3" s="121" t="s">
        <v>142</v>
      </c>
      <c r="F3" s="121" t="s">
        <v>128</v>
      </c>
      <c r="G3" s="135" t="s">
        <v>143</v>
      </c>
      <c r="H3" s="135" t="s">
        <v>144</v>
      </c>
    </row>
    <row r="4" spans="2:13" x14ac:dyDescent="0.3">
      <c r="B4" s="122">
        <v>1</v>
      </c>
      <c r="C4" s="392" t="s">
        <v>114</v>
      </c>
      <c r="D4" s="123" t="s">
        <v>21</v>
      </c>
      <c r="E4" s="136">
        <v>57161</v>
      </c>
      <c r="F4" s="136">
        <v>113653</v>
      </c>
      <c r="G4" s="136">
        <f t="shared" ref="G4:G27" si="0">SUM(E4:F4)</f>
        <v>170814</v>
      </c>
      <c r="H4" s="137">
        <f>IF(G4&gt;500000,100,IF(G4&gt;200000,(G4-200000)/300000*20+80,IF(G4&gt;50000,(G4-50000)/150000*20+60,G4/50000*60)))</f>
        <v>76.108533333333327</v>
      </c>
    </row>
    <row r="5" spans="2:13" s="100" customFormat="1" x14ac:dyDescent="0.3">
      <c r="B5" s="125">
        <v>2</v>
      </c>
      <c r="C5" s="393"/>
      <c r="D5" s="126" t="s">
        <v>115</v>
      </c>
      <c r="E5" s="136" t="s">
        <v>116</v>
      </c>
      <c r="F5" s="136" t="s">
        <v>116</v>
      </c>
      <c r="G5" s="136">
        <f t="shared" si="0"/>
        <v>0</v>
      </c>
      <c r="H5" s="137">
        <f t="shared" ref="H5:H27" si="1">IF(G5&gt;500000,100,IF(G5&gt;200000,(G5-200000)/300000*20+80,IF(G5&gt;50000,(G5-50000)/150000*20+60,G5/50000*60)))</f>
        <v>0</v>
      </c>
      <c r="J5" s="127"/>
      <c r="K5" s="128" t="s">
        <v>145</v>
      </c>
      <c r="L5" s="127"/>
      <c r="M5" s="127"/>
    </row>
    <row r="6" spans="2:13" s="100" customFormat="1" ht="15" customHeight="1" x14ac:dyDescent="0.3">
      <c r="B6" s="125">
        <v>3</v>
      </c>
      <c r="C6" s="393"/>
      <c r="D6" s="126" t="s">
        <v>97</v>
      </c>
      <c r="E6" s="136">
        <v>20395</v>
      </c>
      <c r="F6" s="136">
        <v>27424</v>
      </c>
      <c r="G6" s="136">
        <f t="shared" si="0"/>
        <v>47819</v>
      </c>
      <c r="H6" s="137">
        <f t="shared" si="1"/>
        <v>57.382800000000003</v>
      </c>
      <c r="J6" s="127"/>
      <c r="K6" s="395" t="s">
        <v>146</v>
      </c>
      <c r="L6" s="395"/>
      <c r="M6" s="127"/>
    </row>
    <row r="7" spans="2:13" s="100" customFormat="1" ht="15" customHeight="1" x14ac:dyDescent="0.3">
      <c r="B7" s="125">
        <v>4</v>
      </c>
      <c r="C7" s="393"/>
      <c r="D7" s="126" t="s">
        <v>41</v>
      </c>
      <c r="E7" s="136" t="s">
        <v>116</v>
      </c>
      <c r="F7" s="136" t="s">
        <v>116</v>
      </c>
      <c r="G7" s="136">
        <f t="shared" si="0"/>
        <v>0</v>
      </c>
      <c r="H7" s="137">
        <f t="shared" si="1"/>
        <v>0</v>
      </c>
      <c r="J7" s="127"/>
      <c r="K7" s="395"/>
      <c r="L7" s="395"/>
      <c r="M7" s="127"/>
    </row>
    <row r="8" spans="2:13" s="100" customFormat="1" ht="15" customHeight="1" x14ac:dyDescent="0.3">
      <c r="B8" s="125">
        <v>5</v>
      </c>
      <c r="C8" s="393"/>
      <c r="D8" s="126" t="s">
        <v>119</v>
      </c>
      <c r="E8" s="136" t="s">
        <v>116</v>
      </c>
      <c r="F8" s="136" t="s">
        <v>116</v>
      </c>
      <c r="G8" s="136">
        <f t="shared" si="0"/>
        <v>0</v>
      </c>
      <c r="H8" s="137">
        <f t="shared" si="1"/>
        <v>0</v>
      </c>
      <c r="J8" s="127"/>
      <c r="K8" s="138" t="s">
        <v>147</v>
      </c>
      <c r="L8" s="138" t="s">
        <v>148</v>
      </c>
      <c r="M8" s="127"/>
    </row>
    <row r="9" spans="2:13" s="100" customFormat="1" x14ac:dyDescent="0.3">
      <c r="B9" s="125">
        <v>6</v>
      </c>
      <c r="C9" s="394"/>
      <c r="D9" s="126" t="s">
        <v>58</v>
      </c>
      <c r="E9" s="136" t="s">
        <v>116</v>
      </c>
      <c r="F9" s="136" t="s">
        <v>116</v>
      </c>
      <c r="G9" s="136">
        <f t="shared" si="0"/>
        <v>0</v>
      </c>
      <c r="H9" s="137">
        <f t="shared" si="1"/>
        <v>0</v>
      </c>
      <c r="J9" s="127"/>
      <c r="K9" s="139" t="s">
        <v>149</v>
      </c>
      <c r="L9" s="139">
        <v>100</v>
      </c>
      <c r="M9" s="127"/>
    </row>
    <row r="10" spans="2:13" s="100" customFormat="1" x14ac:dyDescent="0.3">
      <c r="B10" s="125">
        <v>7</v>
      </c>
      <c r="C10" s="388" t="s">
        <v>124</v>
      </c>
      <c r="D10" s="126" t="s">
        <v>90</v>
      </c>
      <c r="E10" s="136">
        <v>109607</v>
      </c>
      <c r="F10" s="136">
        <v>757995</v>
      </c>
      <c r="G10" s="136">
        <f t="shared" si="0"/>
        <v>867602</v>
      </c>
      <c r="H10" s="137">
        <f t="shared" si="1"/>
        <v>100</v>
      </c>
      <c r="J10" s="127"/>
      <c r="K10" s="139" t="s">
        <v>150</v>
      </c>
      <c r="L10" s="139" t="s">
        <v>151</v>
      </c>
      <c r="M10" s="127"/>
    </row>
    <row r="11" spans="2:13" s="100" customFormat="1" x14ac:dyDescent="0.3">
      <c r="B11" s="125">
        <v>8</v>
      </c>
      <c r="C11" s="387"/>
      <c r="D11" s="126" t="s">
        <v>94</v>
      </c>
      <c r="E11" s="136">
        <v>14246</v>
      </c>
      <c r="F11" s="136">
        <v>29194</v>
      </c>
      <c r="G11" s="136">
        <f t="shared" si="0"/>
        <v>43440</v>
      </c>
      <c r="H11" s="137">
        <f t="shared" si="1"/>
        <v>52.128</v>
      </c>
      <c r="J11" s="127"/>
      <c r="K11" s="139" t="s">
        <v>152</v>
      </c>
      <c r="L11" s="139" t="s">
        <v>153</v>
      </c>
      <c r="M11" s="127"/>
    </row>
    <row r="12" spans="2:13" s="100" customFormat="1" x14ac:dyDescent="0.3">
      <c r="B12" s="125">
        <v>9</v>
      </c>
      <c r="C12" s="387"/>
      <c r="D12" s="126" t="s">
        <v>129</v>
      </c>
      <c r="E12" s="136">
        <v>51386</v>
      </c>
      <c r="F12" s="136">
        <v>193902</v>
      </c>
      <c r="G12" s="136">
        <f>SUM(E12:F12)</f>
        <v>245288</v>
      </c>
      <c r="H12" s="137">
        <f t="shared" si="1"/>
        <v>83.019199999999998</v>
      </c>
      <c r="J12" s="127"/>
      <c r="K12" s="140" t="s">
        <v>154</v>
      </c>
      <c r="L12" s="139" t="s">
        <v>155</v>
      </c>
      <c r="M12" s="127"/>
    </row>
    <row r="13" spans="2:13" s="100" customFormat="1" x14ac:dyDescent="0.3">
      <c r="B13" s="125">
        <v>10</v>
      </c>
      <c r="C13" s="387"/>
      <c r="D13" s="126" t="s">
        <v>98</v>
      </c>
      <c r="E13" s="136">
        <v>17943</v>
      </c>
      <c r="F13" s="136">
        <v>48694</v>
      </c>
      <c r="G13" s="136">
        <f t="shared" si="0"/>
        <v>66637</v>
      </c>
      <c r="H13" s="137">
        <f t="shared" si="1"/>
        <v>62.218266666666665</v>
      </c>
      <c r="J13" s="127"/>
      <c r="K13" s="141"/>
      <c r="L13" s="141"/>
      <c r="M13" s="127"/>
    </row>
    <row r="14" spans="2:13" s="100" customFormat="1" x14ac:dyDescent="0.3">
      <c r="B14" s="125">
        <v>11</v>
      </c>
      <c r="C14" s="387"/>
      <c r="D14" s="126" t="s">
        <v>99</v>
      </c>
      <c r="E14" s="136">
        <v>15068</v>
      </c>
      <c r="F14" s="136">
        <v>40404</v>
      </c>
      <c r="G14" s="136">
        <f t="shared" si="0"/>
        <v>55472</v>
      </c>
      <c r="H14" s="137">
        <f t="shared" si="1"/>
        <v>60.729599999999998</v>
      </c>
      <c r="K14" s="142"/>
      <c r="L14" s="142"/>
    </row>
    <row r="15" spans="2:13" s="100" customFormat="1" x14ac:dyDescent="0.3">
      <c r="B15" s="125">
        <v>12</v>
      </c>
      <c r="C15" s="387"/>
      <c r="D15" s="126" t="s">
        <v>92</v>
      </c>
      <c r="E15" s="136">
        <v>82856</v>
      </c>
      <c r="F15" s="136">
        <v>336309</v>
      </c>
      <c r="G15" s="136">
        <f t="shared" si="0"/>
        <v>419165</v>
      </c>
      <c r="H15" s="137">
        <f t="shared" si="1"/>
        <v>94.611000000000004</v>
      </c>
      <c r="K15" s="142"/>
      <c r="L15" s="142"/>
    </row>
    <row r="16" spans="2:13" s="100" customFormat="1" x14ac:dyDescent="0.3">
      <c r="B16" s="125">
        <v>13</v>
      </c>
      <c r="C16" s="387"/>
      <c r="D16" s="126" t="s">
        <v>132</v>
      </c>
      <c r="E16" s="136" t="s">
        <v>116</v>
      </c>
      <c r="F16" s="136" t="s">
        <v>116</v>
      </c>
      <c r="G16" s="136">
        <f t="shared" si="0"/>
        <v>0</v>
      </c>
      <c r="H16" s="137">
        <f t="shared" si="1"/>
        <v>0</v>
      </c>
    </row>
    <row r="17" spans="2:8" s="100" customFormat="1" x14ac:dyDescent="0.3">
      <c r="B17" s="125">
        <v>14</v>
      </c>
      <c r="C17" s="387"/>
      <c r="D17" s="126" t="s">
        <v>91</v>
      </c>
      <c r="E17" s="136">
        <v>110592</v>
      </c>
      <c r="F17" s="136">
        <v>524618</v>
      </c>
      <c r="G17" s="136">
        <f t="shared" si="0"/>
        <v>635210</v>
      </c>
      <c r="H17" s="137">
        <f t="shared" si="1"/>
        <v>100</v>
      </c>
    </row>
    <row r="18" spans="2:8" s="100" customFormat="1" x14ac:dyDescent="0.3">
      <c r="B18" s="125">
        <v>15</v>
      </c>
      <c r="C18" s="387"/>
      <c r="D18" s="126" t="s">
        <v>93</v>
      </c>
      <c r="E18" s="136">
        <v>5173</v>
      </c>
      <c r="F18" s="136">
        <v>11164</v>
      </c>
      <c r="G18" s="136">
        <f t="shared" si="0"/>
        <v>16337</v>
      </c>
      <c r="H18" s="137">
        <f t="shared" si="1"/>
        <v>19.604399999999998</v>
      </c>
    </row>
    <row r="19" spans="2:8" s="100" customFormat="1" x14ac:dyDescent="0.3">
      <c r="B19" s="125">
        <v>16</v>
      </c>
      <c r="C19" s="389"/>
      <c r="D19" s="126" t="s">
        <v>133</v>
      </c>
      <c r="E19" s="136" t="s">
        <v>116</v>
      </c>
      <c r="F19" s="136" t="s">
        <v>116</v>
      </c>
      <c r="G19" s="136">
        <f t="shared" si="0"/>
        <v>0</v>
      </c>
      <c r="H19" s="137">
        <f t="shared" si="1"/>
        <v>0</v>
      </c>
    </row>
    <row r="20" spans="2:8" s="100" customFormat="1" x14ac:dyDescent="0.3">
      <c r="B20" s="125">
        <v>17</v>
      </c>
      <c r="C20" s="383" t="s">
        <v>134</v>
      </c>
      <c r="D20" s="126" t="s">
        <v>135</v>
      </c>
      <c r="E20" s="136" t="s">
        <v>116</v>
      </c>
      <c r="F20" s="136" t="s">
        <v>116</v>
      </c>
      <c r="G20" s="136">
        <f t="shared" si="0"/>
        <v>0</v>
      </c>
      <c r="H20" s="137">
        <f t="shared" si="1"/>
        <v>0</v>
      </c>
    </row>
    <row r="21" spans="2:8" s="100" customFormat="1" x14ac:dyDescent="0.3">
      <c r="B21" s="125">
        <v>18</v>
      </c>
      <c r="C21" s="384"/>
      <c r="D21" s="126" t="s">
        <v>77</v>
      </c>
      <c r="E21" s="136">
        <v>15040</v>
      </c>
      <c r="F21" s="136">
        <v>24676</v>
      </c>
      <c r="G21" s="136">
        <f t="shared" si="0"/>
        <v>39716</v>
      </c>
      <c r="H21" s="137">
        <f t="shared" si="1"/>
        <v>47.659199999999998</v>
      </c>
    </row>
    <row r="22" spans="2:8" s="100" customFormat="1" x14ac:dyDescent="0.3">
      <c r="B22" s="125">
        <v>19</v>
      </c>
      <c r="C22" s="384"/>
      <c r="D22" s="126" t="s">
        <v>100</v>
      </c>
      <c r="E22" s="136">
        <v>15027</v>
      </c>
      <c r="F22" s="136">
        <v>25658</v>
      </c>
      <c r="G22" s="136">
        <f t="shared" si="0"/>
        <v>40685</v>
      </c>
      <c r="H22" s="137">
        <f t="shared" si="1"/>
        <v>48.821999999999996</v>
      </c>
    </row>
    <row r="23" spans="2:8" s="100" customFormat="1" x14ac:dyDescent="0.3">
      <c r="B23" s="125">
        <v>20</v>
      </c>
      <c r="C23" s="384"/>
      <c r="D23" s="126" t="s">
        <v>38</v>
      </c>
      <c r="E23" s="136">
        <v>3958</v>
      </c>
      <c r="F23" s="136">
        <v>2901</v>
      </c>
      <c r="G23" s="136">
        <f t="shared" si="0"/>
        <v>6859</v>
      </c>
      <c r="H23" s="137">
        <f t="shared" si="1"/>
        <v>8.2308000000000003</v>
      </c>
    </row>
    <row r="24" spans="2:8" s="100" customFormat="1" x14ac:dyDescent="0.3">
      <c r="B24" s="125">
        <v>21</v>
      </c>
      <c r="C24" s="385"/>
      <c r="D24" s="126" t="s">
        <v>30</v>
      </c>
      <c r="E24" s="136">
        <v>1150</v>
      </c>
      <c r="F24" s="136">
        <v>1501</v>
      </c>
      <c r="G24" s="136">
        <f t="shared" si="0"/>
        <v>2651</v>
      </c>
      <c r="H24" s="137">
        <f t="shared" si="1"/>
        <v>3.1812</v>
      </c>
    </row>
    <row r="25" spans="2:8" s="100" customFormat="1" x14ac:dyDescent="0.3">
      <c r="B25" s="125">
        <v>22</v>
      </c>
      <c r="C25" s="386" t="s">
        <v>136</v>
      </c>
      <c r="D25" s="126" t="s">
        <v>137</v>
      </c>
      <c r="E25" s="136" t="s">
        <v>116</v>
      </c>
      <c r="F25" s="136" t="s">
        <v>116</v>
      </c>
      <c r="G25" s="136">
        <f t="shared" si="0"/>
        <v>0</v>
      </c>
      <c r="H25" s="137">
        <f t="shared" si="1"/>
        <v>0</v>
      </c>
    </row>
    <row r="26" spans="2:8" s="100" customFormat="1" x14ac:dyDescent="0.3">
      <c r="B26" s="125">
        <v>23</v>
      </c>
      <c r="C26" s="387"/>
      <c r="D26" s="126" t="s">
        <v>138</v>
      </c>
      <c r="E26" s="136" t="s">
        <v>116</v>
      </c>
      <c r="F26" s="136" t="s">
        <v>116</v>
      </c>
      <c r="G26" s="136">
        <f t="shared" si="0"/>
        <v>0</v>
      </c>
      <c r="H26" s="137">
        <f t="shared" si="1"/>
        <v>0</v>
      </c>
    </row>
    <row r="27" spans="2:8" s="100" customFormat="1" x14ac:dyDescent="0.3">
      <c r="B27" s="125">
        <v>24</v>
      </c>
      <c r="C27" s="131" t="s">
        <v>139</v>
      </c>
      <c r="D27" s="132" t="s">
        <v>96</v>
      </c>
      <c r="E27" s="136">
        <v>3559</v>
      </c>
      <c r="F27" s="136">
        <v>6358</v>
      </c>
      <c r="G27" s="136">
        <f t="shared" si="0"/>
        <v>9917</v>
      </c>
      <c r="H27" s="137">
        <f t="shared" si="1"/>
        <v>11.900399999999999</v>
      </c>
    </row>
    <row r="29" spans="2:8" x14ac:dyDescent="0.3">
      <c r="E29" s="100"/>
    </row>
  </sheetData>
  <mergeCells count="10">
    <mergeCell ref="K6:L7"/>
    <mergeCell ref="C10:C19"/>
    <mergeCell ref="C20:C24"/>
    <mergeCell ref="C25:C26"/>
    <mergeCell ref="B1:F1"/>
    <mergeCell ref="B2:B3"/>
    <mergeCell ref="C2:C3"/>
    <mergeCell ref="D2:D3"/>
    <mergeCell ref="E2:G2"/>
    <mergeCell ref="C4:C9"/>
  </mergeCells>
  <phoneticPr fontId="5" type="noConversion"/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F499-1406-4E00-90B2-D8D3A58EDB8A}">
  <dimension ref="A1:M27"/>
  <sheetViews>
    <sheetView showGridLines="0" workbookViewId="0">
      <selection activeCell="K32" sqref="K32"/>
    </sheetView>
  </sheetViews>
  <sheetFormatPr defaultColWidth="9.25" defaultRowHeight="14" x14ac:dyDescent="0.3"/>
  <cols>
    <col min="1" max="3" width="9.25" style="100"/>
    <col min="4" max="4" width="27.5" style="100" customWidth="1"/>
    <col min="5" max="5" width="8.83203125" style="100" customWidth="1"/>
    <col min="6" max="6" width="9.25" style="100"/>
    <col min="7" max="7" width="10.5" style="100" customWidth="1"/>
    <col min="8" max="8" width="9.25" style="100"/>
    <col min="9" max="9" width="2.5" style="100" customWidth="1"/>
    <col min="10" max="12" width="13.1640625" style="100" customWidth="1"/>
    <col min="13" max="13" width="1.9140625" style="100" customWidth="1"/>
    <col min="14" max="16384" width="9.25" style="100"/>
  </cols>
  <sheetData>
    <row r="1" spans="1:13" ht="38.25" customHeight="1" x14ac:dyDescent="0.3">
      <c r="A1" s="119"/>
      <c r="B1" s="406" t="s">
        <v>156</v>
      </c>
      <c r="C1" s="407"/>
      <c r="D1" s="407"/>
      <c r="E1" s="407"/>
      <c r="F1" s="407"/>
      <c r="G1" s="407"/>
    </row>
    <row r="2" spans="1:13" ht="18" customHeight="1" x14ac:dyDescent="0.35">
      <c r="A2" s="120"/>
      <c r="B2" s="401" t="s">
        <v>105</v>
      </c>
      <c r="C2" s="401" t="s">
        <v>106</v>
      </c>
      <c r="D2" s="401" t="s">
        <v>78</v>
      </c>
      <c r="E2" s="401" t="s">
        <v>157</v>
      </c>
      <c r="F2" s="401"/>
      <c r="G2" s="143" t="s">
        <v>158</v>
      </c>
    </row>
    <row r="3" spans="1:13" ht="14.5" x14ac:dyDescent="0.35">
      <c r="A3" s="120"/>
      <c r="B3" s="401"/>
      <c r="C3" s="401"/>
      <c r="D3" s="401"/>
      <c r="E3" s="121" t="s">
        <v>127</v>
      </c>
      <c r="F3" s="121" t="s">
        <v>128</v>
      </c>
      <c r="G3" s="121" t="s">
        <v>144</v>
      </c>
    </row>
    <row r="4" spans="1:13" x14ac:dyDescent="0.3">
      <c r="A4" s="119"/>
      <c r="B4" s="122">
        <v>1</v>
      </c>
      <c r="C4" s="392" t="s">
        <v>114</v>
      </c>
      <c r="D4" s="123" t="s">
        <v>21</v>
      </c>
      <c r="E4" s="144" t="s">
        <v>159</v>
      </c>
      <c r="F4" s="144" t="s">
        <v>159</v>
      </c>
      <c r="G4" s="145">
        <f>IF(E4="yes",30,0)+IF(F4="yes",70,0)</f>
        <v>100</v>
      </c>
    </row>
    <row r="5" spans="1:13" x14ac:dyDescent="0.3">
      <c r="B5" s="125">
        <v>2</v>
      </c>
      <c r="C5" s="393"/>
      <c r="D5" s="126" t="s">
        <v>115</v>
      </c>
      <c r="E5" s="124" t="s">
        <v>116</v>
      </c>
      <c r="F5" s="124" t="s">
        <v>116</v>
      </c>
      <c r="G5" s="145">
        <f t="shared" ref="G5:G27" si="0">IF(E5="yes",30,0)+IF(F5="yes",70,0)</f>
        <v>0</v>
      </c>
      <c r="I5" s="127"/>
      <c r="J5" s="128" t="s">
        <v>160</v>
      </c>
      <c r="K5" s="128"/>
      <c r="L5" s="127"/>
      <c r="M5" s="127"/>
    </row>
    <row r="6" spans="1:13" x14ac:dyDescent="0.3">
      <c r="B6" s="125">
        <v>3</v>
      </c>
      <c r="C6" s="393"/>
      <c r="D6" s="126" t="s">
        <v>97</v>
      </c>
      <c r="E6" s="124" t="s">
        <v>161</v>
      </c>
      <c r="F6" s="124" t="s">
        <v>161</v>
      </c>
      <c r="G6" s="145">
        <f t="shared" si="0"/>
        <v>0</v>
      </c>
      <c r="I6" s="127"/>
      <c r="J6" s="404" t="s">
        <v>162</v>
      </c>
      <c r="K6" s="404"/>
      <c r="L6" s="404"/>
      <c r="M6" s="127"/>
    </row>
    <row r="7" spans="1:13" x14ac:dyDescent="0.3">
      <c r="B7" s="125">
        <v>4</v>
      </c>
      <c r="C7" s="393"/>
      <c r="D7" s="126" t="s">
        <v>41</v>
      </c>
      <c r="E7" s="124" t="s">
        <v>116</v>
      </c>
      <c r="F7" s="124" t="s">
        <v>116</v>
      </c>
      <c r="G7" s="145">
        <f t="shared" si="0"/>
        <v>0</v>
      </c>
      <c r="I7" s="127"/>
      <c r="J7" s="404"/>
      <c r="K7" s="404"/>
      <c r="L7" s="404"/>
      <c r="M7" s="127"/>
    </row>
    <row r="8" spans="1:13" ht="15" customHeight="1" x14ac:dyDescent="0.3">
      <c r="B8" s="125">
        <v>5</v>
      </c>
      <c r="C8" s="393"/>
      <c r="D8" s="126" t="s">
        <v>119</v>
      </c>
      <c r="E8" s="124" t="s">
        <v>116</v>
      </c>
      <c r="F8" s="124" t="s">
        <v>116</v>
      </c>
      <c r="G8" s="145">
        <f t="shared" si="0"/>
        <v>0</v>
      </c>
      <c r="I8" s="127"/>
      <c r="J8" s="405" t="s">
        <v>122</v>
      </c>
      <c r="K8" s="398" t="s">
        <v>163</v>
      </c>
      <c r="L8" s="405" t="s">
        <v>144</v>
      </c>
      <c r="M8" s="127"/>
    </row>
    <row r="9" spans="1:13" x14ac:dyDescent="0.3">
      <c r="B9" s="125">
        <v>6</v>
      </c>
      <c r="C9" s="394"/>
      <c r="D9" s="126" t="s">
        <v>58</v>
      </c>
      <c r="E9" s="124" t="s">
        <v>116</v>
      </c>
      <c r="F9" s="124" t="s">
        <v>116</v>
      </c>
      <c r="G9" s="145">
        <f t="shared" si="0"/>
        <v>0</v>
      </c>
      <c r="I9" s="127"/>
      <c r="J9" s="405"/>
      <c r="K9" s="399"/>
      <c r="L9" s="405"/>
      <c r="M9" s="127"/>
    </row>
    <row r="10" spans="1:13" ht="15" customHeight="1" x14ac:dyDescent="0.3">
      <c r="B10" s="125">
        <v>7</v>
      </c>
      <c r="C10" s="388" t="s">
        <v>124</v>
      </c>
      <c r="D10" s="126" t="s">
        <v>90</v>
      </c>
      <c r="E10" s="144" t="s">
        <v>159</v>
      </c>
      <c r="F10" s="144" t="s">
        <v>159</v>
      </c>
      <c r="G10" s="145">
        <f t="shared" si="0"/>
        <v>100</v>
      </c>
      <c r="I10" s="127"/>
      <c r="J10" s="390" t="s">
        <v>127</v>
      </c>
      <c r="K10" s="139" t="s">
        <v>159</v>
      </c>
      <c r="L10" s="146">
        <v>30</v>
      </c>
      <c r="M10" s="127"/>
    </row>
    <row r="11" spans="1:13" x14ac:dyDescent="0.3">
      <c r="B11" s="125">
        <v>8</v>
      </c>
      <c r="C11" s="387"/>
      <c r="D11" s="126" t="s">
        <v>94</v>
      </c>
      <c r="E11" s="144" t="s">
        <v>159</v>
      </c>
      <c r="F11" s="144" t="s">
        <v>159</v>
      </c>
      <c r="G11" s="145">
        <f t="shared" si="0"/>
        <v>100</v>
      </c>
      <c r="I11" s="127"/>
      <c r="J11" s="391"/>
      <c r="K11" s="139" t="s">
        <v>161</v>
      </c>
      <c r="L11" s="146">
        <v>0</v>
      </c>
      <c r="M11" s="127"/>
    </row>
    <row r="12" spans="1:13" x14ac:dyDescent="0.3">
      <c r="B12" s="125">
        <v>9</v>
      </c>
      <c r="C12" s="387"/>
      <c r="D12" s="126" t="s">
        <v>129</v>
      </c>
      <c r="E12" s="144" t="s">
        <v>159</v>
      </c>
      <c r="F12" s="144" t="s">
        <v>159</v>
      </c>
      <c r="G12" s="145">
        <f t="shared" si="0"/>
        <v>100</v>
      </c>
      <c r="I12" s="127"/>
      <c r="J12" s="390" t="s">
        <v>128</v>
      </c>
      <c r="K12" s="139" t="s">
        <v>159</v>
      </c>
      <c r="L12" s="146">
        <v>70</v>
      </c>
      <c r="M12" s="127"/>
    </row>
    <row r="13" spans="1:13" x14ac:dyDescent="0.3">
      <c r="B13" s="125">
        <v>10</v>
      </c>
      <c r="C13" s="387"/>
      <c r="D13" s="126" t="s">
        <v>98</v>
      </c>
      <c r="E13" s="144" t="s">
        <v>159</v>
      </c>
      <c r="F13" s="144" t="s">
        <v>159</v>
      </c>
      <c r="G13" s="145">
        <f t="shared" si="0"/>
        <v>100</v>
      </c>
      <c r="I13" s="127"/>
      <c r="J13" s="391" t="s">
        <v>128</v>
      </c>
      <c r="K13" s="139" t="s">
        <v>161</v>
      </c>
      <c r="L13" s="146">
        <v>0</v>
      </c>
      <c r="M13" s="127"/>
    </row>
    <row r="14" spans="1:13" x14ac:dyDescent="0.3">
      <c r="B14" s="125">
        <v>11</v>
      </c>
      <c r="C14" s="387"/>
      <c r="D14" s="126" t="s">
        <v>99</v>
      </c>
      <c r="E14" s="144" t="s">
        <v>159</v>
      </c>
      <c r="F14" s="144" t="s">
        <v>159</v>
      </c>
      <c r="G14" s="145">
        <f t="shared" si="0"/>
        <v>100</v>
      </c>
      <c r="I14" s="127"/>
      <c r="J14" s="141"/>
      <c r="K14" s="147"/>
      <c r="L14" s="141"/>
      <c r="M14" s="127"/>
    </row>
    <row r="15" spans="1:13" x14ac:dyDescent="0.3">
      <c r="B15" s="125">
        <v>12</v>
      </c>
      <c r="C15" s="387"/>
      <c r="D15" s="126" t="s">
        <v>92</v>
      </c>
      <c r="E15" s="144" t="s">
        <v>159</v>
      </c>
      <c r="F15" s="144" t="s">
        <v>159</v>
      </c>
      <c r="G15" s="145">
        <f t="shared" si="0"/>
        <v>100</v>
      </c>
    </row>
    <row r="16" spans="1:13" x14ac:dyDescent="0.3">
      <c r="B16" s="125">
        <v>13</v>
      </c>
      <c r="C16" s="387"/>
      <c r="D16" s="126" t="s">
        <v>132</v>
      </c>
      <c r="E16" s="124" t="s">
        <v>116</v>
      </c>
      <c r="F16" s="124" t="s">
        <v>116</v>
      </c>
      <c r="G16" s="145">
        <f t="shared" si="0"/>
        <v>0</v>
      </c>
    </row>
    <row r="17" spans="2:12" x14ac:dyDescent="0.3">
      <c r="B17" s="125">
        <v>14</v>
      </c>
      <c r="C17" s="387"/>
      <c r="D17" s="126" t="s">
        <v>91</v>
      </c>
      <c r="E17" s="144" t="s">
        <v>159</v>
      </c>
      <c r="F17" s="144" t="s">
        <v>159</v>
      </c>
      <c r="G17" s="145">
        <f t="shared" si="0"/>
        <v>100</v>
      </c>
      <c r="J17" s="142"/>
      <c r="K17" s="148"/>
      <c r="L17" s="142"/>
    </row>
    <row r="18" spans="2:12" x14ac:dyDescent="0.3">
      <c r="B18" s="125">
        <v>15</v>
      </c>
      <c r="C18" s="387"/>
      <c r="D18" s="126" t="s">
        <v>93</v>
      </c>
      <c r="E18" s="124" t="s">
        <v>161</v>
      </c>
      <c r="F18" s="124" t="s">
        <v>161</v>
      </c>
      <c r="G18" s="145">
        <f t="shared" si="0"/>
        <v>0</v>
      </c>
    </row>
    <row r="19" spans="2:12" x14ac:dyDescent="0.3">
      <c r="B19" s="125">
        <v>16</v>
      </c>
      <c r="C19" s="389"/>
      <c r="D19" s="126" t="s">
        <v>133</v>
      </c>
      <c r="E19" s="124" t="s">
        <v>116</v>
      </c>
      <c r="F19" s="124" t="s">
        <v>116</v>
      </c>
      <c r="G19" s="145">
        <f t="shared" si="0"/>
        <v>0</v>
      </c>
    </row>
    <row r="20" spans="2:12" x14ac:dyDescent="0.3">
      <c r="B20" s="125">
        <v>17</v>
      </c>
      <c r="C20" s="383" t="s">
        <v>134</v>
      </c>
      <c r="D20" s="126" t="s">
        <v>135</v>
      </c>
      <c r="E20" s="124" t="s">
        <v>116</v>
      </c>
      <c r="F20" s="124" t="s">
        <v>116</v>
      </c>
      <c r="G20" s="145">
        <f t="shared" si="0"/>
        <v>0</v>
      </c>
    </row>
    <row r="21" spans="2:12" x14ac:dyDescent="0.3">
      <c r="B21" s="125">
        <v>18</v>
      </c>
      <c r="C21" s="384"/>
      <c r="D21" s="126" t="s">
        <v>77</v>
      </c>
      <c r="E21" s="124" t="s">
        <v>161</v>
      </c>
      <c r="F21" s="124" t="s">
        <v>161</v>
      </c>
      <c r="G21" s="145">
        <f t="shared" si="0"/>
        <v>0</v>
      </c>
    </row>
    <row r="22" spans="2:12" x14ac:dyDescent="0.3">
      <c r="B22" s="125">
        <v>19</v>
      </c>
      <c r="C22" s="384"/>
      <c r="D22" s="126" t="s">
        <v>100</v>
      </c>
      <c r="E22" s="124" t="s">
        <v>161</v>
      </c>
      <c r="F22" s="124" t="s">
        <v>161</v>
      </c>
      <c r="G22" s="145">
        <f t="shared" si="0"/>
        <v>0</v>
      </c>
    </row>
    <row r="23" spans="2:12" x14ac:dyDescent="0.3">
      <c r="B23" s="125">
        <v>20</v>
      </c>
      <c r="C23" s="384"/>
      <c r="D23" s="126" t="s">
        <v>38</v>
      </c>
      <c r="E23" s="124" t="s">
        <v>161</v>
      </c>
      <c r="F23" s="124" t="s">
        <v>161</v>
      </c>
      <c r="G23" s="145">
        <f t="shared" si="0"/>
        <v>0</v>
      </c>
    </row>
    <row r="24" spans="2:12" x14ac:dyDescent="0.3">
      <c r="B24" s="125">
        <v>21</v>
      </c>
      <c r="C24" s="385"/>
      <c r="D24" s="126" t="s">
        <v>30</v>
      </c>
      <c r="E24" s="124" t="s">
        <v>161</v>
      </c>
      <c r="F24" s="124" t="s">
        <v>161</v>
      </c>
      <c r="G24" s="145">
        <f t="shared" si="0"/>
        <v>0</v>
      </c>
    </row>
    <row r="25" spans="2:12" x14ac:dyDescent="0.3">
      <c r="B25" s="125">
        <v>22</v>
      </c>
      <c r="C25" s="386" t="s">
        <v>136</v>
      </c>
      <c r="D25" s="126" t="s">
        <v>137</v>
      </c>
      <c r="E25" s="124" t="s">
        <v>116</v>
      </c>
      <c r="F25" s="124" t="s">
        <v>116</v>
      </c>
      <c r="G25" s="145">
        <f t="shared" si="0"/>
        <v>0</v>
      </c>
    </row>
    <row r="26" spans="2:12" x14ac:dyDescent="0.3">
      <c r="B26" s="125">
        <v>23</v>
      </c>
      <c r="C26" s="387"/>
      <c r="D26" s="126" t="s">
        <v>138</v>
      </c>
      <c r="E26" s="124" t="s">
        <v>116</v>
      </c>
      <c r="F26" s="124" t="s">
        <v>116</v>
      </c>
      <c r="G26" s="145">
        <f t="shared" si="0"/>
        <v>0</v>
      </c>
    </row>
    <row r="27" spans="2:12" x14ac:dyDescent="0.3">
      <c r="B27" s="125">
        <v>24</v>
      </c>
      <c r="C27" s="131" t="s">
        <v>139</v>
      </c>
      <c r="D27" s="132" t="s">
        <v>96</v>
      </c>
      <c r="E27" s="124" t="s">
        <v>161</v>
      </c>
      <c r="F27" s="124" t="s">
        <v>161</v>
      </c>
      <c r="G27" s="145">
        <f t="shared" si="0"/>
        <v>0</v>
      </c>
    </row>
  </sheetData>
  <mergeCells count="15">
    <mergeCell ref="B1:G1"/>
    <mergeCell ref="B2:B3"/>
    <mergeCell ref="C2:C3"/>
    <mergeCell ref="D2:D3"/>
    <mergeCell ref="E2:F2"/>
    <mergeCell ref="C20:C24"/>
    <mergeCell ref="C25:C26"/>
    <mergeCell ref="J6:L7"/>
    <mergeCell ref="J8:J9"/>
    <mergeCell ref="K8:K9"/>
    <mergeCell ref="L8:L9"/>
    <mergeCell ref="C10:C19"/>
    <mergeCell ref="J10:J11"/>
    <mergeCell ref="J12:J13"/>
    <mergeCell ref="C4:C9"/>
  </mergeCells>
  <phoneticPr fontId="5" type="noConversion"/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C145-33E6-4B2F-B499-8C224A8ACFFD}">
  <sheetPr>
    <tabColor theme="1" tint="0.34998626667073579"/>
    <outlinePr summaryRight="0"/>
  </sheetPr>
  <dimension ref="A1:AT104"/>
  <sheetViews>
    <sheetView zoomScale="70" zoomScaleNormal="70" workbookViewId="0">
      <pane xSplit="1" ySplit="2" topLeftCell="B3" activePane="bottomRight" state="frozen"/>
      <selection activeCell="R3" sqref="R3"/>
      <selection pane="topRight" activeCell="R3" sqref="R3"/>
      <selection pane="bottomLeft" activeCell="R3" sqref="R3"/>
      <selection pane="bottomRight" activeCell="AJ40" sqref="AJ40"/>
    </sheetView>
  </sheetViews>
  <sheetFormatPr defaultColWidth="9.1640625" defaultRowHeight="13.5" outlineLevelCol="4" x14ac:dyDescent="0.3"/>
  <cols>
    <col min="1" max="1" width="30.83203125" style="154" bestFit="1" customWidth="1"/>
    <col min="2" max="2" width="14.58203125" style="154" customWidth="1"/>
    <col min="3" max="3" width="14.58203125" style="154" hidden="1" customWidth="1" outlineLevel="4"/>
    <col min="4" max="4" width="14.58203125" style="163" customWidth="1" outlineLevel="1"/>
    <col min="5" max="5" width="14.58203125" style="173" hidden="1" customWidth="1" outlineLevel="4"/>
    <col min="6" max="6" width="14.58203125" style="173" customWidth="1" outlineLevel="2" collapsed="1"/>
    <col min="7" max="7" width="14.58203125" style="173" hidden="1" customWidth="1" outlineLevel="4"/>
    <col min="8" max="11" width="14.58203125" style="154" hidden="1" customWidth="1" outlineLevel="3"/>
    <col min="12" max="12" width="14.58203125" style="154" customWidth="1" outlineLevel="2" collapsed="1"/>
    <col min="13" max="13" width="14.58203125" style="154" hidden="1" customWidth="1" outlineLevel="4"/>
    <col min="14" max="17" width="14.58203125" style="154" hidden="1" customWidth="1" outlineLevel="3"/>
    <col min="18" max="18" width="14.58203125" style="154" customWidth="1" outlineLevel="2" collapsed="1"/>
    <col min="19" max="19" width="14.58203125" style="154" hidden="1" customWidth="1" outlineLevel="4"/>
    <col min="20" max="23" width="14.58203125" style="154" hidden="1" customWidth="1" outlineLevel="3"/>
    <col min="24" max="24" width="14.58203125" style="154" customWidth="1" outlineLevel="2" collapsed="1"/>
    <col min="25" max="25" width="14.58203125" style="154" hidden="1" customWidth="1" outlineLevel="4"/>
    <col min="26" max="28" width="14.58203125" style="154" hidden="1" customWidth="1" outlineLevel="3"/>
    <col min="29" max="29" width="14.58203125" style="154" customWidth="1" outlineLevel="2" collapsed="1"/>
    <col min="30" max="30" width="14.58203125" style="154" hidden="1" customWidth="1" outlineLevel="4"/>
    <col min="31" max="35" width="14.58203125" style="154" hidden="1" customWidth="1" outlineLevel="3"/>
    <col min="36" max="36" width="14.58203125" style="154" customWidth="1" outlineLevel="1"/>
    <col min="37" max="37" width="14.58203125" style="154" hidden="1" customWidth="1" outlineLevel="3"/>
    <col min="38" max="38" width="14.58203125" style="154" customWidth="1" outlineLevel="2" collapsed="1"/>
    <col min="39" max="39" width="14.58203125" style="154" hidden="1" customWidth="1" outlineLevel="3"/>
    <col min="40" max="40" width="14.58203125" style="154" customWidth="1" outlineLevel="2" collapsed="1"/>
    <col min="41" max="41" width="14.58203125" style="154" hidden="1" customWidth="1" outlineLevel="3"/>
    <col min="42" max="42" width="14.58203125" style="154" customWidth="1" outlineLevel="2" collapsed="1"/>
    <col min="43" max="43" width="14.58203125" style="154" hidden="1" customWidth="1" outlineLevel="3"/>
    <col min="44" max="44" width="14.58203125" style="154" customWidth="1" outlineLevel="2" collapsed="1"/>
    <col min="45" max="45" width="14.58203125" style="154" hidden="1" customWidth="1" outlineLevel="3"/>
    <col min="46" max="46" width="9.4140625" style="154" hidden="1" customWidth="1"/>
    <col min="47" max="47" width="5.25" style="154" customWidth="1"/>
    <col min="48" max="48" width="11.25" style="154" customWidth="1"/>
    <col min="49" max="49" width="14.5" style="154" customWidth="1"/>
    <col min="50" max="50" width="15.75" style="154" customWidth="1"/>
    <col min="51" max="51" width="13.1640625" style="154" customWidth="1"/>
    <col min="52" max="52" width="11.75" style="154" customWidth="1"/>
    <col min="53" max="53" width="17.75" style="154" customWidth="1"/>
    <col min="54" max="54" width="15.1640625" style="154" customWidth="1"/>
    <col min="55" max="16384" width="9.1640625" style="154"/>
  </cols>
  <sheetData>
    <row r="1" spans="1:45" ht="27" customHeight="1" x14ac:dyDescent="0.3">
      <c r="A1" s="416" t="s">
        <v>0</v>
      </c>
      <c r="B1" s="418" t="s">
        <v>164</v>
      </c>
      <c r="C1" s="414" t="s">
        <v>165</v>
      </c>
      <c r="D1" s="149" t="s">
        <v>166</v>
      </c>
      <c r="E1" s="414" t="s">
        <v>167</v>
      </c>
      <c r="F1" s="150" t="s">
        <v>168</v>
      </c>
      <c r="G1" s="408" t="s">
        <v>8</v>
      </c>
      <c r="H1" s="409"/>
      <c r="I1" s="409"/>
      <c r="J1" s="409"/>
      <c r="K1" s="410"/>
      <c r="L1" s="151" t="s">
        <v>169</v>
      </c>
      <c r="M1" s="408" t="s">
        <v>9</v>
      </c>
      <c r="N1" s="409"/>
      <c r="O1" s="409"/>
      <c r="P1" s="409"/>
      <c r="Q1" s="410"/>
      <c r="R1" s="151" t="s">
        <v>170</v>
      </c>
      <c r="S1" s="408" t="s">
        <v>10</v>
      </c>
      <c r="T1" s="409"/>
      <c r="U1" s="409"/>
      <c r="V1" s="409"/>
      <c r="W1" s="410"/>
      <c r="X1" s="151" t="s">
        <v>171</v>
      </c>
      <c r="Y1" s="408" t="s">
        <v>11</v>
      </c>
      <c r="Z1" s="409"/>
      <c r="AA1" s="409"/>
      <c r="AB1" s="410"/>
      <c r="AC1" s="151" t="s">
        <v>172</v>
      </c>
      <c r="AD1" s="411" t="s">
        <v>12</v>
      </c>
      <c r="AE1" s="412"/>
      <c r="AF1" s="412"/>
      <c r="AG1" s="412"/>
      <c r="AH1" s="412"/>
      <c r="AI1" s="413"/>
      <c r="AJ1" s="152" t="s">
        <v>173</v>
      </c>
      <c r="AK1" s="414" t="s">
        <v>174</v>
      </c>
      <c r="AL1" s="151" t="s">
        <v>175</v>
      </c>
      <c r="AM1" s="151"/>
      <c r="AN1" s="151" t="s">
        <v>176</v>
      </c>
      <c r="AO1" s="151"/>
      <c r="AP1" s="151" t="s">
        <v>177</v>
      </c>
      <c r="AQ1" s="151"/>
      <c r="AR1" s="151" t="s">
        <v>178</v>
      </c>
      <c r="AS1" s="153"/>
    </row>
    <row r="2" spans="1:45" ht="29.15" customHeight="1" x14ac:dyDescent="0.3">
      <c r="A2" s="417"/>
      <c r="B2" s="419"/>
      <c r="C2" s="415"/>
      <c r="D2" s="155">
        <v>0.43</v>
      </c>
      <c r="E2" s="415"/>
      <c r="F2" s="156">
        <v>7.0000000000000007E-2</v>
      </c>
      <c r="G2" s="157" t="s">
        <v>179</v>
      </c>
      <c r="H2" s="157" t="s">
        <v>180</v>
      </c>
      <c r="I2" s="157" t="s">
        <v>181</v>
      </c>
      <c r="J2" s="157" t="s">
        <v>182</v>
      </c>
      <c r="K2" s="157" t="s">
        <v>183</v>
      </c>
      <c r="L2" s="158">
        <v>7.0000000000000007E-2</v>
      </c>
      <c r="M2" s="157" t="s">
        <v>179</v>
      </c>
      <c r="N2" s="157" t="s">
        <v>184</v>
      </c>
      <c r="O2" s="157" t="s">
        <v>185</v>
      </c>
      <c r="P2" s="157" t="s">
        <v>186</v>
      </c>
      <c r="Q2" s="157" t="s">
        <v>187</v>
      </c>
      <c r="R2" s="158">
        <v>7.0000000000000007E-2</v>
      </c>
      <c r="S2" s="157" t="s">
        <v>179</v>
      </c>
      <c r="T2" s="157" t="s">
        <v>188</v>
      </c>
      <c r="U2" s="157" t="s">
        <v>189</v>
      </c>
      <c r="V2" s="157" t="s">
        <v>190</v>
      </c>
      <c r="W2" s="157" t="s">
        <v>191</v>
      </c>
      <c r="X2" s="158">
        <v>0.14000000000000001</v>
      </c>
      <c r="Y2" s="157" t="s">
        <v>192</v>
      </c>
      <c r="Z2" s="157" t="s">
        <v>193</v>
      </c>
      <c r="AA2" s="157" t="s">
        <v>194</v>
      </c>
      <c r="AB2" s="157" t="s">
        <v>195</v>
      </c>
      <c r="AC2" s="158">
        <v>7.0000000000000007E-2</v>
      </c>
      <c r="AD2" s="159" t="s">
        <v>179</v>
      </c>
      <c r="AE2" s="160" t="s">
        <v>196</v>
      </c>
      <c r="AF2" s="160" t="s">
        <v>197</v>
      </c>
      <c r="AG2" s="160" t="s">
        <v>198</v>
      </c>
      <c r="AH2" s="160" t="s">
        <v>199</v>
      </c>
      <c r="AI2" s="160" t="s">
        <v>200</v>
      </c>
      <c r="AJ2" s="161">
        <v>0.56999999999999995</v>
      </c>
      <c r="AK2" s="415"/>
      <c r="AL2" s="158">
        <v>0.21</v>
      </c>
      <c r="AM2" s="158" t="s">
        <v>201</v>
      </c>
      <c r="AN2" s="158">
        <v>7.0000000000000007E-2</v>
      </c>
      <c r="AO2" s="158" t="s">
        <v>201</v>
      </c>
      <c r="AP2" s="158">
        <v>0.14000000000000001</v>
      </c>
      <c r="AQ2" s="158" t="s">
        <v>201</v>
      </c>
      <c r="AR2" s="158">
        <v>0.14000000000000001</v>
      </c>
      <c r="AS2" s="162" t="s">
        <v>201</v>
      </c>
    </row>
    <row r="3" spans="1:45" x14ac:dyDescent="0.3">
      <c r="A3" s="163" t="s">
        <v>18</v>
      </c>
      <c r="B3" s="164">
        <f t="shared" ref="B3:B26" si="0">IFERROR((C3-$C$29)/$C$30*20+100,"NA")</f>
        <v>153.64213681517728</v>
      </c>
      <c r="C3" s="165">
        <f t="shared" ref="C3:C26" si="1">IF(AJ3="NA",D3,($D$2*D3+$AJ$2*AJ3))</f>
        <v>143.85615816971722</v>
      </c>
      <c r="D3" s="164">
        <f t="shared" ref="D3:D26" si="2">IFERROR((E3-$E$29)/$E$30*20+100,0)</f>
        <v>130.55267444933858</v>
      </c>
      <c r="E3" s="166">
        <f t="shared" ref="E3:E26" si="3">G3*$F$2+M3*$L$2+S3*$R$2+Y3*$X$2+AD3*$AC$2</f>
        <v>68.366666666666674</v>
      </c>
      <c r="F3" s="164">
        <f t="shared" ref="F3:F26" si="4">IFERROR((G3-$G$29)/$G$30*20+100,0)</f>
        <v>106.04132870999084</v>
      </c>
      <c r="G3" s="166">
        <f t="shared" ref="G3:G26" si="5">AVERAGE(H3:K3)</f>
        <v>50</v>
      </c>
      <c r="H3" s="166">
        <f>VLOOKUP($A3,'Features Calculation'!$A:$AO,2,0)</f>
        <v>100</v>
      </c>
      <c r="I3" s="166">
        <f>VLOOKUP($A3,'Features Calculation'!$A:$AO,4,0)</f>
        <v>0</v>
      </c>
      <c r="J3" s="166">
        <f>VLOOKUP($A3,'Features Calculation'!$A:$AO,6,0)</f>
        <v>100</v>
      </c>
      <c r="K3" s="166">
        <f>VLOOKUP($A3,'Features Calculation'!$A:$AO,8,0)</f>
        <v>0</v>
      </c>
      <c r="L3" s="164">
        <f t="shared" ref="L3:L26" si="6">IFERROR((M3-$M$29)/$M$30*20+100,0)</f>
        <v>102.88549705462411</v>
      </c>
      <c r="M3" s="166">
        <f t="shared" ref="M3:M26" si="7">AVERAGE(N3:Q3)</f>
        <v>75</v>
      </c>
      <c r="N3" s="166">
        <f>VLOOKUP($A3,'Features Calculation'!$A:$AO,10,0)</f>
        <v>100</v>
      </c>
      <c r="O3" s="166">
        <f>VLOOKUP($A3,'Features Calculation'!$A:$AO,12,0)</f>
        <v>100</v>
      </c>
      <c r="P3" s="166">
        <f>VLOOKUP($A3,'Features Calculation'!$A:$AO,14,0)</f>
        <v>100</v>
      </c>
      <c r="Q3" s="166">
        <f>VLOOKUP($A3,'Features Calculation'!$A:$AO,16,0)</f>
        <v>0</v>
      </c>
      <c r="R3" s="164">
        <f t="shared" ref="R3:R26" si="8">IFERROR((S3-$S$29)/$S$30*20+100,0)</f>
        <v>107.65115525220283</v>
      </c>
      <c r="S3" s="166">
        <f t="shared" ref="S3:S26" si="9">AVERAGE(T3:W3)</f>
        <v>125</v>
      </c>
      <c r="T3" s="166">
        <f>VLOOKUP($A3,'Features Calculation'!$A:$AO,18,0)</f>
        <v>100</v>
      </c>
      <c r="U3" s="166">
        <f>VLOOKUP($A3,'Features Calculation'!$A:$AO,20,0)</f>
        <v>400</v>
      </c>
      <c r="V3" s="166">
        <f>VLOOKUP($A3,'Features Calculation'!$A:$AO,22,0)</f>
        <v>0</v>
      </c>
      <c r="W3" s="166">
        <f>VLOOKUP($A3,'Features Calculation'!$A:$AO,24,0)</f>
        <v>0</v>
      </c>
      <c r="X3" s="164">
        <f t="shared" ref="X3:X26" si="10">IFERROR((Y3-$Y$29)/$Y$30*20+100,0)</f>
        <v>139.39298451394185</v>
      </c>
      <c r="Y3" s="166">
        <f t="shared" ref="Y3:Y26" si="11">AVERAGE(Z3:AB3)</f>
        <v>333.33333333333331</v>
      </c>
      <c r="Z3" s="166">
        <f>VLOOKUP($A3,'Features Calculation'!$A:$AO,26,0)</f>
        <v>500</v>
      </c>
      <c r="AA3" s="166">
        <f>VLOOKUP($A3,'Features Calculation'!$A:$AO,28,0)</f>
        <v>500</v>
      </c>
      <c r="AB3" s="166">
        <f>VLOOKUP($A3,'Features Calculation'!$A:$AO,30,0)</f>
        <v>0</v>
      </c>
      <c r="AC3" s="164">
        <f t="shared" ref="AC3:AC26" si="12">IFERROR((AD3-$AD$29)/$AD$30*20+100,0)</f>
        <v>109.16021150215518</v>
      </c>
      <c r="AD3" s="166">
        <f t="shared" ref="AD3:AD26" si="13">AVERAGE(AE3:AI3)</f>
        <v>60</v>
      </c>
      <c r="AE3" s="166">
        <f>VLOOKUP($A3,'Features Calculation'!$A:$AO,32,0)</f>
        <v>100</v>
      </c>
      <c r="AF3" s="166">
        <f>VLOOKUP($A3,'Features Calculation'!$A:$AO,34,0)</f>
        <v>100</v>
      </c>
      <c r="AG3" s="166">
        <f>VLOOKUP($A3,'Features Calculation'!$A:$AO,36,0)</f>
        <v>0</v>
      </c>
      <c r="AH3" s="166">
        <f>VLOOKUP($A3,'Features Calculation'!$A:$AO,38,0)</f>
        <v>100</v>
      </c>
      <c r="AI3" s="166">
        <f>VLOOKUP($A3,'Features Calculation'!$A:$AO,40,0)</f>
        <v>0</v>
      </c>
      <c r="AJ3" s="167">
        <f t="shared" ref="AJ3:AJ26" si="14">IFERROR((AK3-$AK$29)/$AK$30*20+100,"NA")</f>
        <v>153.89211957280986</v>
      </c>
      <c r="AK3" s="165">
        <f t="shared" ref="AK3:AK26" si="15">IF(AL3="NA","NA",(AL3*$AL$2+AN3*$AN$2+AP3*$AP$2+AR3*$AR$2))</f>
        <v>71.360220342435312</v>
      </c>
      <c r="AL3" s="165">
        <f t="shared" ref="AL3:AL26" si="16">IFERROR((AM3-$AM$29)/$AM$30*20+100,"NA")</f>
        <v>153.10443747478536</v>
      </c>
      <c r="AM3" s="164">
        <f>IFERROR(VLOOKUP($A3,EC!$A:$E,2,0),"NA")</f>
        <v>17056245.57</v>
      </c>
      <c r="AN3" s="165">
        <f t="shared" ref="AN3:AN26" si="17">IFERROR((AO3-$AO$29)/$AO$30*20+100,"NA")</f>
        <v>165.21883804557996</v>
      </c>
      <c r="AO3" s="164">
        <f>IFERROR(VLOOKUP($A3,EC!$A:$E,4,0),"NA")</f>
        <v>3017471</v>
      </c>
      <c r="AP3" s="165">
        <f t="shared" ref="AP3:AP26" si="18">IFERROR((AQ3-$AQ$29)/$AQ$30*20+100,"NA")</f>
        <v>106.46855843224691</v>
      </c>
      <c r="AQ3" s="164">
        <f>IFERROR(VLOOKUP($A3,EC!$A:$E,3,0),"NA")</f>
        <v>806.52581504327452</v>
      </c>
      <c r="AR3" s="165">
        <f t="shared" ref="AR3:AR26" si="19">IFERROR((AS3-$AS$29)/$AS$30*20+100,"NA")</f>
        <v>90.981225921608782</v>
      </c>
      <c r="AS3" s="168">
        <f>IFERROR(VLOOKUP($A3,EC!$A:$E,5,0),"NA")</f>
        <v>7.4999999999999997E-3</v>
      </c>
    </row>
    <row r="4" spans="1:45" x14ac:dyDescent="0.3">
      <c r="A4" s="163" t="s">
        <v>19</v>
      </c>
      <c r="B4" s="164">
        <f t="shared" si="0"/>
        <v>136.95312953961593</v>
      </c>
      <c r="C4" s="165">
        <f t="shared" si="1"/>
        <v>129.18748959529972</v>
      </c>
      <c r="D4" s="164">
        <f t="shared" si="2"/>
        <v>143.43191110213996</v>
      </c>
      <c r="E4" s="166">
        <f t="shared" si="3"/>
        <v>84.233333333333348</v>
      </c>
      <c r="F4" s="164">
        <f t="shared" si="4"/>
        <v>122.77116206073472</v>
      </c>
      <c r="G4" s="166">
        <f t="shared" si="5"/>
        <v>87.5</v>
      </c>
      <c r="H4" s="166">
        <f>VLOOKUP($A4,'Features Calculation'!$A:$AO,2,0)</f>
        <v>100</v>
      </c>
      <c r="I4" s="166">
        <f>VLOOKUP($A4,'Features Calculation'!$A:$AO,4,0)</f>
        <v>250</v>
      </c>
      <c r="J4" s="166">
        <f>VLOOKUP($A4,'Features Calculation'!$A:$AO,6,0)</f>
        <v>0</v>
      </c>
      <c r="K4" s="166">
        <f>VLOOKUP($A4,'Features Calculation'!$A:$AO,8,0)</f>
        <v>0</v>
      </c>
      <c r="L4" s="164">
        <f t="shared" si="6"/>
        <v>116.73588291681985</v>
      </c>
      <c r="M4" s="166">
        <f t="shared" si="7"/>
        <v>100</v>
      </c>
      <c r="N4" s="166">
        <f>VLOOKUP($A4,'Features Calculation'!$A:$AO,10,0)</f>
        <v>100</v>
      </c>
      <c r="O4" s="166">
        <f>VLOOKUP($A4,'Features Calculation'!$A:$AO,12,0)</f>
        <v>100</v>
      </c>
      <c r="P4" s="166">
        <f>VLOOKUP($A4,'Features Calculation'!$A:$AO,14,0)</f>
        <v>100</v>
      </c>
      <c r="Q4" s="166">
        <f>VLOOKUP($A4,'Features Calculation'!$A:$AO,16,0)</f>
        <v>100</v>
      </c>
      <c r="R4" s="164">
        <f t="shared" si="8"/>
        <v>115.99787007278773</v>
      </c>
      <c r="S4" s="166">
        <f t="shared" si="9"/>
        <v>162.5</v>
      </c>
      <c r="T4" s="166">
        <f>VLOOKUP($A4,'Features Calculation'!$A:$AO,18,0)</f>
        <v>0</v>
      </c>
      <c r="U4" s="166">
        <f>VLOOKUP($A4,'Features Calculation'!$A:$AO,20,0)</f>
        <v>100</v>
      </c>
      <c r="V4" s="166">
        <f>VLOOKUP($A4,'Features Calculation'!$A:$AO,22,0)</f>
        <v>300</v>
      </c>
      <c r="W4" s="166">
        <f>VLOOKUP($A4,'Features Calculation'!$A:$AO,24,0)</f>
        <v>250</v>
      </c>
      <c r="X4" s="164">
        <f t="shared" si="10"/>
        <v>145.02055373021926</v>
      </c>
      <c r="Y4" s="166">
        <f t="shared" si="11"/>
        <v>366.66666666666669</v>
      </c>
      <c r="Z4" s="166">
        <f>VLOOKUP($A4,'Features Calculation'!$A:$AO,26,0)</f>
        <v>350</v>
      </c>
      <c r="AA4" s="166">
        <f>VLOOKUP($A4,'Features Calculation'!$A:$AO,28,0)</f>
        <v>500</v>
      </c>
      <c r="AB4" s="166">
        <f>VLOOKUP($A4,'Features Calculation'!$A:$AO,30,0)</f>
        <v>250</v>
      </c>
      <c r="AC4" s="164">
        <f t="shared" si="12"/>
        <v>139.8362686256516</v>
      </c>
      <c r="AD4" s="166">
        <f t="shared" si="13"/>
        <v>120</v>
      </c>
      <c r="AE4" s="166">
        <f>VLOOKUP($A4,'Features Calculation'!$A:$AO,32,0)</f>
        <v>100</v>
      </c>
      <c r="AF4" s="166">
        <f>VLOOKUP($A4,'Features Calculation'!$A:$AO,34,0)</f>
        <v>100</v>
      </c>
      <c r="AG4" s="166">
        <f>VLOOKUP($A4,'Features Calculation'!$A:$AO,36,0)</f>
        <v>0</v>
      </c>
      <c r="AH4" s="166">
        <f>VLOOKUP($A4,'Features Calculation'!$A:$AO,38,0)</f>
        <v>100</v>
      </c>
      <c r="AI4" s="166">
        <f>VLOOKUP($A4,'Features Calculation'!$A:$AO,40,0)</f>
        <v>300</v>
      </c>
      <c r="AJ4" s="167">
        <f t="shared" si="14"/>
        <v>118.44169793224481</v>
      </c>
      <c r="AK4" s="165">
        <f t="shared" si="15"/>
        <v>61.256214562969816</v>
      </c>
      <c r="AL4" s="165">
        <f t="shared" si="16"/>
        <v>130.95541870275486</v>
      </c>
      <c r="AM4" s="164">
        <f>IFERROR(VLOOKUP($A4,EC!$A:$E,2,0),"NA")</f>
        <v>11361876</v>
      </c>
      <c r="AN4" s="165">
        <f t="shared" si="17"/>
        <v>106.68932882917089</v>
      </c>
      <c r="AO4" s="164">
        <f>IFERROR(VLOOKUP($A4,EC!$A:$E,4,0),"NA")</f>
        <v>682413</v>
      </c>
      <c r="AP4" s="165">
        <f t="shared" si="18"/>
        <v>94.020385797776953</v>
      </c>
      <c r="AQ4" s="164">
        <f>IFERROR(VLOOKUP($A4,EC!$A:$E,3,0),"NA")</f>
        <v>420</v>
      </c>
      <c r="AR4" s="165">
        <f t="shared" si="19"/>
        <v>93.74621146900391</v>
      </c>
      <c r="AS4" s="168">
        <f>IFERROR(VLOOKUP($A4,EC!$A:$E,5,0),"NA")</f>
        <v>2.58E-2</v>
      </c>
    </row>
    <row r="5" spans="1:45" x14ac:dyDescent="0.3">
      <c r="A5" s="163" t="s">
        <v>20</v>
      </c>
      <c r="B5" s="164">
        <f t="shared" si="0"/>
        <v>118.65843208992722</v>
      </c>
      <c r="C5" s="165">
        <f t="shared" si="1"/>
        <v>113.10751257044114</v>
      </c>
      <c r="D5" s="164">
        <f t="shared" si="2"/>
        <v>128.23251784644421</v>
      </c>
      <c r="E5" s="166">
        <f t="shared" si="3"/>
        <v>65.50833333333334</v>
      </c>
      <c r="F5" s="164">
        <f t="shared" si="4"/>
        <v>94.888106476161596</v>
      </c>
      <c r="G5" s="166">
        <f t="shared" si="5"/>
        <v>25</v>
      </c>
      <c r="H5" s="166">
        <f>VLOOKUP($A5,'Features Calculation'!$A:$AO,2,0)</f>
        <v>100</v>
      </c>
      <c r="I5" s="166">
        <f>VLOOKUP($A5,'Features Calculation'!$A:$AO,4,0)</f>
        <v>0</v>
      </c>
      <c r="J5" s="166">
        <f>VLOOKUP($A5,'Features Calculation'!$A:$AO,6,0)</f>
        <v>0</v>
      </c>
      <c r="K5" s="166">
        <f>VLOOKUP($A5,'Features Calculation'!$A:$AO,8,0)</f>
        <v>0</v>
      </c>
      <c r="L5" s="164">
        <f t="shared" si="6"/>
        <v>116.73588291681985</v>
      </c>
      <c r="M5" s="166">
        <f t="shared" si="7"/>
        <v>100</v>
      </c>
      <c r="N5" s="166">
        <f>VLOOKUP($A5,'Features Calculation'!$A:$AO,10,0)</f>
        <v>100</v>
      </c>
      <c r="O5" s="166">
        <f>VLOOKUP($A5,'Features Calculation'!$A:$AO,12,0)</f>
        <v>100</v>
      </c>
      <c r="P5" s="166">
        <f>VLOOKUP($A5,'Features Calculation'!$A:$AO,14,0)</f>
        <v>100</v>
      </c>
      <c r="Q5" s="166">
        <f>VLOOKUP($A5,'Features Calculation'!$A:$AO,16,0)</f>
        <v>100</v>
      </c>
      <c r="R5" s="164">
        <f t="shared" si="8"/>
        <v>154.94920590218393</v>
      </c>
      <c r="S5" s="166">
        <f t="shared" si="9"/>
        <v>337.5</v>
      </c>
      <c r="T5" s="166">
        <f>VLOOKUP($A5,'Features Calculation'!$A:$AO,18,0)</f>
        <v>100</v>
      </c>
      <c r="U5" s="166">
        <f>VLOOKUP($A5,'Features Calculation'!$A:$AO,20,0)</f>
        <v>400</v>
      </c>
      <c r="V5" s="166">
        <f>VLOOKUP($A5,'Features Calculation'!$A:$AO,22,0)</f>
        <v>550</v>
      </c>
      <c r="W5" s="166">
        <f>VLOOKUP($A5,'Features Calculation'!$A:$AO,24,0)</f>
        <v>300</v>
      </c>
      <c r="X5" s="164">
        <f t="shared" si="10"/>
        <v>119.69649225697093</v>
      </c>
      <c r="Y5" s="166">
        <f t="shared" si="11"/>
        <v>216.66666666666666</v>
      </c>
      <c r="Z5" s="166">
        <f>VLOOKUP($A5,'Features Calculation'!$A:$AO,26,0)</f>
        <v>200</v>
      </c>
      <c r="AA5" s="166">
        <f>VLOOKUP($A5,'Features Calculation'!$A:$AO,28,0)</f>
        <v>450</v>
      </c>
      <c r="AB5" s="166">
        <f>VLOOKUP($A5,'Features Calculation'!$A:$AO,30,0)</f>
        <v>0</v>
      </c>
      <c r="AC5" s="164">
        <f t="shared" si="12"/>
        <v>98.934859127656367</v>
      </c>
      <c r="AD5" s="166">
        <f t="shared" si="13"/>
        <v>40</v>
      </c>
      <c r="AE5" s="166">
        <f>VLOOKUP($A5,'Features Calculation'!$A:$AO,32,0)</f>
        <v>100</v>
      </c>
      <c r="AF5" s="166">
        <f>VLOOKUP($A5,'Features Calculation'!$A:$AO,34,0)</f>
        <v>100</v>
      </c>
      <c r="AG5" s="166">
        <f>VLOOKUP($A5,'Features Calculation'!$A:$AO,36,0)</f>
        <v>0</v>
      </c>
      <c r="AH5" s="166">
        <f>VLOOKUP($A5,'Features Calculation'!$A:$AO,38,0)</f>
        <v>0</v>
      </c>
      <c r="AI5" s="166">
        <f>VLOOKUP($A5,'Features Calculation'!$A:$AO,40,0)</f>
        <v>0</v>
      </c>
      <c r="AJ5" s="167">
        <f t="shared" si="14"/>
        <v>101.69742087100023</v>
      </c>
      <c r="AK5" s="165">
        <f t="shared" si="15"/>
        <v>56.483795382313495</v>
      </c>
      <c r="AL5" s="165">
        <f t="shared" si="16"/>
        <v>107.34674273804575</v>
      </c>
      <c r="AM5" s="164">
        <f>IFERROR(VLOOKUP($A5,EC!$A:$E,2,0),"NA")</f>
        <v>5292238</v>
      </c>
      <c r="AN5" s="165">
        <f t="shared" si="17"/>
        <v>103.99435626642484</v>
      </c>
      <c r="AO5" s="164">
        <f>IFERROR(VLOOKUP($A5,EC!$A:$E,4,0),"NA")</f>
        <v>574896</v>
      </c>
      <c r="AP5" s="165">
        <f t="shared" si="18"/>
        <v>98.142661814538641</v>
      </c>
      <c r="AQ5" s="164">
        <f>IFERROR(VLOOKUP($A5,EC!$A:$E,3,0),"NA")</f>
        <v>548</v>
      </c>
      <c r="AR5" s="165">
        <f t="shared" si="19"/>
        <v>92.295727247419578</v>
      </c>
      <c r="AS5" s="168">
        <f>IFERROR(VLOOKUP($A5,EC!$A:$E,5,0),"NA")</f>
        <v>1.6199999999999999E-2</v>
      </c>
    </row>
    <row r="6" spans="1:45" x14ac:dyDescent="0.3">
      <c r="A6" s="163" t="s">
        <v>26</v>
      </c>
      <c r="B6" s="164">
        <f t="shared" si="0"/>
        <v>117.42777378584788</v>
      </c>
      <c r="C6" s="165">
        <f t="shared" si="1"/>
        <v>112.02583536263447</v>
      </c>
      <c r="D6" s="164">
        <f t="shared" si="2"/>
        <v>107.16170788138311</v>
      </c>
      <c r="E6" s="166">
        <f t="shared" si="3"/>
        <v>39.549999999999997</v>
      </c>
      <c r="F6" s="164">
        <f t="shared" si="4"/>
        <v>94.888106476161596</v>
      </c>
      <c r="G6" s="166">
        <f t="shared" si="5"/>
        <v>25</v>
      </c>
      <c r="H6" s="166">
        <f>VLOOKUP($A6,'Features Calculation'!$A:$AO,2,0)</f>
        <v>100</v>
      </c>
      <c r="I6" s="166">
        <f>VLOOKUP($A6,'Features Calculation'!$A:$AO,4,0)</f>
        <v>0</v>
      </c>
      <c r="J6" s="166">
        <f>VLOOKUP($A6,'Features Calculation'!$A:$AO,6,0)</f>
        <v>0</v>
      </c>
      <c r="K6" s="166">
        <f>VLOOKUP($A6,'Features Calculation'!$A:$AO,8,0)</f>
        <v>0</v>
      </c>
      <c r="L6" s="164">
        <f t="shared" si="6"/>
        <v>102.88549705462411</v>
      </c>
      <c r="M6" s="166">
        <f t="shared" si="7"/>
        <v>75</v>
      </c>
      <c r="N6" s="166">
        <f>VLOOKUP($A6,'Features Calculation'!$A:$AO,10,0)</f>
        <v>100</v>
      </c>
      <c r="O6" s="166">
        <f>VLOOKUP($A6,'Features Calculation'!$A:$AO,12,0)</f>
        <v>100</v>
      </c>
      <c r="P6" s="166">
        <f>VLOOKUP($A6,'Features Calculation'!$A:$AO,14,0)</f>
        <v>100</v>
      </c>
      <c r="Q6" s="166">
        <f>VLOOKUP($A6,'Features Calculation'!$A:$AO,16,0)</f>
        <v>0</v>
      </c>
      <c r="R6" s="164">
        <f t="shared" si="8"/>
        <v>107.65115525220283</v>
      </c>
      <c r="S6" s="166">
        <f t="shared" si="9"/>
        <v>125</v>
      </c>
      <c r="T6" s="166">
        <f>VLOOKUP($A6,'Features Calculation'!$A:$AO,18,0)</f>
        <v>100</v>
      </c>
      <c r="U6" s="166">
        <f>VLOOKUP($A6,'Features Calculation'!$A:$AO,20,0)</f>
        <v>400</v>
      </c>
      <c r="V6" s="166">
        <f>VLOOKUP($A6,'Features Calculation'!$A:$AO,22,0)</f>
        <v>0</v>
      </c>
      <c r="W6" s="166">
        <f>VLOOKUP($A6,'Features Calculation'!$A:$AO,24,0)</f>
        <v>0</v>
      </c>
      <c r="X6" s="164">
        <f t="shared" si="10"/>
        <v>108.44135382441611</v>
      </c>
      <c r="Y6" s="166">
        <f t="shared" si="11"/>
        <v>150</v>
      </c>
      <c r="Z6" s="166">
        <f>VLOOKUP($A6,'Features Calculation'!$A:$AO,26,0)</f>
        <v>0</v>
      </c>
      <c r="AA6" s="166">
        <f>VLOOKUP($A6,'Features Calculation'!$A:$AO,28,0)</f>
        <v>0</v>
      </c>
      <c r="AB6" s="166">
        <f>VLOOKUP($A6,'Features Calculation'!$A:$AO,30,0)</f>
        <v>450</v>
      </c>
      <c r="AC6" s="164">
        <f t="shared" si="12"/>
        <v>98.934859127656367</v>
      </c>
      <c r="AD6" s="166">
        <f t="shared" si="13"/>
        <v>40</v>
      </c>
      <c r="AE6" s="166">
        <f>VLOOKUP($A6,'Features Calculation'!$A:$AO,32,0)</f>
        <v>100</v>
      </c>
      <c r="AF6" s="166">
        <f>VLOOKUP($A6,'Features Calculation'!$A:$AO,34,0)</f>
        <v>100</v>
      </c>
      <c r="AG6" s="166">
        <f>VLOOKUP($A6,'Features Calculation'!$A:$AO,36,0)</f>
        <v>0</v>
      </c>
      <c r="AH6" s="166">
        <f>VLOOKUP($A6,'Features Calculation'!$A:$AO,38,0)</f>
        <v>0</v>
      </c>
      <c r="AI6" s="166">
        <f>VLOOKUP($A6,'Features Calculation'!$A:$AO,40,0)</f>
        <v>0</v>
      </c>
      <c r="AJ6" s="167">
        <f t="shared" si="14"/>
        <v>115.69526486603462</v>
      </c>
      <c r="AK6" s="165">
        <f t="shared" si="15"/>
        <v>60.473431896651704</v>
      </c>
      <c r="AL6" s="165">
        <f t="shared" si="16"/>
        <v>87.644582716856846</v>
      </c>
      <c r="AM6" s="164">
        <f>IFERROR(VLOOKUP($A6,EC!$A:$E,2,0),"NA")</f>
        <v>226940</v>
      </c>
      <c r="AN6" s="165">
        <f t="shared" si="17"/>
        <v>89.934739275064089</v>
      </c>
      <c r="AO6" s="164">
        <f>IFERROR(VLOOKUP($A6,EC!$A:$E,4,0),"NA")</f>
        <v>13982</v>
      </c>
      <c r="AP6" s="165">
        <f t="shared" si="18"/>
        <v>164.83979955448757</v>
      </c>
      <c r="AQ6" s="164">
        <f>IFERROR(VLOOKUP($A6,EC!$A:$E,3,0),"NA")</f>
        <v>2619</v>
      </c>
      <c r="AR6" s="165">
        <f t="shared" si="19"/>
        <v>90.679041708778712</v>
      </c>
      <c r="AS6" s="168">
        <f>IFERROR(VLOOKUP($A6,EC!$A:$E,5,0),"NA")</f>
        <v>5.4999999999999997E-3</v>
      </c>
    </row>
    <row r="7" spans="1:45" x14ac:dyDescent="0.3">
      <c r="A7" s="163" t="s">
        <v>21</v>
      </c>
      <c r="B7" s="164">
        <f t="shared" si="0"/>
        <v>117.28087670559435</v>
      </c>
      <c r="C7" s="165">
        <f t="shared" si="1"/>
        <v>111.89672135667774</v>
      </c>
      <c r="D7" s="164">
        <f t="shared" si="2"/>
        <v>111.89672135667774</v>
      </c>
      <c r="E7" s="166">
        <f t="shared" si="3"/>
        <v>45.38333333333334</v>
      </c>
      <c r="F7" s="164">
        <f t="shared" si="4"/>
        <v>122.77116206073472</v>
      </c>
      <c r="G7" s="166">
        <f t="shared" si="5"/>
        <v>87.5</v>
      </c>
      <c r="H7" s="166">
        <f>VLOOKUP($A7,'Features Calculation'!$A:$AO,2,0)</f>
        <v>100</v>
      </c>
      <c r="I7" s="166">
        <f>VLOOKUP($A7,'Features Calculation'!$A:$AO,4,0)</f>
        <v>250</v>
      </c>
      <c r="J7" s="166">
        <f>VLOOKUP($A7,'Features Calculation'!$A:$AO,6,0)</f>
        <v>0</v>
      </c>
      <c r="K7" s="166">
        <f>VLOOKUP($A7,'Features Calculation'!$A:$AO,8,0)</f>
        <v>0</v>
      </c>
      <c r="L7" s="164">
        <f t="shared" si="6"/>
        <v>116.73588291681985</v>
      </c>
      <c r="M7" s="166">
        <f t="shared" si="7"/>
        <v>100</v>
      </c>
      <c r="N7" s="166">
        <f>VLOOKUP($A7,'Features Calculation'!$A:$AO,10,0)</f>
        <v>100</v>
      </c>
      <c r="O7" s="166">
        <f>VLOOKUP($A7,'Features Calculation'!$A:$AO,12,0)</f>
        <v>100</v>
      </c>
      <c r="P7" s="166">
        <f>VLOOKUP($A7,'Features Calculation'!$A:$AO,14,0)</f>
        <v>100</v>
      </c>
      <c r="Q7" s="166">
        <f>VLOOKUP($A7,'Features Calculation'!$A:$AO,16,0)</f>
        <v>100</v>
      </c>
      <c r="R7" s="164">
        <f t="shared" si="8"/>
        <v>99.30444043161792</v>
      </c>
      <c r="S7" s="166">
        <f t="shared" si="9"/>
        <v>87.5</v>
      </c>
      <c r="T7" s="166">
        <f>VLOOKUP($A7,'Features Calculation'!$A:$AO,18,0)</f>
        <v>100</v>
      </c>
      <c r="U7" s="166">
        <f>VLOOKUP($A7,'Features Calculation'!$A:$AO,20,0)</f>
        <v>250</v>
      </c>
      <c r="V7" s="166">
        <f>VLOOKUP($A7,'Features Calculation'!$A:$AO,22,0)</f>
        <v>0</v>
      </c>
      <c r="W7" s="166">
        <f>VLOOKUP($A7,'Features Calculation'!$A:$AO,24,0)</f>
        <v>0</v>
      </c>
      <c r="X7" s="164">
        <f t="shared" si="10"/>
        <v>111.25513843255482</v>
      </c>
      <c r="Y7" s="166">
        <f t="shared" si="11"/>
        <v>166.66666666666666</v>
      </c>
      <c r="Z7" s="166">
        <f>VLOOKUP($A7,'Features Calculation'!$A:$AO,26,0)</f>
        <v>0</v>
      </c>
      <c r="AA7" s="166">
        <f>VLOOKUP($A7,'Features Calculation'!$A:$AO,28,0)</f>
        <v>250</v>
      </c>
      <c r="AB7" s="166">
        <f>VLOOKUP($A7,'Features Calculation'!$A:$AO,30,0)</f>
        <v>250</v>
      </c>
      <c r="AC7" s="164">
        <f t="shared" si="12"/>
        <v>98.934859127656367</v>
      </c>
      <c r="AD7" s="166">
        <f t="shared" si="13"/>
        <v>40</v>
      </c>
      <c r="AE7" s="166">
        <f>VLOOKUP($A7,'Features Calculation'!$A:$AO,32,0)</f>
        <v>100</v>
      </c>
      <c r="AF7" s="166">
        <f>VLOOKUP($A7,'Features Calculation'!$A:$AO,34,0)</f>
        <v>100</v>
      </c>
      <c r="AG7" s="166">
        <f>VLOOKUP($A7,'Features Calculation'!$A:$AO,36,0)</f>
        <v>0</v>
      </c>
      <c r="AH7" s="166">
        <f>VLOOKUP($A7,'Features Calculation'!$A:$AO,38,0)</f>
        <v>0</v>
      </c>
      <c r="AI7" s="166">
        <f>VLOOKUP($A7,'Features Calculation'!$A:$AO,40,0)</f>
        <v>0</v>
      </c>
      <c r="AJ7" s="167" t="str">
        <f t="shared" si="14"/>
        <v>NA</v>
      </c>
      <c r="AK7" s="165" t="str">
        <f t="shared" si="15"/>
        <v>NA</v>
      </c>
      <c r="AL7" s="165" t="str">
        <f t="shared" si="16"/>
        <v>NA</v>
      </c>
      <c r="AM7" s="164" t="str">
        <f>IFERROR(VLOOKUP($A7,EC!$A:$E,2,0),"NA")</f>
        <v>NA</v>
      </c>
      <c r="AN7" s="165" t="str">
        <f t="shared" si="17"/>
        <v>NA</v>
      </c>
      <c r="AO7" s="164" t="str">
        <f>IFERROR(VLOOKUP($A7,EC!$A:$E,4,0),"NA")</f>
        <v>NA</v>
      </c>
      <c r="AP7" s="165" t="str">
        <f t="shared" si="18"/>
        <v>NA</v>
      </c>
      <c r="AQ7" s="164" t="str">
        <f>IFERROR(VLOOKUP($A7,EC!$A:$E,3,0),"NA")</f>
        <v>NA</v>
      </c>
      <c r="AR7" s="165" t="str">
        <f t="shared" si="19"/>
        <v>NA</v>
      </c>
      <c r="AS7" s="168" t="str">
        <f>IFERROR(VLOOKUP($A7,EC!$A:$E,5,0),"NA")</f>
        <v>NA</v>
      </c>
    </row>
    <row r="8" spans="1:45" x14ac:dyDescent="0.3">
      <c r="A8" s="163" t="s">
        <v>24</v>
      </c>
      <c r="B8" s="164">
        <f t="shared" si="0"/>
        <v>116.2684278539149</v>
      </c>
      <c r="C8" s="165">
        <f t="shared" si="1"/>
        <v>111.00683759015899</v>
      </c>
      <c r="D8" s="164">
        <f t="shared" si="2"/>
        <v>128.46926852020891</v>
      </c>
      <c r="E8" s="166">
        <f t="shared" si="3"/>
        <v>65.8</v>
      </c>
      <c r="F8" s="164">
        <f t="shared" si="4"/>
        <v>122.77116206073472</v>
      </c>
      <c r="G8" s="166">
        <f t="shared" si="5"/>
        <v>87.5</v>
      </c>
      <c r="H8" s="166">
        <f>VLOOKUP($A8,'Features Calculation'!$A:$AO,2,0)</f>
        <v>100</v>
      </c>
      <c r="I8" s="166">
        <f>VLOOKUP($A8,'Features Calculation'!$A:$AO,4,0)</f>
        <v>250</v>
      </c>
      <c r="J8" s="166">
        <f>VLOOKUP($A8,'Features Calculation'!$A:$AO,6,0)</f>
        <v>0</v>
      </c>
      <c r="K8" s="166">
        <f>VLOOKUP($A8,'Features Calculation'!$A:$AO,8,0)</f>
        <v>0</v>
      </c>
      <c r="L8" s="164">
        <f t="shared" si="6"/>
        <v>116.73588291681985</v>
      </c>
      <c r="M8" s="166">
        <f t="shared" si="7"/>
        <v>100</v>
      </c>
      <c r="N8" s="166">
        <f>VLOOKUP($A8,'Features Calculation'!$A:$AO,10,0)</f>
        <v>100</v>
      </c>
      <c r="O8" s="166">
        <f>VLOOKUP($A8,'Features Calculation'!$A:$AO,12,0)</f>
        <v>100</v>
      </c>
      <c r="P8" s="166">
        <f>VLOOKUP($A8,'Features Calculation'!$A:$AO,14,0)</f>
        <v>100</v>
      </c>
      <c r="Q8" s="166">
        <f>VLOOKUP($A8,'Features Calculation'!$A:$AO,16,0)</f>
        <v>100</v>
      </c>
      <c r="R8" s="164">
        <f t="shared" si="8"/>
        <v>127.12682316690093</v>
      </c>
      <c r="S8" s="166">
        <f t="shared" si="9"/>
        <v>212.5</v>
      </c>
      <c r="T8" s="166">
        <f>VLOOKUP($A8,'Features Calculation'!$A:$AO,18,0)</f>
        <v>100</v>
      </c>
      <c r="U8" s="166">
        <f>VLOOKUP($A8,'Features Calculation'!$A:$AO,20,0)</f>
        <v>250</v>
      </c>
      <c r="V8" s="166">
        <f>VLOOKUP($A8,'Features Calculation'!$A:$AO,22,0)</f>
        <v>250</v>
      </c>
      <c r="W8" s="166">
        <f>VLOOKUP($A8,'Features Calculation'!$A:$AO,24,0)</f>
        <v>250</v>
      </c>
      <c r="X8" s="164">
        <f t="shared" si="10"/>
        <v>125.32406147324834</v>
      </c>
      <c r="Y8" s="166">
        <f t="shared" si="11"/>
        <v>250</v>
      </c>
      <c r="Z8" s="166">
        <f>VLOOKUP($A8,'Features Calculation'!$A:$AO,26,0)</f>
        <v>0</v>
      </c>
      <c r="AA8" s="166">
        <f>VLOOKUP($A8,'Features Calculation'!$A:$AO,28,0)</f>
        <v>250</v>
      </c>
      <c r="AB8" s="166">
        <f>VLOOKUP($A8,'Features Calculation'!$A:$AO,30,0)</f>
        <v>500</v>
      </c>
      <c r="AC8" s="164">
        <f t="shared" si="12"/>
        <v>98.934859127656367</v>
      </c>
      <c r="AD8" s="166">
        <f t="shared" si="13"/>
        <v>40</v>
      </c>
      <c r="AE8" s="166">
        <f>VLOOKUP($A8,'Features Calculation'!$A:$AO,32,0)</f>
        <v>100</v>
      </c>
      <c r="AF8" s="166">
        <f>VLOOKUP($A8,'Features Calculation'!$A:$AO,34,0)</f>
        <v>100</v>
      </c>
      <c r="AG8" s="166">
        <f>VLOOKUP($A8,'Features Calculation'!$A:$AO,36,0)</f>
        <v>0</v>
      </c>
      <c r="AH8" s="166">
        <f>VLOOKUP($A8,'Features Calculation'!$A:$AO,38,0)</f>
        <v>0</v>
      </c>
      <c r="AI8" s="166">
        <f>VLOOKUP($A8,'Features Calculation'!$A:$AO,40,0)</f>
        <v>0</v>
      </c>
      <c r="AJ8" s="167">
        <f t="shared" si="14"/>
        <v>97.833424783279241</v>
      </c>
      <c r="AK8" s="165">
        <f t="shared" si="15"/>
        <v>55.382487217406073</v>
      </c>
      <c r="AL8" s="165">
        <f t="shared" si="16"/>
        <v>90.789811533012127</v>
      </c>
      <c r="AM8" s="164">
        <f>IFERROR(VLOOKUP($A8,EC!$A:$E,2,0),"NA")</f>
        <v>1035558</v>
      </c>
      <c r="AN8" s="165">
        <f t="shared" si="17"/>
        <v>95.148248005668208</v>
      </c>
      <c r="AO8" s="164">
        <f>IFERROR(VLOOKUP($A8,EC!$A:$E,4,0),"NA")</f>
        <v>221977</v>
      </c>
      <c r="AP8" s="165">
        <f t="shared" si="18"/>
        <v>84.470137667407428</v>
      </c>
      <c r="AQ8" s="164">
        <f>IFERROR(VLOOKUP($A8,EC!$A:$E,3,0),"NA")</f>
        <v>123.45708154506438</v>
      </c>
      <c r="AR8" s="165">
        <f t="shared" si="19"/>
        <v>127.36021544028364</v>
      </c>
      <c r="AS8" s="168">
        <f>IFERROR(VLOOKUP($A8,EC!$A:$E,5,0),"NA")</f>
        <v>0.24827359421243</v>
      </c>
    </row>
    <row r="9" spans="1:45" x14ac:dyDescent="0.3">
      <c r="A9" s="169" t="s">
        <v>25</v>
      </c>
      <c r="B9" s="164">
        <f t="shared" si="0"/>
        <v>110.38529360336106</v>
      </c>
      <c r="C9" s="165">
        <f t="shared" si="1"/>
        <v>105.83590410830062</v>
      </c>
      <c r="D9" s="164">
        <f t="shared" si="2"/>
        <v>105.83590410830062</v>
      </c>
      <c r="E9" s="166">
        <f t="shared" si="3"/>
        <v>37.916666666666671</v>
      </c>
      <c r="F9" s="164">
        <f t="shared" si="4"/>
        <v>83.734884242332342</v>
      </c>
      <c r="G9" s="166">
        <f t="shared" si="5"/>
        <v>0</v>
      </c>
      <c r="H9" s="166">
        <f>VLOOKUP($A9,'Features Calculation'!$A:$AO,2,0)</f>
        <v>0</v>
      </c>
      <c r="I9" s="166">
        <f>VLOOKUP($A9,'Features Calculation'!$A:$AO,4,0)</f>
        <v>0</v>
      </c>
      <c r="J9" s="166">
        <f>VLOOKUP($A9,'Features Calculation'!$A:$AO,6,0)</f>
        <v>0</v>
      </c>
      <c r="K9" s="166">
        <f>VLOOKUP($A9,'Features Calculation'!$A:$AO,8,0)</f>
        <v>0</v>
      </c>
      <c r="L9" s="164">
        <f t="shared" si="6"/>
        <v>102.88549705462411</v>
      </c>
      <c r="M9" s="166">
        <f t="shared" si="7"/>
        <v>75</v>
      </c>
      <c r="N9" s="166">
        <f>VLOOKUP($A9,'Features Calculation'!$A:$AO,10,0)</f>
        <v>100</v>
      </c>
      <c r="O9" s="166">
        <f>VLOOKUP($A9,'Features Calculation'!$A:$AO,12,0)</f>
        <v>100</v>
      </c>
      <c r="P9" s="166">
        <f>VLOOKUP($A9,'Features Calculation'!$A:$AO,14,0)</f>
        <v>100</v>
      </c>
      <c r="Q9" s="166">
        <f>VLOOKUP($A9,'Features Calculation'!$A:$AO,16,0)</f>
        <v>0</v>
      </c>
      <c r="R9" s="164">
        <f t="shared" si="8"/>
        <v>102.08667870514623</v>
      </c>
      <c r="S9" s="166">
        <f t="shared" si="9"/>
        <v>100</v>
      </c>
      <c r="T9" s="166">
        <f>VLOOKUP($A9,'Features Calculation'!$A:$AO,18,0)</f>
        <v>0</v>
      </c>
      <c r="U9" s="166">
        <f>VLOOKUP($A9,'Features Calculation'!$A:$AO,20,0)</f>
        <v>400</v>
      </c>
      <c r="V9" s="166">
        <f>VLOOKUP($A9,'Features Calculation'!$A:$AO,22,0)</f>
        <v>0</v>
      </c>
      <c r="W9" s="166">
        <f>VLOOKUP($A9,'Features Calculation'!$A:$AO,24,0)</f>
        <v>0</v>
      </c>
      <c r="X9" s="164">
        <f t="shared" si="10"/>
        <v>114.06892304069352</v>
      </c>
      <c r="Y9" s="166">
        <f t="shared" si="11"/>
        <v>183.33333333333334</v>
      </c>
      <c r="Z9" s="166">
        <f>VLOOKUP($A9,'Features Calculation'!$A:$AO,26,0)</f>
        <v>0</v>
      </c>
      <c r="AA9" s="166">
        <f>VLOOKUP($A9,'Features Calculation'!$A:$AO,28,0)</f>
        <v>0</v>
      </c>
      <c r="AB9" s="166">
        <f>VLOOKUP($A9,'Features Calculation'!$A:$AO,30,0)</f>
        <v>550</v>
      </c>
      <c r="AC9" s="164">
        <f t="shared" si="12"/>
        <v>78.484154378658758</v>
      </c>
      <c r="AD9" s="166">
        <f t="shared" si="13"/>
        <v>0</v>
      </c>
      <c r="AE9" s="166">
        <f>VLOOKUP($A9,'Features Calculation'!$A:$AO,32,0)</f>
        <v>0</v>
      </c>
      <c r="AF9" s="166">
        <f>VLOOKUP($A9,'Features Calculation'!$A:$AO,34,0)</f>
        <v>0</v>
      </c>
      <c r="AG9" s="166">
        <f>VLOOKUP($A9,'Features Calculation'!$A:$AO,36,0)</f>
        <v>0</v>
      </c>
      <c r="AH9" s="166">
        <f>VLOOKUP($A9,'Features Calculation'!$A:$AO,38,0)</f>
        <v>0</v>
      </c>
      <c r="AI9" s="166">
        <f>VLOOKUP($A9,'Features Calculation'!$A:$AO,40,0)</f>
        <v>0</v>
      </c>
      <c r="AJ9" s="167" t="str">
        <f t="shared" si="14"/>
        <v>NA</v>
      </c>
      <c r="AK9" s="165" t="str">
        <f t="shared" si="15"/>
        <v>NA</v>
      </c>
      <c r="AL9" s="165" t="str">
        <f t="shared" si="16"/>
        <v>NA</v>
      </c>
      <c r="AM9" s="164" t="str">
        <f>IFERROR(VLOOKUP($A9,EC!$A:$E,2,0),"NA")</f>
        <v>NA</v>
      </c>
      <c r="AN9" s="165" t="str">
        <f t="shared" si="17"/>
        <v>NA</v>
      </c>
      <c r="AO9" s="164" t="str">
        <f>IFERROR(VLOOKUP($A9,EC!$A:$E,4,0),"NA")</f>
        <v>NA</v>
      </c>
      <c r="AP9" s="165" t="str">
        <f t="shared" si="18"/>
        <v>NA</v>
      </c>
      <c r="AQ9" s="164" t="str">
        <f>IFERROR(VLOOKUP($A9,EC!$A:$E,3,0),"NA")</f>
        <v>NA</v>
      </c>
      <c r="AR9" s="165" t="str">
        <f t="shared" si="19"/>
        <v>NA</v>
      </c>
      <c r="AS9" s="168" t="str">
        <f>IFERROR(VLOOKUP($A9,EC!$A:$E,5,0),"NA")</f>
        <v>NA</v>
      </c>
    </row>
    <row r="10" spans="1:45" x14ac:dyDescent="0.3">
      <c r="A10" s="163" t="s">
        <v>23</v>
      </c>
      <c r="B10" s="164">
        <f t="shared" si="0"/>
        <v>107.9354627374918</v>
      </c>
      <c r="C10" s="165">
        <f t="shared" si="1"/>
        <v>103.68264499339585</v>
      </c>
      <c r="D10" s="164">
        <f t="shared" si="2"/>
        <v>101.24294103726484</v>
      </c>
      <c r="E10" s="166">
        <f t="shared" si="3"/>
        <v>32.258333333333333</v>
      </c>
      <c r="F10" s="164">
        <f t="shared" si="4"/>
        <v>94.888106476161596</v>
      </c>
      <c r="G10" s="166">
        <f t="shared" si="5"/>
        <v>25</v>
      </c>
      <c r="H10" s="166">
        <f>VLOOKUP($A10,'Features Calculation'!$A:$AO,2,0)</f>
        <v>100</v>
      </c>
      <c r="I10" s="166">
        <f>VLOOKUP($A10,'Features Calculation'!$A:$AO,4,0)</f>
        <v>0</v>
      </c>
      <c r="J10" s="166">
        <f>VLOOKUP($A10,'Features Calculation'!$A:$AO,6,0)</f>
        <v>0</v>
      </c>
      <c r="K10" s="166">
        <f>VLOOKUP($A10,'Features Calculation'!$A:$AO,8,0)</f>
        <v>0</v>
      </c>
      <c r="L10" s="164">
        <f t="shared" si="6"/>
        <v>102.88549705462411</v>
      </c>
      <c r="M10" s="166">
        <f t="shared" si="7"/>
        <v>75</v>
      </c>
      <c r="N10" s="166">
        <f>VLOOKUP($A10,'Features Calculation'!$A:$AO,10,0)</f>
        <v>100</v>
      </c>
      <c r="O10" s="166">
        <f>VLOOKUP($A10,'Features Calculation'!$A:$AO,12,0)</f>
        <v>100</v>
      </c>
      <c r="P10" s="166">
        <f>VLOOKUP($A10,'Features Calculation'!$A:$AO,14,0)</f>
        <v>100</v>
      </c>
      <c r="Q10" s="166">
        <f>VLOOKUP($A10,'Features Calculation'!$A:$AO,16,0)</f>
        <v>0</v>
      </c>
      <c r="R10" s="164">
        <f t="shared" si="8"/>
        <v>99.30444043161792</v>
      </c>
      <c r="S10" s="166">
        <f t="shared" si="9"/>
        <v>87.5</v>
      </c>
      <c r="T10" s="166">
        <f>VLOOKUP($A10,'Features Calculation'!$A:$AO,18,0)</f>
        <v>100</v>
      </c>
      <c r="U10" s="166">
        <f>VLOOKUP($A10,'Features Calculation'!$A:$AO,20,0)</f>
        <v>0</v>
      </c>
      <c r="V10" s="166">
        <f>VLOOKUP($A10,'Features Calculation'!$A:$AO,22,0)</f>
        <v>0</v>
      </c>
      <c r="W10" s="166">
        <f>VLOOKUP($A10,'Features Calculation'!$A:$AO,24,0)</f>
        <v>250</v>
      </c>
      <c r="X10" s="164">
        <f t="shared" si="10"/>
        <v>102.8137846081387</v>
      </c>
      <c r="Y10" s="166">
        <f t="shared" si="11"/>
        <v>116.66666666666667</v>
      </c>
      <c r="Z10" s="166">
        <f>VLOOKUP($A10,'Features Calculation'!$A:$AO,26,0)</f>
        <v>250</v>
      </c>
      <c r="AA10" s="166">
        <f>VLOOKUP($A10,'Features Calculation'!$A:$AO,28,0)</f>
        <v>100</v>
      </c>
      <c r="AB10" s="166">
        <f>VLOOKUP($A10,'Features Calculation'!$A:$AO,30,0)</f>
        <v>0</v>
      </c>
      <c r="AC10" s="164">
        <f t="shared" si="12"/>
        <v>98.934859127656367</v>
      </c>
      <c r="AD10" s="166">
        <f t="shared" si="13"/>
        <v>40</v>
      </c>
      <c r="AE10" s="166">
        <f>VLOOKUP($A10,'Features Calculation'!$A:$AO,32,0)</f>
        <v>0</v>
      </c>
      <c r="AF10" s="166">
        <f>VLOOKUP($A10,'Features Calculation'!$A:$AO,34,0)</f>
        <v>100</v>
      </c>
      <c r="AG10" s="166">
        <f>VLOOKUP($A10,'Features Calculation'!$A:$AO,36,0)</f>
        <v>0</v>
      </c>
      <c r="AH10" s="166">
        <f>VLOOKUP($A10,'Features Calculation'!$A:$AO,38,0)</f>
        <v>100</v>
      </c>
      <c r="AI10" s="166">
        <f>VLOOKUP($A10,'Features Calculation'!$A:$AO,40,0)</f>
        <v>0</v>
      </c>
      <c r="AJ10" s="167">
        <f t="shared" si="14"/>
        <v>105.52312341644208</v>
      </c>
      <c r="AK10" s="165">
        <f t="shared" si="15"/>
        <v>57.574189201083435</v>
      </c>
      <c r="AL10" s="165">
        <f t="shared" si="16"/>
        <v>112.2801184129053</v>
      </c>
      <c r="AM10" s="164">
        <f>IFERROR(VLOOKUP($A10,EC!$A:$E,2,0),"NA")</f>
        <v>6560577</v>
      </c>
      <c r="AN10" s="165">
        <f t="shared" si="17"/>
        <v>109.69744528754633</v>
      </c>
      <c r="AO10" s="164">
        <f>IFERROR(VLOOKUP($A10,EC!$A:$E,4,0),"NA")</f>
        <v>802423</v>
      </c>
      <c r="AP10" s="165">
        <f t="shared" si="18"/>
        <v>94.954338957824518</v>
      </c>
      <c r="AQ10" s="164">
        <f>IFERROR(VLOOKUP($A10,EC!$A:$E,3,0),"NA")</f>
        <v>449</v>
      </c>
      <c r="AR10" s="165">
        <f t="shared" si="19"/>
        <v>93.020969358211744</v>
      </c>
      <c r="AS10" s="168">
        <f>IFERROR(VLOOKUP($A10,EC!$A:$E,5,0),"NA")</f>
        <v>2.1000000000000001E-2</v>
      </c>
    </row>
    <row r="11" spans="1:45" x14ac:dyDescent="0.3">
      <c r="A11" s="163" t="s">
        <v>28</v>
      </c>
      <c r="B11" s="164">
        <f t="shared" si="0"/>
        <v>107.03657335414916</v>
      </c>
      <c r="C11" s="165">
        <f t="shared" si="1"/>
        <v>102.8925734072552</v>
      </c>
      <c r="D11" s="164">
        <f t="shared" si="2"/>
        <v>115.63738200216051</v>
      </c>
      <c r="E11" s="166">
        <f t="shared" si="3"/>
        <v>49.991666666666674</v>
      </c>
      <c r="F11" s="164">
        <f t="shared" si="4"/>
        <v>94.888106476161596</v>
      </c>
      <c r="G11" s="166">
        <f t="shared" si="5"/>
        <v>25</v>
      </c>
      <c r="H11" s="166">
        <f>VLOOKUP($A11,'Features Calculation'!$A:$AO,2,0)</f>
        <v>100</v>
      </c>
      <c r="I11" s="166">
        <f>VLOOKUP($A11,'Features Calculation'!$A:$AO,4,0)</f>
        <v>0</v>
      </c>
      <c r="J11" s="166">
        <f>VLOOKUP($A11,'Features Calculation'!$A:$AO,6,0)</f>
        <v>0</v>
      </c>
      <c r="K11" s="166">
        <f>VLOOKUP($A11,'Features Calculation'!$A:$AO,8,0)</f>
        <v>0</v>
      </c>
      <c r="L11" s="164">
        <f t="shared" si="6"/>
        <v>116.73588291681985</v>
      </c>
      <c r="M11" s="166">
        <f t="shared" si="7"/>
        <v>100</v>
      </c>
      <c r="N11" s="166">
        <f>VLOOKUP($A11,'Features Calculation'!$A:$AO,10,0)</f>
        <v>100</v>
      </c>
      <c r="O11" s="166">
        <f>VLOOKUP($A11,'Features Calculation'!$A:$AO,12,0)</f>
        <v>100</v>
      </c>
      <c r="P11" s="166">
        <f>VLOOKUP($A11,'Features Calculation'!$A:$AO,14,0)</f>
        <v>100</v>
      </c>
      <c r="Q11" s="166">
        <f>VLOOKUP($A11,'Features Calculation'!$A:$AO,16,0)</f>
        <v>100</v>
      </c>
      <c r="R11" s="164">
        <f t="shared" si="8"/>
        <v>138.25577626101415</v>
      </c>
      <c r="S11" s="166">
        <f t="shared" si="9"/>
        <v>262.5</v>
      </c>
      <c r="T11" s="166">
        <f>VLOOKUP($A11,'Features Calculation'!$A:$AO,18,0)</f>
        <v>100</v>
      </c>
      <c r="U11" s="166">
        <f>VLOOKUP($A11,'Features Calculation'!$A:$AO,20,0)</f>
        <v>200</v>
      </c>
      <c r="V11" s="166">
        <f>VLOOKUP($A11,'Features Calculation'!$A:$AO,22,0)</f>
        <v>500</v>
      </c>
      <c r="W11" s="166">
        <f>VLOOKUP($A11,'Features Calculation'!$A:$AO,24,0)</f>
        <v>250</v>
      </c>
      <c r="X11" s="164">
        <f t="shared" si="10"/>
        <v>105.62756921627741</v>
      </c>
      <c r="Y11" s="166">
        <f t="shared" si="11"/>
        <v>133.33333333333334</v>
      </c>
      <c r="Z11" s="166">
        <f>VLOOKUP($A11,'Features Calculation'!$A:$AO,26,0)</f>
        <v>200</v>
      </c>
      <c r="AA11" s="166">
        <f>VLOOKUP($A11,'Features Calculation'!$A:$AO,28,0)</f>
        <v>0</v>
      </c>
      <c r="AB11" s="166">
        <f>VLOOKUP($A11,'Features Calculation'!$A:$AO,30,0)</f>
        <v>200</v>
      </c>
      <c r="AC11" s="164">
        <f t="shared" si="12"/>
        <v>109.16021150215518</v>
      </c>
      <c r="AD11" s="166">
        <f t="shared" si="13"/>
        <v>60</v>
      </c>
      <c r="AE11" s="166">
        <f>VLOOKUP($A11,'Features Calculation'!$A:$AO,32,0)</f>
        <v>100</v>
      </c>
      <c r="AF11" s="166">
        <f>VLOOKUP($A11,'Features Calculation'!$A:$AO,34,0)</f>
        <v>100</v>
      </c>
      <c r="AG11" s="166">
        <f>VLOOKUP($A11,'Features Calculation'!$A:$AO,36,0)</f>
        <v>0</v>
      </c>
      <c r="AH11" s="166">
        <f>VLOOKUP($A11,'Features Calculation'!$A:$AO,38,0)</f>
        <v>100</v>
      </c>
      <c r="AI11" s="166">
        <f>VLOOKUP($A11,'Features Calculation'!$A:$AO,40,0)</f>
        <v>0</v>
      </c>
      <c r="AJ11" s="167">
        <f t="shared" si="14"/>
        <v>93.278068677765248</v>
      </c>
      <c r="AK11" s="165">
        <f t="shared" si="15"/>
        <v>54.084129051618596</v>
      </c>
      <c r="AL11" s="165">
        <f t="shared" si="16"/>
        <v>98.937040853060481</v>
      </c>
      <c r="AM11" s="164">
        <f>IFERROR(VLOOKUP($A11,EC!$A:$E,2,0),"NA")</f>
        <v>3130158</v>
      </c>
      <c r="AN11" s="165">
        <f t="shared" si="17"/>
        <v>97.073607971647647</v>
      </c>
      <c r="AO11" s="164">
        <f>IFERROR(VLOOKUP($A11,EC!$A:$E,4,0),"NA")</f>
        <v>298790</v>
      </c>
      <c r="AP11" s="165">
        <f t="shared" si="18"/>
        <v>96.790039996538709</v>
      </c>
      <c r="AQ11" s="164">
        <f>IFERROR(VLOOKUP($A11,EC!$A:$E,3,0),"NA")</f>
        <v>506</v>
      </c>
      <c r="AR11" s="165">
        <f t="shared" si="19"/>
        <v>92.58280224960815</v>
      </c>
      <c r="AS11" s="168">
        <f>IFERROR(VLOOKUP($A11,EC!$A:$E,5,0),"NA")</f>
        <v>1.8100000000000002E-2</v>
      </c>
    </row>
    <row r="12" spans="1:45" x14ac:dyDescent="0.3">
      <c r="A12" s="163" t="s">
        <v>30</v>
      </c>
      <c r="B12" s="164">
        <f t="shared" si="0"/>
        <v>101.78421309373601</v>
      </c>
      <c r="C12" s="165">
        <f t="shared" si="1"/>
        <v>98.276053645395962</v>
      </c>
      <c r="D12" s="164">
        <f t="shared" si="2"/>
        <v>84.717744008486591</v>
      </c>
      <c r="E12" s="166">
        <f t="shared" si="3"/>
        <v>11.9</v>
      </c>
      <c r="F12" s="164">
        <f t="shared" si="4"/>
        <v>139.50099541147858</v>
      </c>
      <c r="G12" s="166">
        <f t="shared" si="5"/>
        <v>125</v>
      </c>
      <c r="H12" s="166">
        <f>VLOOKUP($A12,'Features Calculation'!$A:$AO,2,0)</f>
        <v>100</v>
      </c>
      <c r="I12" s="166">
        <f>VLOOKUP($A12,'Features Calculation'!$A:$AO,4,0)</f>
        <v>0</v>
      </c>
      <c r="J12" s="166">
        <f>VLOOKUP($A12,'Features Calculation'!$A:$AO,6,0)</f>
        <v>0</v>
      </c>
      <c r="K12" s="166">
        <f>VLOOKUP($A12,'Features Calculation'!$A:$AO,8,0)</f>
        <v>400</v>
      </c>
      <c r="L12" s="164">
        <f t="shared" si="6"/>
        <v>75.184725330232638</v>
      </c>
      <c r="M12" s="166">
        <f t="shared" si="7"/>
        <v>25</v>
      </c>
      <c r="N12" s="166">
        <f>VLOOKUP($A12,'Features Calculation'!$A:$AO,10,0)</f>
        <v>100</v>
      </c>
      <c r="O12" s="166">
        <f>VLOOKUP($A12,'Features Calculation'!$A:$AO,12,0)</f>
        <v>0</v>
      </c>
      <c r="P12" s="166">
        <f>VLOOKUP($A12,'Features Calculation'!$A:$AO,14,0)</f>
        <v>0</v>
      </c>
      <c r="Q12" s="166">
        <f>VLOOKUP($A12,'Features Calculation'!$A:$AO,16,0)</f>
        <v>0</v>
      </c>
      <c r="R12" s="164">
        <f t="shared" si="8"/>
        <v>79.828772516919827</v>
      </c>
      <c r="S12" s="166">
        <f t="shared" si="9"/>
        <v>0</v>
      </c>
      <c r="T12" s="166">
        <f>VLOOKUP($A12,'Features Calculation'!$A:$AO,18,0)</f>
        <v>0</v>
      </c>
      <c r="U12" s="166">
        <f>VLOOKUP($A12,'Features Calculation'!$A:$AO,20,0)</f>
        <v>0</v>
      </c>
      <c r="V12" s="166">
        <f>VLOOKUP($A12,'Features Calculation'!$A:$AO,22,0)</f>
        <v>0</v>
      </c>
      <c r="W12" s="166">
        <f>VLOOKUP($A12,'Features Calculation'!$A:$AO,24,0)</f>
        <v>0</v>
      </c>
      <c r="X12" s="164">
        <f t="shared" si="10"/>
        <v>83.117292351167777</v>
      </c>
      <c r="Y12" s="166">
        <f t="shared" si="11"/>
        <v>0</v>
      </c>
      <c r="Z12" s="166">
        <f>VLOOKUP($A12,'Features Calculation'!$A:$AO,26,0)</f>
        <v>0</v>
      </c>
      <c r="AA12" s="166">
        <f>VLOOKUP($A12,'Features Calculation'!$A:$AO,28,0)</f>
        <v>0</v>
      </c>
      <c r="AB12" s="166">
        <f>VLOOKUP($A12,'Features Calculation'!$A:$AO,30,0)</f>
        <v>0</v>
      </c>
      <c r="AC12" s="164">
        <f t="shared" si="12"/>
        <v>88.709506753157569</v>
      </c>
      <c r="AD12" s="166">
        <f t="shared" si="13"/>
        <v>20</v>
      </c>
      <c r="AE12" s="166">
        <f>VLOOKUP($A12,'Features Calculation'!$A:$AO,32,0)</f>
        <v>0</v>
      </c>
      <c r="AF12" s="166">
        <f>VLOOKUP($A12,'Features Calculation'!$A:$AO,34,0)</f>
        <v>100</v>
      </c>
      <c r="AG12" s="166">
        <f>VLOOKUP($A12,'Features Calculation'!$A:$AO,36,0)</f>
        <v>0</v>
      </c>
      <c r="AH12" s="166">
        <f>VLOOKUP($A12,'Features Calculation'!$A:$AO,38,0)</f>
        <v>0</v>
      </c>
      <c r="AI12" s="166">
        <f>VLOOKUP($A12,'Features Calculation'!$A:$AO,40,0)</f>
        <v>0</v>
      </c>
      <c r="AJ12" s="167">
        <f t="shared" si="14"/>
        <v>108.50425214341533</v>
      </c>
      <c r="AK12" s="165">
        <f t="shared" si="15"/>
        <v>58.423864338718502</v>
      </c>
      <c r="AL12" s="165">
        <f t="shared" si="16"/>
        <v>86.873843776617065</v>
      </c>
      <c r="AM12" s="164">
        <f>IFERROR(VLOOKUP($A12,EC!$A:$E,2,0),"NA")</f>
        <v>28788</v>
      </c>
      <c r="AN12" s="165">
        <f t="shared" si="17"/>
        <v>89.752362345215403</v>
      </c>
      <c r="AO12" s="164">
        <f>IFERROR(VLOOKUP($A12,EC!$A:$E,4,0),"NA")</f>
        <v>6706</v>
      </c>
      <c r="AP12" s="165">
        <f t="shared" si="18"/>
        <v>80.787840611250829</v>
      </c>
      <c r="AQ12" s="164">
        <f>IFERROR(VLOOKUP($A12,EC!$A:$E,3,0),"NA")</f>
        <v>9.1187836553690218</v>
      </c>
      <c r="AR12" s="165">
        <f t="shared" si="19"/>
        <v>161.33852925634795</v>
      </c>
      <c r="AS12" s="168">
        <f>IFERROR(VLOOKUP($A12,EC!$A:$E,5,0),"NA")</f>
        <v>0.47315836564270802</v>
      </c>
    </row>
    <row r="13" spans="1:45" x14ac:dyDescent="0.3">
      <c r="A13" s="163" t="s">
        <v>34</v>
      </c>
      <c r="B13" s="164">
        <f t="shared" si="0"/>
        <v>101.51620594332353</v>
      </c>
      <c r="C13" s="165">
        <f t="shared" si="1"/>
        <v>98.040490918382744</v>
      </c>
      <c r="D13" s="164">
        <f t="shared" si="2"/>
        <v>119.70949359091388</v>
      </c>
      <c r="E13" s="166">
        <f t="shared" si="3"/>
        <v>55.00833333333334</v>
      </c>
      <c r="F13" s="164">
        <f t="shared" si="4"/>
        <v>94.888106476161596</v>
      </c>
      <c r="G13" s="166">
        <f t="shared" si="5"/>
        <v>25</v>
      </c>
      <c r="H13" s="166">
        <f>VLOOKUP($A13,'Features Calculation'!$A:$AO,2,0)</f>
        <v>100</v>
      </c>
      <c r="I13" s="166">
        <f>VLOOKUP($A13,'Features Calculation'!$A:$AO,4,0)</f>
        <v>0</v>
      </c>
      <c r="J13" s="166">
        <f>VLOOKUP($A13,'Features Calculation'!$A:$AO,6,0)</f>
        <v>0</v>
      </c>
      <c r="K13" s="166">
        <f>VLOOKUP($A13,'Features Calculation'!$A:$AO,8,0)</f>
        <v>0</v>
      </c>
      <c r="L13" s="164">
        <f t="shared" si="6"/>
        <v>116.73588291681985</v>
      </c>
      <c r="M13" s="166">
        <f t="shared" si="7"/>
        <v>100</v>
      </c>
      <c r="N13" s="166">
        <f>VLOOKUP($A13,'Features Calculation'!$A:$AO,10,0)</f>
        <v>100</v>
      </c>
      <c r="O13" s="166">
        <f>VLOOKUP($A13,'Features Calculation'!$A:$AO,12,0)</f>
        <v>100</v>
      </c>
      <c r="P13" s="166">
        <f>VLOOKUP($A13,'Features Calculation'!$A:$AO,14,0)</f>
        <v>100</v>
      </c>
      <c r="Q13" s="166">
        <f>VLOOKUP($A13,'Features Calculation'!$A:$AO,16,0)</f>
        <v>100</v>
      </c>
      <c r="R13" s="164">
        <f t="shared" si="8"/>
        <v>99.30444043161792</v>
      </c>
      <c r="S13" s="166">
        <f t="shared" si="9"/>
        <v>87.5</v>
      </c>
      <c r="T13" s="166">
        <f>VLOOKUP($A13,'Features Calculation'!$A:$AO,18,0)</f>
        <v>100</v>
      </c>
      <c r="U13" s="166">
        <f>VLOOKUP($A13,'Features Calculation'!$A:$AO,20,0)</f>
        <v>0</v>
      </c>
      <c r="V13" s="166">
        <f>VLOOKUP($A13,'Features Calculation'!$A:$AO,22,0)</f>
        <v>0</v>
      </c>
      <c r="W13" s="166">
        <f>VLOOKUP($A13,'Features Calculation'!$A:$AO,24,0)</f>
        <v>250</v>
      </c>
      <c r="X13" s="164">
        <f t="shared" si="10"/>
        <v>128.13784608138704</v>
      </c>
      <c r="Y13" s="166">
        <f t="shared" si="11"/>
        <v>266.66666666666669</v>
      </c>
      <c r="Z13" s="166">
        <f>VLOOKUP($A13,'Features Calculation'!$A:$AO,26,0)</f>
        <v>0</v>
      </c>
      <c r="AA13" s="166">
        <f>VLOOKUP($A13,'Features Calculation'!$A:$AO,28,0)</f>
        <v>550</v>
      </c>
      <c r="AB13" s="166">
        <f>VLOOKUP($A13,'Features Calculation'!$A:$AO,30,0)</f>
        <v>250</v>
      </c>
      <c r="AC13" s="164">
        <f t="shared" si="12"/>
        <v>98.934859127656367</v>
      </c>
      <c r="AD13" s="166">
        <f t="shared" si="13"/>
        <v>40</v>
      </c>
      <c r="AE13" s="166">
        <f>VLOOKUP($A13,'Features Calculation'!$A:$AO,32,0)</f>
        <v>100</v>
      </c>
      <c r="AF13" s="166">
        <f>VLOOKUP($A13,'Features Calculation'!$A:$AO,34,0)</f>
        <v>100</v>
      </c>
      <c r="AG13" s="166">
        <f>VLOOKUP($A13,'Features Calculation'!$A:$AO,36,0)</f>
        <v>0</v>
      </c>
      <c r="AH13" s="166">
        <f>VLOOKUP($A13,'Features Calculation'!$A:$AO,38,0)</f>
        <v>0</v>
      </c>
      <c r="AI13" s="166">
        <f>VLOOKUP($A13,'Features Calculation'!$A:$AO,40,0)</f>
        <v>0</v>
      </c>
      <c r="AJ13" s="167">
        <f t="shared" si="14"/>
        <v>81.693699428578569</v>
      </c>
      <c r="AK13" s="165">
        <f t="shared" si="15"/>
        <v>50.782376112485458</v>
      </c>
      <c r="AL13" s="165">
        <f t="shared" si="16"/>
        <v>88.024537815157046</v>
      </c>
      <c r="AM13" s="164">
        <f>IFERROR(VLOOKUP($A13,EC!$A:$E,2,0),"NA")</f>
        <v>324624</v>
      </c>
      <c r="AN13" s="165">
        <f t="shared" si="17"/>
        <v>90.397349035548856</v>
      </c>
      <c r="AO13" s="164">
        <f>IFERROR(VLOOKUP($A13,EC!$A:$E,4,0),"NA")</f>
        <v>32438</v>
      </c>
      <c r="AP13" s="165">
        <f t="shared" si="18"/>
        <v>91.022473018593104</v>
      </c>
      <c r="AQ13" s="164">
        <f>IFERROR(VLOOKUP($A13,EC!$A:$E,3,0),"NA")</f>
        <v>326.91238670694867</v>
      </c>
      <c r="AR13" s="165">
        <f t="shared" si="19"/>
        <v>94.473303687221573</v>
      </c>
      <c r="AS13" s="168">
        <f>IFERROR(VLOOKUP($A13,EC!$A:$E,5,0),"NA")</f>
        <v>3.0612244897959183E-2</v>
      </c>
    </row>
    <row r="14" spans="1:45" x14ac:dyDescent="0.3">
      <c r="A14" s="163" t="s">
        <v>27</v>
      </c>
      <c r="B14" s="164">
        <f t="shared" si="0"/>
        <v>95.73604906582058</v>
      </c>
      <c r="C14" s="165">
        <f t="shared" si="1"/>
        <v>92.960068569451948</v>
      </c>
      <c r="D14" s="164">
        <f t="shared" si="2"/>
        <v>107.39845855514785</v>
      </c>
      <c r="E14" s="166">
        <f t="shared" si="3"/>
        <v>39.841666666666669</v>
      </c>
      <c r="F14" s="164">
        <f t="shared" si="4"/>
        <v>94.888106476161596</v>
      </c>
      <c r="G14" s="166">
        <f t="shared" si="5"/>
        <v>25</v>
      </c>
      <c r="H14" s="166">
        <f>VLOOKUP($A14,'Features Calculation'!$A:$AO,2,0)</f>
        <v>100</v>
      </c>
      <c r="I14" s="166">
        <f>VLOOKUP($A14,'Features Calculation'!$A:$AO,4,0)</f>
        <v>0</v>
      </c>
      <c r="J14" s="166">
        <f>VLOOKUP($A14,'Features Calculation'!$A:$AO,6,0)</f>
        <v>0</v>
      </c>
      <c r="K14" s="166">
        <f>VLOOKUP($A14,'Features Calculation'!$A:$AO,8,0)</f>
        <v>0</v>
      </c>
      <c r="L14" s="164">
        <f t="shared" si="6"/>
        <v>102.88549705462411</v>
      </c>
      <c r="M14" s="166">
        <f t="shared" si="7"/>
        <v>75</v>
      </c>
      <c r="N14" s="166">
        <f>VLOOKUP($A14,'Features Calculation'!$A:$AO,10,0)</f>
        <v>100</v>
      </c>
      <c r="O14" s="166">
        <f>VLOOKUP($A14,'Features Calculation'!$A:$AO,12,0)</f>
        <v>0</v>
      </c>
      <c r="P14" s="166">
        <f>VLOOKUP($A14,'Features Calculation'!$A:$AO,14,0)</f>
        <v>100</v>
      </c>
      <c r="Q14" s="166">
        <f>VLOOKUP($A14,'Features Calculation'!$A:$AO,16,0)</f>
        <v>100</v>
      </c>
      <c r="R14" s="164">
        <f t="shared" si="8"/>
        <v>115.99787007278773</v>
      </c>
      <c r="S14" s="166">
        <f t="shared" si="9"/>
        <v>162.5</v>
      </c>
      <c r="T14" s="166">
        <f>VLOOKUP($A14,'Features Calculation'!$A:$AO,18,0)</f>
        <v>100</v>
      </c>
      <c r="U14" s="166">
        <f>VLOOKUP($A14,'Features Calculation'!$A:$AO,20,0)</f>
        <v>0</v>
      </c>
      <c r="V14" s="166">
        <f>VLOOKUP($A14,'Features Calculation'!$A:$AO,22,0)</f>
        <v>550</v>
      </c>
      <c r="W14" s="166">
        <f>VLOOKUP($A14,'Features Calculation'!$A:$AO,24,0)</f>
        <v>0</v>
      </c>
      <c r="X14" s="164">
        <f t="shared" si="10"/>
        <v>105.62756921627741</v>
      </c>
      <c r="Y14" s="166">
        <f t="shared" si="11"/>
        <v>133.33333333333334</v>
      </c>
      <c r="Z14" s="166">
        <f>VLOOKUP($A14,'Features Calculation'!$A:$AO,26,0)</f>
        <v>0</v>
      </c>
      <c r="AA14" s="166">
        <f>VLOOKUP($A14,'Features Calculation'!$A:$AO,28,0)</f>
        <v>0</v>
      </c>
      <c r="AB14" s="166">
        <f>VLOOKUP($A14,'Features Calculation'!$A:$AO,30,0)</f>
        <v>400</v>
      </c>
      <c r="AC14" s="164">
        <f t="shared" si="12"/>
        <v>98.934859127656367</v>
      </c>
      <c r="AD14" s="166">
        <f t="shared" si="13"/>
        <v>40</v>
      </c>
      <c r="AE14" s="166">
        <f>VLOOKUP($A14,'Features Calculation'!$A:$AO,32,0)</f>
        <v>100</v>
      </c>
      <c r="AF14" s="166">
        <f>VLOOKUP($A14,'Features Calculation'!$A:$AO,34,0)</f>
        <v>100</v>
      </c>
      <c r="AG14" s="166">
        <f>VLOOKUP($A14,'Features Calculation'!$A:$AO,36,0)</f>
        <v>0</v>
      </c>
      <c r="AH14" s="166">
        <f>VLOOKUP($A14,'Features Calculation'!$A:$AO,38,0)</f>
        <v>0</v>
      </c>
      <c r="AI14" s="166">
        <f>VLOOKUP($A14,'Features Calculation'!$A:$AO,40,0)</f>
        <v>0</v>
      </c>
      <c r="AJ14" s="167">
        <f t="shared" si="14"/>
        <v>82.067949808312946</v>
      </c>
      <c r="AK14" s="165">
        <f t="shared" si="15"/>
        <v>50.889044180869625</v>
      </c>
      <c r="AL14" s="165">
        <f t="shared" si="16"/>
        <v>87.374642052858292</v>
      </c>
      <c r="AM14" s="164">
        <f>IFERROR(VLOOKUP($A14,EC!$A:$E,2,0),"NA")</f>
        <v>157540</v>
      </c>
      <c r="AN14" s="165">
        <f t="shared" si="17"/>
        <v>90.386219932078149</v>
      </c>
      <c r="AO14" s="164">
        <f>IFERROR(VLOOKUP($A14,EC!$A:$E,4,0),"NA")</f>
        <v>31994</v>
      </c>
      <c r="AP14" s="165">
        <f t="shared" si="18"/>
        <v>95.984907962014944</v>
      </c>
      <c r="AQ14" s="164">
        <f>IFERROR(VLOOKUP($A14,EC!$A:$E,3,0),"NA")</f>
        <v>481</v>
      </c>
      <c r="AR14" s="165">
        <f t="shared" si="19"/>
        <v>91.253191713155843</v>
      </c>
      <c r="AS14" s="168">
        <f>IFERROR(VLOOKUP($A14,EC!$A:$E,5,0),"NA")</f>
        <v>9.2999999999999992E-3</v>
      </c>
    </row>
    <row r="15" spans="1:45" x14ac:dyDescent="0.3">
      <c r="A15" s="163" t="s">
        <v>31</v>
      </c>
      <c r="B15" s="164">
        <f t="shared" si="0"/>
        <v>94.924103366322385</v>
      </c>
      <c r="C15" s="165">
        <f t="shared" si="1"/>
        <v>92.246415434205048</v>
      </c>
      <c r="D15" s="164">
        <f t="shared" si="2"/>
        <v>92.246415434205048</v>
      </c>
      <c r="E15" s="166">
        <f t="shared" si="3"/>
        <v>21.175000000000001</v>
      </c>
      <c r="F15" s="164">
        <f t="shared" si="4"/>
        <v>83.734884242332342</v>
      </c>
      <c r="G15" s="166">
        <f t="shared" si="5"/>
        <v>0</v>
      </c>
      <c r="H15" s="166">
        <f>VLOOKUP($A15,'Features Calculation'!$A:$AO,2,0)</f>
        <v>0</v>
      </c>
      <c r="I15" s="166">
        <f>VLOOKUP($A15,'Features Calculation'!$A:$AO,4,0)</f>
        <v>0</v>
      </c>
      <c r="J15" s="166">
        <f>VLOOKUP($A15,'Features Calculation'!$A:$AO,6,0)</f>
        <v>0</v>
      </c>
      <c r="K15" s="166">
        <f>VLOOKUP($A15,'Features Calculation'!$A:$AO,8,0)</f>
        <v>0</v>
      </c>
      <c r="L15" s="164">
        <f t="shared" si="6"/>
        <v>116.73588291681985</v>
      </c>
      <c r="M15" s="166">
        <f t="shared" si="7"/>
        <v>100</v>
      </c>
      <c r="N15" s="166">
        <f>VLOOKUP($A15,'Features Calculation'!$A:$AO,10,0)</f>
        <v>100</v>
      </c>
      <c r="O15" s="166">
        <f>VLOOKUP($A15,'Features Calculation'!$A:$AO,12,0)</f>
        <v>100</v>
      </c>
      <c r="P15" s="166">
        <f>VLOOKUP($A15,'Features Calculation'!$A:$AO,14,0)</f>
        <v>100</v>
      </c>
      <c r="Q15" s="166">
        <f>VLOOKUP($A15,'Features Calculation'!$A:$AO,16,0)</f>
        <v>100</v>
      </c>
      <c r="R15" s="164">
        <f t="shared" si="8"/>
        <v>93.73996388456132</v>
      </c>
      <c r="S15" s="166">
        <f t="shared" si="9"/>
        <v>62.5</v>
      </c>
      <c r="T15" s="166">
        <f>VLOOKUP($A15,'Features Calculation'!$A:$AO,18,0)</f>
        <v>100</v>
      </c>
      <c r="U15" s="166">
        <f>VLOOKUP($A15,'Features Calculation'!$A:$AO,20,0)</f>
        <v>0</v>
      </c>
      <c r="V15" s="166">
        <f>VLOOKUP($A15,'Features Calculation'!$A:$AO,22,0)</f>
        <v>0</v>
      </c>
      <c r="W15" s="166">
        <f>VLOOKUP($A15,'Features Calculation'!$A:$AO,24,0)</f>
        <v>150</v>
      </c>
      <c r="X15" s="164">
        <f t="shared" si="10"/>
        <v>91.558646175583888</v>
      </c>
      <c r="Y15" s="166">
        <f t="shared" si="11"/>
        <v>50</v>
      </c>
      <c r="Z15" s="166">
        <f>VLOOKUP($A15,'Features Calculation'!$A:$AO,26,0)</f>
        <v>150</v>
      </c>
      <c r="AA15" s="166">
        <f>VLOOKUP($A15,'Features Calculation'!$A:$AO,28,0)</f>
        <v>0</v>
      </c>
      <c r="AB15" s="166">
        <f>VLOOKUP($A15,'Features Calculation'!$A:$AO,30,0)</f>
        <v>0</v>
      </c>
      <c r="AC15" s="164">
        <f t="shared" si="12"/>
        <v>98.934859127656367</v>
      </c>
      <c r="AD15" s="166">
        <f t="shared" si="13"/>
        <v>40</v>
      </c>
      <c r="AE15" s="166">
        <f>VLOOKUP($A15,'Features Calculation'!$A:$AO,32,0)</f>
        <v>100</v>
      </c>
      <c r="AF15" s="166">
        <f>VLOOKUP($A15,'Features Calculation'!$A:$AO,34,0)</f>
        <v>0</v>
      </c>
      <c r="AG15" s="166">
        <f>VLOOKUP($A15,'Features Calculation'!$A:$AO,36,0)</f>
        <v>100</v>
      </c>
      <c r="AH15" s="166">
        <f>VLOOKUP($A15,'Features Calculation'!$A:$AO,38,0)</f>
        <v>0</v>
      </c>
      <c r="AI15" s="166">
        <f>VLOOKUP($A15,'Features Calculation'!$A:$AO,40,0)</f>
        <v>0</v>
      </c>
      <c r="AJ15" s="167" t="str">
        <f t="shared" si="14"/>
        <v>NA</v>
      </c>
      <c r="AK15" s="165" t="str">
        <f t="shared" si="15"/>
        <v>NA</v>
      </c>
      <c r="AL15" s="165" t="str">
        <f t="shared" si="16"/>
        <v>NA</v>
      </c>
      <c r="AM15" s="164" t="str">
        <f>IFERROR(VLOOKUP($A15,EC!$A:$E,2,0),"NA")</f>
        <v>NA</v>
      </c>
      <c r="AN15" s="165" t="str">
        <f t="shared" si="17"/>
        <v>NA</v>
      </c>
      <c r="AO15" s="164" t="str">
        <f>IFERROR(VLOOKUP($A15,EC!$A:$E,4,0),"NA")</f>
        <v>NA</v>
      </c>
      <c r="AP15" s="165" t="str">
        <f t="shared" si="18"/>
        <v>NA</v>
      </c>
      <c r="AQ15" s="164" t="str">
        <f>IFERROR(VLOOKUP($A15,EC!$A:$E,3,0),"NA")</f>
        <v>NA</v>
      </c>
      <c r="AR15" s="165" t="str">
        <f t="shared" si="19"/>
        <v>NA</v>
      </c>
      <c r="AS15" s="168" t="str">
        <f>IFERROR(VLOOKUP($A15,EC!$A:$E,5,0),"NA")</f>
        <v>NA</v>
      </c>
    </row>
    <row r="16" spans="1:45" x14ac:dyDescent="0.3">
      <c r="A16" s="163" t="s">
        <v>32</v>
      </c>
      <c r="B16" s="164">
        <f t="shared" si="0"/>
        <v>93.792733016717818</v>
      </c>
      <c r="C16" s="165">
        <f t="shared" si="1"/>
        <v>91.252006574573585</v>
      </c>
      <c r="D16" s="164">
        <f t="shared" si="2"/>
        <v>96.460577427217274</v>
      </c>
      <c r="E16" s="166">
        <f t="shared" si="3"/>
        <v>26.366666666666671</v>
      </c>
      <c r="F16" s="164">
        <f t="shared" si="4"/>
        <v>117.19455094382009</v>
      </c>
      <c r="G16" s="166">
        <f t="shared" si="5"/>
        <v>75</v>
      </c>
      <c r="H16" s="166">
        <f>VLOOKUP($A16,'Features Calculation'!$A:$AO,2,0)</f>
        <v>100</v>
      </c>
      <c r="I16" s="166">
        <f>VLOOKUP($A16,'Features Calculation'!$A:$AO,4,0)</f>
        <v>0</v>
      </c>
      <c r="J16" s="166">
        <f>VLOOKUP($A16,'Features Calculation'!$A:$AO,6,0)</f>
        <v>0</v>
      </c>
      <c r="K16" s="166">
        <f>VLOOKUP($A16,'Features Calculation'!$A:$AO,8,0)</f>
        <v>200</v>
      </c>
      <c r="L16" s="164">
        <f t="shared" si="6"/>
        <v>116.73588291681985</v>
      </c>
      <c r="M16" s="166">
        <f t="shared" si="7"/>
        <v>100</v>
      </c>
      <c r="N16" s="166">
        <f>VLOOKUP($A16,'Features Calculation'!$A:$AO,10,0)</f>
        <v>100</v>
      </c>
      <c r="O16" s="166">
        <f>VLOOKUP($A16,'Features Calculation'!$A:$AO,12,0)</f>
        <v>100</v>
      </c>
      <c r="P16" s="166">
        <f>VLOOKUP($A16,'Features Calculation'!$A:$AO,14,0)</f>
        <v>100</v>
      </c>
      <c r="Q16" s="166">
        <f>VLOOKUP($A16,'Features Calculation'!$A:$AO,16,0)</f>
        <v>100</v>
      </c>
      <c r="R16" s="164">
        <f t="shared" si="8"/>
        <v>96.522202158089627</v>
      </c>
      <c r="S16" s="166">
        <f t="shared" si="9"/>
        <v>75</v>
      </c>
      <c r="T16" s="166">
        <f>VLOOKUP($A16,'Features Calculation'!$A:$AO,18,0)</f>
        <v>0</v>
      </c>
      <c r="U16" s="166">
        <f>VLOOKUP($A16,'Features Calculation'!$A:$AO,20,0)</f>
        <v>0</v>
      </c>
      <c r="V16" s="166">
        <f>VLOOKUP($A16,'Features Calculation'!$A:$AO,22,0)</f>
        <v>200</v>
      </c>
      <c r="W16" s="166">
        <f>VLOOKUP($A16,'Features Calculation'!$A:$AO,24,0)</f>
        <v>100</v>
      </c>
      <c r="X16" s="164">
        <f t="shared" si="10"/>
        <v>88.744861567445184</v>
      </c>
      <c r="Y16" s="166">
        <f t="shared" si="11"/>
        <v>33.333333333333336</v>
      </c>
      <c r="Z16" s="166">
        <f>VLOOKUP($A16,'Features Calculation'!$A:$AO,26,0)</f>
        <v>0</v>
      </c>
      <c r="AA16" s="166">
        <f>VLOOKUP($A16,'Features Calculation'!$A:$AO,28,0)</f>
        <v>0</v>
      </c>
      <c r="AB16" s="166">
        <f>VLOOKUP($A16,'Features Calculation'!$A:$AO,30,0)</f>
        <v>100</v>
      </c>
      <c r="AC16" s="164">
        <f t="shared" si="12"/>
        <v>109.16021150215518</v>
      </c>
      <c r="AD16" s="166">
        <f t="shared" si="13"/>
        <v>60</v>
      </c>
      <c r="AE16" s="166">
        <f>VLOOKUP($A16,'Features Calculation'!$A:$AO,32,0)</f>
        <v>100</v>
      </c>
      <c r="AF16" s="166">
        <f>VLOOKUP($A16,'Features Calculation'!$A:$AO,34,0)</f>
        <v>100</v>
      </c>
      <c r="AG16" s="166">
        <f>VLOOKUP($A16,'Features Calculation'!$A:$AO,36,0)</f>
        <v>100</v>
      </c>
      <c r="AH16" s="166">
        <f>VLOOKUP($A16,'Features Calculation'!$A:$AO,38,0)</f>
        <v>0</v>
      </c>
      <c r="AI16" s="166">
        <f>VLOOKUP($A16,'Features Calculation'!$A:$AO,40,0)</f>
        <v>0</v>
      </c>
      <c r="AJ16" s="167">
        <f t="shared" si="14"/>
        <v>87.322733826088012</v>
      </c>
      <c r="AK16" s="165">
        <f t="shared" si="15"/>
        <v>52.386751842114691</v>
      </c>
      <c r="AL16" s="165">
        <f t="shared" si="16"/>
        <v>94.098904445265347</v>
      </c>
      <c r="AM16" s="164">
        <f>IFERROR(VLOOKUP($A16,EC!$A:$E,2,0),"NA")</f>
        <v>1886304.4000000001</v>
      </c>
      <c r="AN16" s="165">
        <f t="shared" si="17"/>
        <v>91.677471655711273</v>
      </c>
      <c r="AO16" s="164">
        <f>IFERROR(VLOOKUP($A16,EC!$A:$E,4,0),"NA")</f>
        <v>83509</v>
      </c>
      <c r="AP16" s="165">
        <f t="shared" si="18"/>
        <v>91.263351090942933</v>
      </c>
      <c r="AQ16" s="164">
        <f>IFERROR(VLOOKUP($A16,EC!$A:$E,3,0),"NA")</f>
        <v>334.3918454174792</v>
      </c>
      <c r="AR16" s="165">
        <f t="shared" si="19"/>
        <v>95.940640999836972</v>
      </c>
      <c r="AS16" s="168">
        <f>IFERROR(VLOOKUP($A16,EC!$A:$E,5,0),"NA")</f>
        <v>4.0323786734464968E-2</v>
      </c>
    </row>
    <row r="17" spans="1:45" x14ac:dyDescent="0.3">
      <c r="A17" s="163" t="s">
        <v>29</v>
      </c>
      <c r="B17" s="164">
        <f t="shared" si="0"/>
        <v>92.443563026701469</v>
      </c>
      <c r="C17" s="165">
        <f t="shared" si="1"/>
        <v>90.066164474601564</v>
      </c>
      <c r="D17" s="164">
        <f t="shared" si="2"/>
        <v>92.956667455499243</v>
      </c>
      <c r="E17" s="166">
        <f t="shared" si="3"/>
        <v>22.050000000000004</v>
      </c>
      <c r="F17" s="164">
        <f t="shared" si="4"/>
        <v>94.888106476161596</v>
      </c>
      <c r="G17" s="166">
        <f t="shared" si="5"/>
        <v>25</v>
      </c>
      <c r="H17" s="166">
        <f>VLOOKUP($A17,'Features Calculation'!$A:$AO,2,0)</f>
        <v>100</v>
      </c>
      <c r="I17" s="166">
        <f>VLOOKUP($A17,'Features Calculation'!$A:$AO,4,0)</f>
        <v>0</v>
      </c>
      <c r="J17" s="166">
        <f>VLOOKUP($A17,'Features Calculation'!$A:$AO,6,0)</f>
        <v>0</v>
      </c>
      <c r="K17" s="166">
        <f>VLOOKUP($A17,'Features Calculation'!$A:$AO,8,0)</f>
        <v>0</v>
      </c>
      <c r="L17" s="164">
        <f t="shared" si="6"/>
        <v>116.73588291681985</v>
      </c>
      <c r="M17" s="166">
        <f t="shared" si="7"/>
        <v>100</v>
      </c>
      <c r="N17" s="166">
        <f>VLOOKUP($A17,'Features Calculation'!$A:$AO,10,0)</f>
        <v>100</v>
      </c>
      <c r="O17" s="166">
        <f>VLOOKUP($A17,'Features Calculation'!$A:$AO,12,0)</f>
        <v>100</v>
      </c>
      <c r="P17" s="166">
        <f>VLOOKUP($A17,'Features Calculation'!$A:$AO,14,0)</f>
        <v>100</v>
      </c>
      <c r="Q17" s="166">
        <f>VLOOKUP($A17,'Features Calculation'!$A:$AO,16,0)</f>
        <v>100</v>
      </c>
      <c r="R17" s="164">
        <f t="shared" si="8"/>
        <v>113.21563179925943</v>
      </c>
      <c r="S17" s="166">
        <f t="shared" si="9"/>
        <v>150</v>
      </c>
      <c r="T17" s="166">
        <f>VLOOKUP($A17,'Features Calculation'!$A:$AO,18,0)</f>
        <v>100</v>
      </c>
      <c r="U17" s="166">
        <f>VLOOKUP($A17,'Features Calculation'!$A:$AO,20,0)</f>
        <v>0</v>
      </c>
      <c r="V17" s="166">
        <f>VLOOKUP($A17,'Features Calculation'!$A:$AO,22,0)</f>
        <v>0</v>
      </c>
      <c r="W17" s="166">
        <f>VLOOKUP($A17,'Features Calculation'!$A:$AO,24,0)</f>
        <v>500</v>
      </c>
      <c r="X17" s="164">
        <f t="shared" si="10"/>
        <v>83.117292351167777</v>
      </c>
      <c r="Y17" s="166">
        <f t="shared" si="11"/>
        <v>0</v>
      </c>
      <c r="Z17" s="166">
        <f>VLOOKUP($A17,'Features Calculation'!$A:$AO,26,0)</f>
        <v>0</v>
      </c>
      <c r="AA17" s="166">
        <f>VLOOKUP($A17,'Features Calculation'!$A:$AO,28,0)</f>
        <v>0</v>
      </c>
      <c r="AB17" s="166">
        <f>VLOOKUP($A17,'Features Calculation'!$A:$AO,30,0)</f>
        <v>0</v>
      </c>
      <c r="AC17" s="164">
        <f t="shared" si="12"/>
        <v>98.934859127656367</v>
      </c>
      <c r="AD17" s="166">
        <f t="shared" si="13"/>
        <v>40</v>
      </c>
      <c r="AE17" s="166">
        <f>VLOOKUP($A17,'Features Calculation'!$A:$AO,32,0)</f>
        <v>100</v>
      </c>
      <c r="AF17" s="166">
        <f>VLOOKUP($A17,'Features Calculation'!$A:$AO,34,0)</f>
        <v>100</v>
      </c>
      <c r="AG17" s="166">
        <f>VLOOKUP($A17,'Features Calculation'!$A:$AO,36,0)</f>
        <v>0</v>
      </c>
      <c r="AH17" s="166">
        <f>VLOOKUP($A17,'Features Calculation'!$A:$AO,38,0)</f>
        <v>0</v>
      </c>
      <c r="AI17" s="166">
        <f>VLOOKUP($A17,'Features Calculation'!$A:$AO,40,0)</f>
        <v>0</v>
      </c>
      <c r="AJ17" s="167">
        <f t="shared" si="14"/>
        <v>87.885609594275252</v>
      </c>
      <c r="AK17" s="165">
        <f t="shared" si="15"/>
        <v>52.547181528185817</v>
      </c>
      <c r="AL17" s="165">
        <f t="shared" si="16"/>
        <v>88.47431186041365</v>
      </c>
      <c r="AM17" s="164">
        <f>IFERROR(VLOOKUP($A17,EC!$A:$E,2,0),"NA")</f>
        <v>440258</v>
      </c>
      <c r="AN17" s="165">
        <f t="shared" si="17"/>
        <v>90.156118198156918</v>
      </c>
      <c r="AO17" s="164">
        <f>IFERROR(VLOOKUP($A17,EC!$A:$E,4,0),"NA")</f>
        <v>22814</v>
      </c>
      <c r="AP17" s="165">
        <f t="shared" si="18"/>
        <v>103.16668570996696</v>
      </c>
      <c r="AQ17" s="164">
        <f>IFERROR(VLOOKUP($A17,EC!$A:$E,3,0),"NA")</f>
        <v>704</v>
      </c>
      <c r="AR17" s="165">
        <f t="shared" si="19"/>
        <v>94.380798315947061</v>
      </c>
      <c r="AS17" s="168">
        <f>IFERROR(VLOOKUP($A17,EC!$A:$E,5,0),"NA")</f>
        <v>0.03</v>
      </c>
    </row>
    <row r="18" spans="1:45" x14ac:dyDescent="0.3">
      <c r="A18" s="163" t="s">
        <v>33</v>
      </c>
      <c r="B18" s="164">
        <f t="shared" si="0"/>
        <v>89.590800810688833</v>
      </c>
      <c r="C18" s="165">
        <f t="shared" si="1"/>
        <v>87.558752093663372</v>
      </c>
      <c r="D18" s="164">
        <f t="shared" si="2"/>
        <v>87.558752093663372</v>
      </c>
      <c r="E18" s="166">
        <f t="shared" si="3"/>
        <v>15.400000000000002</v>
      </c>
      <c r="F18" s="164">
        <f t="shared" si="4"/>
        <v>83.734884242332342</v>
      </c>
      <c r="G18" s="166">
        <f t="shared" si="5"/>
        <v>0</v>
      </c>
      <c r="H18" s="166">
        <f>VLOOKUP($A18,'Features Calculation'!$A:$AO,2,0)</f>
        <v>0</v>
      </c>
      <c r="I18" s="166">
        <f>VLOOKUP($A18,'Features Calculation'!$A:$AO,4,0)</f>
        <v>0</v>
      </c>
      <c r="J18" s="166">
        <f>VLOOKUP($A18,'Features Calculation'!$A:$AO,6,0)</f>
        <v>0</v>
      </c>
      <c r="K18" s="166">
        <f>VLOOKUP($A18,'Features Calculation'!$A:$AO,8,0)</f>
        <v>0</v>
      </c>
      <c r="L18" s="164">
        <f t="shared" si="6"/>
        <v>102.88549705462411</v>
      </c>
      <c r="M18" s="166">
        <f t="shared" si="7"/>
        <v>75</v>
      </c>
      <c r="N18" s="166">
        <f>VLOOKUP($A18,'Features Calculation'!$A:$AO,10,0)</f>
        <v>100</v>
      </c>
      <c r="O18" s="166">
        <f>VLOOKUP($A18,'Features Calculation'!$A:$AO,12,0)</f>
        <v>100</v>
      </c>
      <c r="P18" s="166">
        <f>VLOOKUP($A18,'Features Calculation'!$A:$AO,14,0)</f>
        <v>100</v>
      </c>
      <c r="Q18" s="166">
        <f>VLOOKUP($A18,'Features Calculation'!$A:$AO,16,0)</f>
        <v>0</v>
      </c>
      <c r="R18" s="164">
        <f t="shared" si="8"/>
        <v>85.393249063976427</v>
      </c>
      <c r="S18" s="166">
        <f t="shared" si="9"/>
        <v>25</v>
      </c>
      <c r="T18" s="166">
        <f>VLOOKUP($A18,'Features Calculation'!$A:$AO,18,0)</f>
        <v>100</v>
      </c>
      <c r="U18" s="166">
        <f>VLOOKUP($A18,'Features Calculation'!$A:$AO,20,0)</f>
        <v>0</v>
      </c>
      <c r="V18" s="166">
        <f>VLOOKUP($A18,'Features Calculation'!$A:$AO,22,0)</f>
        <v>0</v>
      </c>
      <c r="W18" s="166">
        <f>VLOOKUP($A18,'Features Calculation'!$A:$AO,24,0)</f>
        <v>0</v>
      </c>
      <c r="X18" s="164">
        <f t="shared" si="10"/>
        <v>83.117292351167777</v>
      </c>
      <c r="Y18" s="166">
        <f t="shared" si="11"/>
        <v>0</v>
      </c>
      <c r="Z18" s="166">
        <f>VLOOKUP($A18,'Features Calculation'!$A:$AO,26,0)</f>
        <v>0</v>
      </c>
      <c r="AA18" s="166">
        <f>VLOOKUP($A18,'Features Calculation'!$A:$AO,28,0)</f>
        <v>0</v>
      </c>
      <c r="AB18" s="166">
        <f>VLOOKUP($A18,'Features Calculation'!$A:$AO,30,0)</f>
        <v>0</v>
      </c>
      <c r="AC18" s="164">
        <f t="shared" si="12"/>
        <v>139.8362686256516</v>
      </c>
      <c r="AD18" s="166">
        <f t="shared" si="13"/>
        <v>120</v>
      </c>
      <c r="AE18" s="166">
        <f>VLOOKUP($A18,'Features Calculation'!$A:$AO,32,0)</f>
        <v>0</v>
      </c>
      <c r="AF18" s="166">
        <f>VLOOKUP($A18,'Features Calculation'!$A:$AO,34,0)</f>
        <v>0</v>
      </c>
      <c r="AG18" s="166">
        <f>VLOOKUP($A18,'Features Calculation'!$A:$AO,36,0)</f>
        <v>100</v>
      </c>
      <c r="AH18" s="166">
        <f>VLOOKUP($A18,'Features Calculation'!$A:$AO,38,0)</f>
        <v>0</v>
      </c>
      <c r="AI18" s="166">
        <f>VLOOKUP($A18,'Features Calculation'!$A:$AO,40,0)</f>
        <v>500</v>
      </c>
      <c r="AJ18" s="167" t="str">
        <f t="shared" si="14"/>
        <v>NA</v>
      </c>
      <c r="AK18" s="165" t="str">
        <f t="shared" si="15"/>
        <v>NA</v>
      </c>
      <c r="AL18" s="165" t="str">
        <f t="shared" si="16"/>
        <v>NA</v>
      </c>
      <c r="AM18" s="164" t="str">
        <f>IFERROR(VLOOKUP($A18,EC!$A:$E,2,0),"NA")</f>
        <v>NA</v>
      </c>
      <c r="AN18" s="165" t="str">
        <f t="shared" si="17"/>
        <v>NA</v>
      </c>
      <c r="AO18" s="164" t="str">
        <f>IFERROR(VLOOKUP($A18,EC!$A:$E,4,0),"NA")</f>
        <v>NA</v>
      </c>
      <c r="AP18" s="165" t="str">
        <f t="shared" si="18"/>
        <v>NA</v>
      </c>
      <c r="AQ18" s="164" t="str">
        <f>IFERROR(VLOOKUP($A18,EC!$A:$E,3,0),"NA")</f>
        <v>NA</v>
      </c>
      <c r="AR18" s="165" t="str">
        <f t="shared" si="19"/>
        <v>NA</v>
      </c>
      <c r="AS18" s="168" t="str">
        <f>IFERROR(VLOOKUP($A18,EC!$A:$E,5,0),"NA")</f>
        <v>NA</v>
      </c>
    </row>
    <row r="19" spans="1:45" x14ac:dyDescent="0.3">
      <c r="A19" s="163" t="s">
        <v>35</v>
      </c>
      <c r="B19" s="164">
        <f t="shared" si="0"/>
        <v>88.894579181855192</v>
      </c>
      <c r="C19" s="165">
        <f t="shared" si="1"/>
        <v>86.946813698582389</v>
      </c>
      <c r="D19" s="164">
        <f t="shared" si="2"/>
        <v>95.939725944934864</v>
      </c>
      <c r="E19" s="166">
        <f t="shared" si="3"/>
        <v>25.725000000000005</v>
      </c>
      <c r="F19" s="164">
        <f t="shared" si="4"/>
        <v>156.23082876222247</v>
      </c>
      <c r="G19" s="166">
        <f t="shared" si="5"/>
        <v>162.5</v>
      </c>
      <c r="H19" s="166">
        <f>VLOOKUP($A19,'Features Calculation'!$A:$AO,2,0)</f>
        <v>100</v>
      </c>
      <c r="I19" s="166">
        <f>VLOOKUP($A19,'Features Calculation'!$A:$AO,4,0)</f>
        <v>0</v>
      </c>
      <c r="J19" s="166">
        <f>VLOOKUP($A19,'Features Calculation'!$A:$AO,6,0)</f>
        <v>550</v>
      </c>
      <c r="K19" s="166">
        <f>VLOOKUP($A19,'Features Calculation'!$A:$AO,8,0)</f>
        <v>0</v>
      </c>
      <c r="L19" s="164">
        <f t="shared" si="6"/>
        <v>102.88549705462411</v>
      </c>
      <c r="M19" s="166">
        <f t="shared" si="7"/>
        <v>75</v>
      </c>
      <c r="N19" s="166">
        <f>VLOOKUP($A19,'Features Calculation'!$A:$AO,10,0)</f>
        <v>100</v>
      </c>
      <c r="O19" s="166">
        <f>VLOOKUP($A19,'Features Calculation'!$A:$AO,12,0)</f>
        <v>100</v>
      </c>
      <c r="P19" s="166">
        <f>VLOOKUP($A19,'Features Calculation'!$A:$AO,14,0)</f>
        <v>100</v>
      </c>
      <c r="Q19" s="166">
        <f>VLOOKUP($A19,'Features Calculation'!$A:$AO,16,0)</f>
        <v>0</v>
      </c>
      <c r="R19" s="164">
        <f t="shared" si="8"/>
        <v>79.828772516919827</v>
      </c>
      <c r="S19" s="166">
        <f t="shared" si="9"/>
        <v>0</v>
      </c>
      <c r="T19" s="166">
        <f>VLOOKUP($A19,'Features Calculation'!$A:$AO,18,0)</f>
        <v>0</v>
      </c>
      <c r="U19" s="166">
        <f>VLOOKUP($A19,'Features Calculation'!$A:$AO,20,0)</f>
        <v>0</v>
      </c>
      <c r="V19" s="166">
        <f>VLOOKUP($A19,'Features Calculation'!$A:$AO,22,0)</f>
        <v>0</v>
      </c>
      <c r="W19" s="166">
        <f>VLOOKUP($A19,'Features Calculation'!$A:$AO,24,0)</f>
        <v>0</v>
      </c>
      <c r="X19" s="164">
        <f t="shared" si="10"/>
        <v>83.117292351167777</v>
      </c>
      <c r="Y19" s="166">
        <f t="shared" si="11"/>
        <v>0</v>
      </c>
      <c r="Z19" s="166">
        <f>VLOOKUP($A19,'Features Calculation'!$A:$AO,26,0)</f>
        <v>0</v>
      </c>
      <c r="AA19" s="166">
        <f>VLOOKUP($A19,'Features Calculation'!$A:$AO,28,0)</f>
        <v>0</v>
      </c>
      <c r="AB19" s="166">
        <f>VLOOKUP($A19,'Features Calculation'!$A:$AO,30,0)</f>
        <v>0</v>
      </c>
      <c r="AC19" s="164">
        <f t="shared" si="12"/>
        <v>144.948944812901</v>
      </c>
      <c r="AD19" s="166">
        <f t="shared" si="13"/>
        <v>130</v>
      </c>
      <c r="AE19" s="166">
        <f>VLOOKUP($A19,'Features Calculation'!$A:$AO,32,0)</f>
        <v>0</v>
      </c>
      <c r="AF19" s="166">
        <f>VLOOKUP($A19,'Features Calculation'!$A:$AO,34,0)</f>
        <v>100</v>
      </c>
      <c r="AG19" s="166">
        <f>VLOOKUP($A19,'Features Calculation'!$A:$AO,36,0)</f>
        <v>0</v>
      </c>
      <c r="AH19" s="166">
        <f>VLOOKUP($A19,'Features Calculation'!$A:$AO,38,0)</f>
        <v>0</v>
      </c>
      <c r="AI19" s="166">
        <f>VLOOKUP($A19,'Features Calculation'!$A:$AO,40,0)</f>
        <v>550</v>
      </c>
      <c r="AJ19" s="167">
        <f t="shared" si="14"/>
        <v>80.162686916246329</v>
      </c>
      <c r="AK19" s="165">
        <f t="shared" si="15"/>
        <v>50.346010096027769</v>
      </c>
      <c r="AL19" s="165">
        <f t="shared" si="16"/>
        <v>87.063976911164289</v>
      </c>
      <c r="AM19" s="164">
        <f>IFERROR(VLOOKUP($A19,EC!$A:$E,2,0),"NA")</f>
        <v>77670</v>
      </c>
      <c r="AN19" s="165">
        <f t="shared" si="17"/>
        <v>89.904610485938449</v>
      </c>
      <c r="AO19" s="164">
        <f>IFERROR(VLOOKUP($A19,EC!$A:$E,4,0),"NA")</f>
        <v>12780</v>
      </c>
      <c r="AP19" s="165">
        <f t="shared" si="18"/>
        <v>92.571148135634161</v>
      </c>
      <c r="AQ19" s="164">
        <f>IFERROR(VLOOKUP($A19,EC!$A:$E,3,0),"NA")</f>
        <v>375</v>
      </c>
      <c r="AR19" s="165">
        <f t="shared" si="19"/>
        <v>91.494939083419894</v>
      </c>
      <c r="AS19" s="168">
        <f>IFERROR(VLOOKUP($A19,EC!$A:$E,5,0),"NA")</f>
        <v>1.09E-2</v>
      </c>
    </row>
    <row r="20" spans="1:45" x14ac:dyDescent="0.3">
      <c r="A20" s="163" t="s">
        <v>36</v>
      </c>
      <c r="B20" s="164">
        <f t="shared" si="0"/>
        <v>88.164235284692467</v>
      </c>
      <c r="C20" s="165">
        <f t="shared" si="1"/>
        <v>86.304883810486757</v>
      </c>
      <c r="D20" s="164">
        <f t="shared" si="2"/>
        <v>86.706449668110338</v>
      </c>
      <c r="E20" s="166">
        <f t="shared" si="3"/>
        <v>14.350000000000001</v>
      </c>
      <c r="F20" s="164">
        <f t="shared" si="4"/>
        <v>94.888106476161596</v>
      </c>
      <c r="G20" s="166">
        <f t="shared" si="5"/>
        <v>25</v>
      </c>
      <c r="H20" s="166">
        <f>VLOOKUP($A20,'Features Calculation'!$A:$AO,2,0)</f>
        <v>100</v>
      </c>
      <c r="I20" s="166">
        <f>VLOOKUP($A20,'Features Calculation'!$A:$AO,4,0)</f>
        <v>0</v>
      </c>
      <c r="J20" s="166">
        <f>VLOOKUP($A20,'Features Calculation'!$A:$AO,6,0)</f>
        <v>0</v>
      </c>
      <c r="K20" s="166">
        <f>VLOOKUP($A20,'Features Calculation'!$A:$AO,8,0)</f>
        <v>0</v>
      </c>
      <c r="L20" s="164">
        <f t="shared" si="6"/>
        <v>102.88549705462411</v>
      </c>
      <c r="M20" s="166">
        <f t="shared" si="7"/>
        <v>75</v>
      </c>
      <c r="N20" s="166">
        <f>VLOOKUP($A20,'Features Calculation'!$A:$AO,10,0)</f>
        <v>100</v>
      </c>
      <c r="O20" s="166">
        <f>VLOOKUP($A20,'Features Calculation'!$A:$AO,12,0)</f>
        <v>0</v>
      </c>
      <c r="P20" s="166">
        <f>VLOOKUP($A20,'Features Calculation'!$A:$AO,14,0)</f>
        <v>100</v>
      </c>
      <c r="Q20" s="166">
        <f>VLOOKUP($A20,'Features Calculation'!$A:$AO,16,0)</f>
        <v>100</v>
      </c>
      <c r="R20" s="164">
        <f t="shared" si="8"/>
        <v>85.393249063976427</v>
      </c>
      <c r="S20" s="166">
        <f t="shared" si="9"/>
        <v>25</v>
      </c>
      <c r="T20" s="166">
        <f>VLOOKUP($A20,'Features Calculation'!$A:$AO,18,0)</f>
        <v>100</v>
      </c>
      <c r="U20" s="166">
        <f>VLOOKUP($A20,'Features Calculation'!$A:$AO,20,0)</f>
        <v>0</v>
      </c>
      <c r="V20" s="166">
        <f>VLOOKUP($A20,'Features Calculation'!$A:$AO,22,0)</f>
        <v>0</v>
      </c>
      <c r="W20" s="166">
        <f>VLOOKUP($A20,'Features Calculation'!$A:$AO,24,0)</f>
        <v>0</v>
      </c>
      <c r="X20" s="164">
        <f t="shared" si="10"/>
        <v>83.117292351167777</v>
      </c>
      <c r="Y20" s="166">
        <f t="shared" si="11"/>
        <v>0</v>
      </c>
      <c r="Z20" s="166">
        <f>VLOOKUP($A20,'Features Calculation'!$A:$AO,26,0)</f>
        <v>0</v>
      </c>
      <c r="AA20" s="166">
        <f>VLOOKUP($A20,'Features Calculation'!$A:$AO,28,0)</f>
        <v>0</v>
      </c>
      <c r="AB20" s="166">
        <f>VLOOKUP($A20,'Features Calculation'!$A:$AO,30,0)</f>
        <v>0</v>
      </c>
      <c r="AC20" s="164">
        <f t="shared" si="12"/>
        <v>119.38556387665399</v>
      </c>
      <c r="AD20" s="166">
        <f t="shared" si="13"/>
        <v>80</v>
      </c>
      <c r="AE20" s="166">
        <f>VLOOKUP($A20,'Features Calculation'!$A:$AO,32,0)</f>
        <v>0</v>
      </c>
      <c r="AF20" s="166">
        <f>VLOOKUP($A20,'Features Calculation'!$A:$AO,34,0)</f>
        <v>0</v>
      </c>
      <c r="AG20" s="166">
        <f>VLOOKUP($A20,'Features Calculation'!$A:$AO,36,0)</f>
        <v>0</v>
      </c>
      <c r="AH20" s="166">
        <f>VLOOKUP($A20,'Features Calculation'!$A:$AO,38,0)</f>
        <v>0</v>
      </c>
      <c r="AI20" s="166">
        <f>VLOOKUP($A20,'Features Calculation'!$A:$AO,40,0)</f>
        <v>400</v>
      </c>
      <c r="AJ20" s="167">
        <f t="shared" si="14"/>
        <v>86.001948163507578</v>
      </c>
      <c r="AK20" s="165">
        <f t="shared" si="15"/>
        <v>52.010304247119734</v>
      </c>
      <c r="AL20" s="165">
        <f t="shared" si="16"/>
        <v>87.031630707103602</v>
      </c>
      <c r="AM20" s="164">
        <f>IFERROR(VLOOKUP($A20,EC!$A:$E,2,0),"NA")</f>
        <v>69354</v>
      </c>
      <c r="AN20" s="165">
        <f t="shared" si="17"/>
        <v>89.969304666248973</v>
      </c>
      <c r="AO20" s="164">
        <f>IFERROR(VLOOKUP($A20,EC!$A:$E,4,0),"NA")</f>
        <v>15361</v>
      </c>
      <c r="AP20" s="165">
        <f t="shared" si="18"/>
        <v>105.51767125077635</v>
      </c>
      <c r="AQ20" s="164">
        <f>IFERROR(VLOOKUP($A20,EC!$A:$E,3,0),"NA")</f>
        <v>777</v>
      </c>
      <c r="AR20" s="165">
        <f t="shared" si="19"/>
        <v>90.452403549156159</v>
      </c>
      <c r="AS20" s="168">
        <f>IFERROR(VLOOKUP($A20,EC!$A:$E,5,0),"NA")</f>
        <v>4.0000000000000001E-3</v>
      </c>
    </row>
    <row r="21" spans="1:45" x14ac:dyDescent="0.3">
      <c r="A21" s="163" t="s">
        <v>37</v>
      </c>
      <c r="B21" s="164">
        <f t="shared" si="0"/>
        <v>84.257498255055268</v>
      </c>
      <c r="C21" s="165">
        <f t="shared" si="1"/>
        <v>82.871088753121683</v>
      </c>
      <c r="D21" s="164">
        <f t="shared" si="2"/>
        <v>82.871088753121683</v>
      </c>
      <c r="E21" s="166">
        <f t="shared" si="3"/>
        <v>9.625</v>
      </c>
      <c r="F21" s="164">
        <f t="shared" si="4"/>
        <v>83.734884242332342</v>
      </c>
      <c r="G21" s="166">
        <f t="shared" si="5"/>
        <v>0</v>
      </c>
      <c r="H21" s="166">
        <f>VLOOKUP($A21,'Features Calculation'!$A:$AO,2,0)</f>
        <v>0</v>
      </c>
      <c r="I21" s="166">
        <f>VLOOKUP($A21,'Features Calculation'!$A:$AO,4,0)</f>
        <v>0</v>
      </c>
      <c r="J21" s="166">
        <f>VLOOKUP($A21,'Features Calculation'!$A:$AO,6,0)</f>
        <v>0</v>
      </c>
      <c r="K21" s="166">
        <f>VLOOKUP($A21,'Features Calculation'!$A:$AO,8,0)</f>
        <v>0</v>
      </c>
      <c r="L21" s="164">
        <f t="shared" si="6"/>
        <v>102.88549705462411</v>
      </c>
      <c r="M21" s="166">
        <f t="shared" si="7"/>
        <v>75</v>
      </c>
      <c r="N21" s="166">
        <f>VLOOKUP($A21,'Features Calculation'!$A:$AO,10,0)</f>
        <v>100</v>
      </c>
      <c r="O21" s="166">
        <f>VLOOKUP($A21,'Features Calculation'!$A:$AO,12,0)</f>
        <v>100</v>
      </c>
      <c r="P21" s="166">
        <f>VLOOKUP($A21,'Features Calculation'!$A:$AO,14,0)</f>
        <v>100</v>
      </c>
      <c r="Q21" s="166">
        <f>VLOOKUP($A21,'Features Calculation'!$A:$AO,16,0)</f>
        <v>0</v>
      </c>
      <c r="R21" s="164">
        <f t="shared" si="8"/>
        <v>93.73996388456132</v>
      </c>
      <c r="S21" s="166">
        <f t="shared" si="9"/>
        <v>62.5</v>
      </c>
      <c r="T21" s="166">
        <f>VLOOKUP($A21,'Features Calculation'!$A:$AO,18,0)</f>
        <v>0</v>
      </c>
      <c r="U21" s="166">
        <f>VLOOKUP($A21,'Features Calculation'!$A:$AO,20,0)</f>
        <v>250</v>
      </c>
      <c r="V21" s="166">
        <f>VLOOKUP($A21,'Features Calculation'!$A:$AO,22,0)</f>
        <v>0</v>
      </c>
      <c r="W21" s="166">
        <f>VLOOKUP($A21,'Features Calculation'!$A:$AO,24,0)</f>
        <v>0</v>
      </c>
      <c r="X21" s="164">
        <f t="shared" si="10"/>
        <v>83.117292351167777</v>
      </c>
      <c r="Y21" s="166">
        <f t="shared" si="11"/>
        <v>0</v>
      </c>
      <c r="Z21" s="166">
        <f>VLOOKUP($A21,'Features Calculation'!$A:$AO,26,0)</f>
        <v>0</v>
      </c>
      <c r="AA21" s="166">
        <f>VLOOKUP($A21,'Features Calculation'!$A:$AO,28,0)</f>
        <v>0</v>
      </c>
      <c r="AB21" s="166">
        <f>VLOOKUP($A21,'Features Calculation'!$A:$AO,30,0)</f>
        <v>0</v>
      </c>
      <c r="AC21" s="164">
        <f t="shared" si="12"/>
        <v>78.484154378658758</v>
      </c>
      <c r="AD21" s="166">
        <f t="shared" si="13"/>
        <v>0</v>
      </c>
      <c r="AE21" s="166">
        <f>VLOOKUP($A21,'Features Calculation'!$A:$AO,32,0)</f>
        <v>0</v>
      </c>
      <c r="AF21" s="166">
        <f>VLOOKUP($A21,'Features Calculation'!$A:$AO,34,0)</f>
        <v>0</v>
      </c>
      <c r="AG21" s="166">
        <f>VLOOKUP($A21,'Features Calculation'!$A:$AO,36,0)</f>
        <v>0</v>
      </c>
      <c r="AH21" s="166">
        <f>VLOOKUP($A21,'Features Calculation'!$A:$AO,38,0)</f>
        <v>0</v>
      </c>
      <c r="AI21" s="166">
        <f>VLOOKUP($A21,'Features Calculation'!$A:$AO,40,0)</f>
        <v>0</v>
      </c>
      <c r="AJ21" s="167" t="str">
        <f t="shared" si="14"/>
        <v>NA</v>
      </c>
      <c r="AK21" s="165" t="str">
        <f t="shared" si="15"/>
        <v>NA</v>
      </c>
      <c r="AL21" s="165" t="str">
        <f t="shared" si="16"/>
        <v>NA</v>
      </c>
      <c r="AM21" s="164" t="str">
        <f>IFERROR(VLOOKUP($A21,EC!$A:$E,2,0),"NA")</f>
        <v>NA</v>
      </c>
      <c r="AN21" s="165" t="str">
        <f t="shared" si="17"/>
        <v>NA</v>
      </c>
      <c r="AO21" s="164" t="str">
        <f>IFERROR(VLOOKUP($A21,EC!$A:$E,4,0),"NA")</f>
        <v>NA</v>
      </c>
      <c r="AP21" s="165" t="str">
        <f t="shared" si="18"/>
        <v>NA</v>
      </c>
      <c r="AQ21" s="164" t="str">
        <f>IFERROR(VLOOKUP($A21,EC!$A:$E,3,0),"NA")</f>
        <v>NA</v>
      </c>
      <c r="AR21" s="165" t="str">
        <f t="shared" si="19"/>
        <v>NA</v>
      </c>
      <c r="AS21" s="168" t="str">
        <f>IFERROR(VLOOKUP($A21,EC!$A:$E,5,0),"NA")</f>
        <v>NA</v>
      </c>
    </row>
    <row r="22" spans="1:45" x14ac:dyDescent="0.3">
      <c r="A22" s="163" t="s">
        <v>38</v>
      </c>
      <c r="B22" s="164">
        <f t="shared" si="0"/>
        <v>81.833269820676392</v>
      </c>
      <c r="C22" s="165">
        <f t="shared" si="1"/>
        <v>80.740332689239111</v>
      </c>
      <c r="D22" s="164">
        <f t="shared" si="2"/>
        <v>80.740332689239111</v>
      </c>
      <c r="E22" s="166">
        <f t="shared" si="3"/>
        <v>7.0000000000000009</v>
      </c>
      <c r="F22" s="164">
        <f t="shared" si="4"/>
        <v>83.734884242332342</v>
      </c>
      <c r="G22" s="166">
        <f t="shared" si="5"/>
        <v>0</v>
      </c>
      <c r="H22" s="166">
        <f>VLOOKUP($A22,'Features Calculation'!$A:$AO,2,0)</f>
        <v>0</v>
      </c>
      <c r="I22" s="166">
        <f>VLOOKUP($A22,'Features Calculation'!$A:$AO,4,0)</f>
        <v>0</v>
      </c>
      <c r="J22" s="166">
        <f>VLOOKUP($A22,'Features Calculation'!$A:$AO,6,0)</f>
        <v>0</v>
      </c>
      <c r="K22" s="166">
        <f>VLOOKUP($A22,'Features Calculation'!$A:$AO,8,0)</f>
        <v>0</v>
      </c>
      <c r="L22" s="164">
        <f t="shared" si="6"/>
        <v>102.88549705462411</v>
      </c>
      <c r="M22" s="166">
        <f t="shared" si="7"/>
        <v>75</v>
      </c>
      <c r="N22" s="166">
        <f>VLOOKUP($A22,'Features Calculation'!$A:$AO,10,0)</f>
        <v>100</v>
      </c>
      <c r="O22" s="166">
        <f>VLOOKUP($A22,'Features Calculation'!$A:$AO,12,0)</f>
        <v>100</v>
      </c>
      <c r="P22" s="166">
        <f>VLOOKUP($A22,'Features Calculation'!$A:$AO,14,0)</f>
        <v>100</v>
      </c>
      <c r="Q22" s="166">
        <f>VLOOKUP($A22,'Features Calculation'!$A:$AO,16,0)</f>
        <v>0</v>
      </c>
      <c r="R22" s="164">
        <f t="shared" si="8"/>
        <v>85.393249063976427</v>
      </c>
      <c r="S22" s="166">
        <f t="shared" si="9"/>
        <v>25</v>
      </c>
      <c r="T22" s="166">
        <f>VLOOKUP($A22,'Features Calculation'!$A:$AO,18,0)</f>
        <v>100</v>
      </c>
      <c r="U22" s="166">
        <f>VLOOKUP($A22,'Features Calculation'!$A:$AO,20,0)</f>
        <v>0</v>
      </c>
      <c r="V22" s="166">
        <f>VLOOKUP($A22,'Features Calculation'!$A:$AO,22,0)</f>
        <v>0</v>
      </c>
      <c r="W22" s="166">
        <f>VLOOKUP($A22,'Features Calculation'!$A:$AO,24,0)</f>
        <v>0</v>
      </c>
      <c r="X22" s="164">
        <f t="shared" si="10"/>
        <v>83.117292351167777</v>
      </c>
      <c r="Y22" s="166">
        <f t="shared" si="11"/>
        <v>0</v>
      </c>
      <c r="Z22" s="166">
        <f>VLOOKUP($A22,'Features Calculation'!$A:$AO,26,0)</f>
        <v>0</v>
      </c>
      <c r="AA22" s="166">
        <f>VLOOKUP($A22,'Features Calculation'!$A:$AO,28,0)</f>
        <v>0</v>
      </c>
      <c r="AB22" s="166">
        <f>VLOOKUP($A22,'Features Calculation'!$A:$AO,30,0)</f>
        <v>0</v>
      </c>
      <c r="AC22" s="164">
        <f t="shared" si="12"/>
        <v>78.484154378658758</v>
      </c>
      <c r="AD22" s="166">
        <f t="shared" si="13"/>
        <v>0</v>
      </c>
      <c r="AE22" s="166">
        <f>VLOOKUP($A22,'Features Calculation'!$A:$AO,32,0)</f>
        <v>0</v>
      </c>
      <c r="AF22" s="166">
        <f>VLOOKUP($A22,'Features Calculation'!$A:$AO,34,0)</f>
        <v>0</v>
      </c>
      <c r="AG22" s="166">
        <f>VLOOKUP($A22,'Features Calculation'!$A:$AO,36,0)</f>
        <v>0</v>
      </c>
      <c r="AH22" s="166">
        <f>VLOOKUP($A22,'Features Calculation'!$A:$AO,38,0)</f>
        <v>0</v>
      </c>
      <c r="AI22" s="166">
        <f>VLOOKUP($A22,'Features Calculation'!$A:$AO,40,0)</f>
        <v>0</v>
      </c>
      <c r="AJ22" s="167" t="str">
        <f t="shared" si="14"/>
        <v>NA</v>
      </c>
      <c r="AK22" s="165" t="str">
        <f t="shared" si="15"/>
        <v>NA</v>
      </c>
      <c r="AL22" s="165" t="str">
        <f t="shared" si="16"/>
        <v>NA</v>
      </c>
      <c r="AM22" s="164" t="str">
        <f>IFERROR(VLOOKUP($A22,EC!$A:$E,2,0),"NA")</f>
        <v>NA</v>
      </c>
      <c r="AN22" s="165" t="str">
        <f t="shared" si="17"/>
        <v>NA</v>
      </c>
      <c r="AO22" s="164" t="str">
        <f>IFERROR(VLOOKUP($A22,EC!$A:$E,4,0),"NA")</f>
        <v>NA</v>
      </c>
      <c r="AP22" s="165" t="str">
        <f t="shared" si="18"/>
        <v>NA</v>
      </c>
      <c r="AQ22" s="164" t="str">
        <f>IFERROR(VLOOKUP($A22,EC!$A:$E,3,0),"NA")</f>
        <v>NA</v>
      </c>
      <c r="AR22" s="165" t="str">
        <f t="shared" si="19"/>
        <v>NA</v>
      </c>
      <c r="AS22" s="168" t="str">
        <f>IFERROR(VLOOKUP($A22,EC!$A:$E,5,0),"NA")</f>
        <v>NA</v>
      </c>
    </row>
    <row r="23" spans="1:45" x14ac:dyDescent="0.3">
      <c r="A23" s="163" t="s">
        <v>41</v>
      </c>
      <c r="B23" s="164">
        <f t="shared" si="0"/>
        <v>75.368660662332701</v>
      </c>
      <c r="C23" s="165">
        <f t="shared" si="1"/>
        <v>75.058316518885562</v>
      </c>
      <c r="D23" s="164">
        <f t="shared" si="2"/>
        <v>75.058316518885562</v>
      </c>
      <c r="E23" s="166">
        <f t="shared" si="3"/>
        <v>0</v>
      </c>
      <c r="F23" s="164">
        <f t="shared" si="4"/>
        <v>83.734884242332342</v>
      </c>
      <c r="G23" s="166">
        <f t="shared" si="5"/>
        <v>0</v>
      </c>
      <c r="H23" s="166">
        <f>VLOOKUP($A23,'Features Calculation'!$A:$AO,2,0)</f>
        <v>0</v>
      </c>
      <c r="I23" s="166">
        <f>VLOOKUP($A23,'Features Calculation'!$A:$AO,4,0)</f>
        <v>0</v>
      </c>
      <c r="J23" s="166">
        <f>VLOOKUP($A23,'Features Calculation'!$A:$AO,6,0)</f>
        <v>0</v>
      </c>
      <c r="K23" s="166">
        <f>VLOOKUP($A23,'Features Calculation'!$A:$AO,8,0)</f>
        <v>0</v>
      </c>
      <c r="L23" s="164">
        <f t="shared" si="6"/>
        <v>61.334339468036902</v>
      </c>
      <c r="M23" s="166">
        <f t="shared" si="7"/>
        <v>0</v>
      </c>
      <c r="N23" s="166">
        <f>VLOOKUP($A23,'Features Calculation'!$A:$AO,10,0)</f>
        <v>0</v>
      </c>
      <c r="O23" s="166">
        <f>VLOOKUP($A23,'Features Calculation'!$A:$AO,12,0)</f>
        <v>0</v>
      </c>
      <c r="P23" s="166">
        <f>VLOOKUP($A23,'Features Calculation'!$A:$AO,14,0)</f>
        <v>0</v>
      </c>
      <c r="Q23" s="166">
        <f>VLOOKUP($A23,'Features Calculation'!$A:$AO,16,0)</f>
        <v>0</v>
      </c>
      <c r="R23" s="164">
        <f t="shared" si="8"/>
        <v>79.828772516919827</v>
      </c>
      <c r="S23" s="166">
        <f t="shared" si="9"/>
        <v>0</v>
      </c>
      <c r="T23" s="166">
        <f>VLOOKUP($A23,'Features Calculation'!$A:$AO,18,0)</f>
        <v>0</v>
      </c>
      <c r="U23" s="166">
        <f>VLOOKUP($A23,'Features Calculation'!$A:$AO,20,0)</f>
        <v>0</v>
      </c>
      <c r="V23" s="166">
        <f>VLOOKUP($A23,'Features Calculation'!$A:$AO,22,0)</f>
        <v>0</v>
      </c>
      <c r="W23" s="166">
        <f>VLOOKUP($A23,'Features Calculation'!$A:$AO,24,0)</f>
        <v>0</v>
      </c>
      <c r="X23" s="164">
        <f t="shared" si="10"/>
        <v>83.117292351167777</v>
      </c>
      <c r="Y23" s="166">
        <f t="shared" si="11"/>
        <v>0</v>
      </c>
      <c r="Z23" s="166">
        <f>VLOOKUP($A23,'Features Calculation'!$A:$AO,26,0)</f>
        <v>0</v>
      </c>
      <c r="AA23" s="166">
        <f>VLOOKUP($A23,'Features Calculation'!$A:$AO,28,0)</f>
        <v>0</v>
      </c>
      <c r="AB23" s="166">
        <f>VLOOKUP($A23,'Features Calculation'!$A:$AO,30,0)</f>
        <v>0</v>
      </c>
      <c r="AC23" s="164">
        <f t="shared" si="12"/>
        <v>78.484154378658758</v>
      </c>
      <c r="AD23" s="166">
        <f t="shared" si="13"/>
        <v>0</v>
      </c>
      <c r="AE23" s="166">
        <f>VLOOKUP($A23,'Features Calculation'!$A:$AO,32,0)</f>
        <v>0</v>
      </c>
      <c r="AF23" s="166">
        <f>VLOOKUP($A23,'Features Calculation'!$A:$AO,34,0)</f>
        <v>0</v>
      </c>
      <c r="AG23" s="166">
        <f>VLOOKUP($A23,'Features Calculation'!$A:$AO,36,0)</f>
        <v>0</v>
      </c>
      <c r="AH23" s="166">
        <f>VLOOKUP($A23,'Features Calculation'!$A:$AO,38,0)</f>
        <v>0</v>
      </c>
      <c r="AI23" s="166">
        <f>VLOOKUP($A23,'Features Calculation'!$A:$AO,40,0)</f>
        <v>0</v>
      </c>
      <c r="AJ23" s="167" t="str">
        <f t="shared" si="14"/>
        <v>NA</v>
      </c>
      <c r="AK23" s="165" t="str">
        <f t="shared" si="15"/>
        <v>NA</v>
      </c>
      <c r="AL23" s="165" t="str">
        <f t="shared" si="16"/>
        <v>NA</v>
      </c>
      <c r="AM23" s="164" t="str">
        <f>IFERROR(VLOOKUP($A23,EC!$A:$E,2,0),"NA")</f>
        <v>NA</v>
      </c>
      <c r="AN23" s="165" t="str">
        <f t="shared" si="17"/>
        <v>NA</v>
      </c>
      <c r="AO23" s="164" t="str">
        <f>IFERROR(VLOOKUP($A23,EC!$A:$E,4,0),"NA")</f>
        <v>NA</v>
      </c>
      <c r="AP23" s="165" t="str">
        <f t="shared" si="18"/>
        <v>NA</v>
      </c>
      <c r="AQ23" s="164" t="str">
        <f>IFERROR(VLOOKUP($A23,EC!$A:$E,3,0),"NA")</f>
        <v>NA</v>
      </c>
      <c r="AR23" s="165" t="str">
        <f t="shared" si="19"/>
        <v>NA</v>
      </c>
      <c r="AS23" s="168" t="str">
        <f>IFERROR(VLOOKUP($A23,EC!$A:$E,5,0),"NA")</f>
        <v>NA</v>
      </c>
    </row>
    <row r="24" spans="1:45" x14ac:dyDescent="0.3">
      <c r="A24" s="163" t="s">
        <v>40</v>
      </c>
      <c r="B24" s="164">
        <f t="shared" si="0"/>
        <v>75.368660662332701</v>
      </c>
      <c r="C24" s="165">
        <f t="shared" si="1"/>
        <v>75.058316518885562</v>
      </c>
      <c r="D24" s="164">
        <f t="shared" si="2"/>
        <v>75.058316518885562</v>
      </c>
      <c r="E24" s="166">
        <f t="shared" si="3"/>
        <v>0</v>
      </c>
      <c r="F24" s="164">
        <f t="shared" si="4"/>
        <v>83.734884242332342</v>
      </c>
      <c r="G24" s="166">
        <f t="shared" si="5"/>
        <v>0</v>
      </c>
      <c r="H24" s="166">
        <f>VLOOKUP($A24,'Features Calculation'!$A:$AO,2,0)</f>
        <v>0</v>
      </c>
      <c r="I24" s="166">
        <f>VLOOKUP($A24,'Features Calculation'!$A:$AO,4,0)</f>
        <v>0</v>
      </c>
      <c r="J24" s="166">
        <f>VLOOKUP($A24,'Features Calculation'!$A:$AO,6,0)</f>
        <v>0</v>
      </c>
      <c r="K24" s="166">
        <f>VLOOKUP($A24,'Features Calculation'!$A:$AO,8,0)</f>
        <v>0</v>
      </c>
      <c r="L24" s="164">
        <f t="shared" si="6"/>
        <v>61.334339468036902</v>
      </c>
      <c r="M24" s="166">
        <f t="shared" si="7"/>
        <v>0</v>
      </c>
      <c r="N24" s="166">
        <f>VLOOKUP($A24,'Features Calculation'!$A:$AO,10,0)</f>
        <v>0</v>
      </c>
      <c r="O24" s="166">
        <f>VLOOKUP($A24,'Features Calculation'!$A:$AO,12,0)</f>
        <v>0</v>
      </c>
      <c r="P24" s="166">
        <f>VLOOKUP($A24,'Features Calculation'!$A:$AO,14,0)</f>
        <v>0</v>
      </c>
      <c r="Q24" s="166">
        <f>VLOOKUP($A24,'Features Calculation'!$A:$AO,16,0)</f>
        <v>0</v>
      </c>
      <c r="R24" s="164">
        <f t="shared" si="8"/>
        <v>79.828772516919827</v>
      </c>
      <c r="S24" s="166">
        <f t="shared" si="9"/>
        <v>0</v>
      </c>
      <c r="T24" s="166">
        <f>VLOOKUP($A24,'Features Calculation'!$A:$AO,18,0)</f>
        <v>0</v>
      </c>
      <c r="U24" s="166">
        <f>VLOOKUP($A24,'Features Calculation'!$A:$AO,20,0)</f>
        <v>0</v>
      </c>
      <c r="V24" s="166">
        <f>VLOOKUP($A24,'Features Calculation'!$A:$AO,22,0)</f>
        <v>0</v>
      </c>
      <c r="W24" s="166">
        <f>VLOOKUP($A24,'Features Calculation'!$A:$AO,24,0)</f>
        <v>0</v>
      </c>
      <c r="X24" s="164">
        <f t="shared" si="10"/>
        <v>83.117292351167777</v>
      </c>
      <c r="Y24" s="166">
        <f t="shared" si="11"/>
        <v>0</v>
      </c>
      <c r="Z24" s="166">
        <f>VLOOKUP($A24,'Features Calculation'!$A:$AO,26,0)</f>
        <v>0</v>
      </c>
      <c r="AA24" s="166">
        <f>VLOOKUP($A24,'Features Calculation'!$A:$AO,28,0)</f>
        <v>0</v>
      </c>
      <c r="AB24" s="166">
        <f>VLOOKUP($A24,'Features Calculation'!$A:$AO,30,0)</f>
        <v>0</v>
      </c>
      <c r="AC24" s="164">
        <f t="shared" si="12"/>
        <v>78.484154378658758</v>
      </c>
      <c r="AD24" s="166">
        <f t="shared" si="13"/>
        <v>0</v>
      </c>
      <c r="AE24" s="166">
        <f>VLOOKUP($A24,'Features Calculation'!$A:$AO,32,0)</f>
        <v>0</v>
      </c>
      <c r="AF24" s="166">
        <f>VLOOKUP($A24,'Features Calculation'!$A:$AO,34,0)</f>
        <v>0</v>
      </c>
      <c r="AG24" s="166">
        <f>VLOOKUP($A24,'Features Calculation'!$A:$AO,36,0)</f>
        <v>0</v>
      </c>
      <c r="AH24" s="166">
        <f>VLOOKUP($A24,'Features Calculation'!$A:$AO,38,0)</f>
        <v>0</v>
      </c>
      <c r="AI24" s="166">
        <f>VLOOKUP($A24,'Features Calculation'!$A:$AO,40,0)</f>
        <v>0</v>
      </c>
      <c r="AJ24" s="167" t="str">
        <f t="shared" si="14"/>
        <v>NA</v>
      </c>
      <c r="AK24" s="165" t="str">
        <f t="shared" si="15"/>
        <v>NA</v>
      </c>
      <c r="AL24" s="165" t="str">
        <f t="shared" si="16"/>
        <v>NA</v>
      </c>
      <c r="AM24" s="164" t="str">
        <f>IFERROR(VLOOKUP($A24,EC!$A:$E,2,0),"NA")</f>
        <v>NA</v>
      </c>
      <c r="AN24" s="165" t="str">
        <f t="shared" si="17"/>
        <v>NA</v>
      </c>
      <c r="AO24" s="164" t="str">
        <f>IFERROR(VLOOKUP($A24,EC!$A:$E,4,0),"NA")</f>
        <v>NA</v>
      </c>
      <c r="AP24" s="165" t="str">
        <f t="shared" si="18"/>
        <v>NA</v>
      </c>
      <c r="AQ24" s="164" t="str">
        <f>IFERROR(VLOOKUP($A24,EC!$A:$E,3,0),"NA")</f>
        <v>NA</v>
      </c>
      <c r="AR24" s="165" t="str">
        <f t="shared" si="19"/>
        <v>NA</v>
      </c>
      <c r="AS24" s="168" t="str">
        <f>IFERROR(VLOOKUP($A24,EC!$A:$E,5,0),"NA")</f>
        <v>NA</v>
      </c>
    </row>
    <row r="25" spans="1:45" x14ac:dyDescent="0.3">
      <c r="A25" s="163" t="s">
        <v>202</v>
      </c>
      <c r="B25" s="164">
        <f t="shared" si="0"/>
        <v>75.368660662332701</v>
      </c>
      <c r="C25" s="165">
        <f t="shared" si="1"/>
        <v>75.058316518885562</v>
      </c>
      <c r="D25" s="164">
        <f t="shared" si="2"/>
        <v>75.058316518885562</v>
      </c>
      <c r="E25" s="166">
        <f t="shared" si="3"/>
        <v>0</v>
      </c>
      <c r="F25" s="164">
        <f t="shared" si="4"/>
        <v>83.734884242332342</v>
      </c>
      <c r="G25" s="166">
        <f t="shared" si="5"/>
        <v>0</v>
      </c>
      <c r="H25" s="166">
        <f>VLOOKUP($A25,'Features Calculation'!$A:$AO,2,0)</f>
        <v>0</v>
      </c>
      <c r="I25" s="166">
        <f>VLOOKUP($A25,'Features Calculation'!$A:$AO,4,0)</f>
        <v>0</v>
      </c>
      <c r="J25" s="166">
        <f>VLOOKUP($A25,'Features Calculation'!$A:$AO,6,0)</f>
        <v>0</v>
      </c>
      <c r="K25" s="166">
        <f>VLOOKUP($A25,'Features Calculation'!$A:$AO,8,0)</f>
        <v>0</v>
      </c>
      <c r="L25" s="164">
        <f t="shared" si="6"/>
        <v>61.334339468036902</v>
      </c>
      <c r="M25" s="166">
        <f t="shared" si="7"/>
        <v>0</v>
      </c>
      <c r="N25" s="166">
        <f>VLOOKUP($A25,'Features Calculation'!$A:$AO,10,0)</f>
        <v>0</v>
      </c>
      <c r="O25" s="166">
        <f>VLOOKUP($A25,'Features Calculation'!$A:$AO,12,0)</f>
        <v>0</v>
      </c>
      <c r="P25" s="166">
        <f>VLOOKUP($A25,'Features Calculation'!$A:$AO,14,0)</f>
        <v>0</v>
      </c>
      <c r="Q25" s="166">
        <f>VLOOKUP($A25,'Features Calculation'!$A:$AO,16,0)</f>
        <v>0</v>
      </c>
      <c r="R25" s="164">
        <f t="shared" si="8"/>
        <v>79.828772516919827</v>
      </c>
      <c r="S25" s="166">
        <f t="shared" si="9"/>
        <v>0</v>
      </c>
      <c r="T25" s="166">
        <f>VLOOKUP($A25,'Features Calculation'!$A:$AO,18,0)</f>
        <v>0</v>
      </c>
      <c r="U25" s="166">
        <f>VLOOKUP($A25,'Features Calculation'!$A:$AO,20,0)</f>
        <v>0</v>
      </c>
      <c r="V25" s="166">
        <f>VLOOKUP($A25,'Features Calculation'!$A:$AO,22,0)</f>
        <v>0</v>
      </c>
      <c r="W25" s="166">
        <f>VLOOKUP($A25,'Features Calculation'!$A:$AO,24,0)</f>
        <v>0</v>
      </c>
      <c r="X25" s="164">
        <f t="shared" si="10"/>
        <v>83.117292351167777</v>
      </c>
      <c r="Y25" s="166">
        <f t="shared" si="11"/>
        <v>0</v>
      </c>
      <c r="Z25" s="166">
        <f>VLOOKUP($A25,'Features Calculation'!$A:$AO,26,0)</f>
        <v>0</v>
      </c>
      <c r="AA25" s="166">
        <f>VLOOKUP($A25,'Features Calculation'!$A:$AO,28,0)</f>
        <v>0</v>
      </c>
      <c r="AB25" s="166">
        <f>VLOOKUP($A25,'Features Calculation'!$A:$AO,30,0)</f>
        <v>0</v>
      </c>
      <c r="AC25" s="164">
        <f t="shared" si="12"/>
        <v>78.484154378658758</v>
      </c>
      <c r="AD25" s="166">
        <f t="shared" si="13"/>
        <v>0</v>
      </c>
      <c r="AE25" s="166">
        <f>VLOOKUP($A25,'Features Calculation'!$A:$AO,32,0)</f>
        <v>0</v>
      </c>
      <c r="AF25" s="166">
        <f>VLOOKUP($A25,'Features Calculation'!$A:$AO,34,0)</f>
        <v>0</v>
      </c>
      <c r="AG25" s="166">
        <f>VLOOKUP($A25,'Features Calculation'!$A:$AO,36,0)</f>
        <v>0</v>
      </c>
      <c r="AH25" s="166">
        <f>VLOOKUP($A25,'Features Calculation'!$A:$AO,38,0)</f>
        <v>0</v>
      </c>
      <c r="AI25" s="166">
        <f>VLOOKUP($A25,'Features Calculation'!$A:$AO,40,0)</f>
        <v>0</v>
      </c>
      <c r="AJ25" s="167" t="str">
        <f t="shared" si="14"/>
        <v>NA</v>
      </c>
      <c r="AK25" s="165" t="str">
        <f t="shared" si="15"/>
        <v>NA</v>
      </c>
      <c r="AL25" s="165" t="str">
        <f t="shared" si="16"/>
        <v>NA</v>
      </c>
      <c r="AM25" s="164" t="str">
        <f>IFERROR(VLOOKUP($A25,EC!$A:$E,2,0),"NA")</f>
        <v>NA</v>
      </c>
      <c r="AN25" s="165" t="str">
        <f t="shared" si="17"/>
        <v>NA</v>
      </c>
      <c r="AO25" s="164" t="str">
        <f>IFERROR(VLOOKUP($A25,EC!$A:$E,4,0),"NA")</f>
        <v>NA</v>
      </c>
      <c r="AP25" s="165" t="str">
        <f t="shared" si="18"/>
        <v>NA</v>
      </c>
      <c r="AQ25" s="164" t="str">
        <f>IFERROR(VLOOKUP($A25,EC!$A:$E,3,0),"NA")</f>
        <v>NA</v>
      </c>
      <c r="AR25" s="165" t="str">
        <f t="shared" si="19"/>
        <v>NA</v>
      </c>
      <c r="AS25" s="168" t="str">
        <f>IFERROR(VLOOKUP($A25,EC!$A:$E,5,0),"NA")</f>
        <v>NA</v>
      </c>
    </row>
    <row r="26" spans="1:45" x14ac:dyDescent="0.3">
      <c r="A26" s="163" t="s">
        <v>39</v>
      </c>
      <c r="B26" s="164">
        <f t="shared" si="0"/>
        <v>75.368660662332701</v>
      </c>
      <c r="C26" s="165">
        <f t="shared" si="1"/>
        <v>75.058316518885562</v>
      </c>
      <c r="D26" s="164">
        <f t="shared" si="2"/>
        <v>75.058316518885562</v>
      </c>
      <c r="E26" s="166">
        <f t="shared" si="3"/>
        <v>0</v>
      </c>
      <c r="F26" s="164">
        <f t="shared" si="4"/>
        <v>83.734884242332342</v>
      </c>
      <c r="G26" s="166">
        <f t="shared" si="5"/>
        <v>0</v>
      </c>
      <c r="H26" s="166">
        <f>VLOOKUP($A26,'Features Calculation'!$A:$AO,2,0)</f>
        <v>0</v>
      </c>
      <c r="I26" s="166">
        <f>VLOOKUP($A26,'Features Calculation'!$A:$AO,4,0)</f>
        <v>0</v>
      </c>
      <c r="J26" s="166">
        <f>VLOOKUP($A26,'Features Calculation'!$A:$AO,6,0)</f>
        <v>0</v>
      </c>
      <c r="K26" s="166">
        <f>VLOOKUP($A26,'Features Calculation'!$A:$AO,8,0)</f>
        <v>0</v>
      </c>
      <c r="L26" s="164">
        <f t="shared" si="6"/>
        <v>61.334339468036902</v>
      </c>
      <c r="M26" s="166">
        <f t="shared" si="7"/>
        <v>0</v>
      </c>
      <c r="N26" s="166">
        <f>VLOOKUP($A26,'Features Calculation'!$A:$AO,10,0)</f>
        <v>0</v>
      </c>
      <c r="O26" s="166">
        <f>VLOOKUP($A26,'Features Calculation'!$A:$AO,12,0)</f>
        <v>0</v>
      </c>
      <c r="P26" s="166">
        <f>VLOOKUP($A26,'Features Calculation'!$A:$AO,14,0)</f>
        <v>0</v>
      </c>
      <c r="Q26" s="166">
        <f>VLOOKUP($A26,'Features Calculation'!$A:$AO,16,0)</f>
        <v>0</v>
      </c>
      <c r="R26" s="164">
        <f t="shared" si="8"/>
        <v>79.828772516919827</v>
      </c>
      <c r="S26" s="166">
        <f t="shared" si="9"/>
        <v>0</v>
      </c>
      <c r="T26" s="166">
        <f>VLOOKUP($A26,'Features Calculation'!$A:$AO,18,0)</f>
        <v>0</v>
      </c>
      <c r="U26" s="166">
        <f>VLOOKUP($A26,'Features Calculation'!$A:$AO,20,0)</f>
        <v>0</v>
      </c>
      <c r="V26" s="166">
        <f>VLOOKUP($A26,'Features Calculation'!$A:$AO,22,0)</f>
        <v>0</v>
      </c>
      <c r="W26" s="166">
        <f>VLOOKUP($A26,'Features Calculation'!$A:$AO,24,0)</f>
        <v>0</v>
      </c>
      <c r="X26" s="164">
        <f t="shared" si="10"/>
        <v>83.117292351167777</v>
      </c>
      <c r="Y26" s="166">
        <f t="shared" si="11"/>
        <v>0</v>
      </c>
      <c r="Z26" s="166">
        <f>VLOOKUP($A26,'Features Calculation'!$A:$AO,26,0)</f>
        <v>0</v>
      </c>
      <c r="AA26" s="166">
        <f>VLOOKUP($A26,'Features Calculation'!$A:$AO,28,0)</f>
        <v>0</v>
      </c>
      <c r="AB26" s="166">
        <f>VLOOKUP($A26,'Features Calculation'!$A:$AO,30,0)</f>
        <v>0</v>
      </c>
      <c r="AC26" s="164">
        <f t="shared" si="12"/>
        <v>78.484154378658758</v>
      </c>
      <c r="AD26" s="166">
        <f t="shared" si="13"/>
        <v>0</v>
      </c>
      <c r="AE26" s="166">
        <f>VLOOKUP($A26,'Features Calculation'!$A:$AO,32,0)</f>
        <v>0</v>
      </c>
      <c r="AF26" s="166">
        <f>VLOOKUP($A26,'Features Calculation'!$A:$AO,34,0)</f>
        <v>0</v>
      </c>
      <c r="AG26" s="166">
        <f>VLOOKUP($A26,'Features Calculation'!$A:$AO,36,0)</f>
        <v>0</v>
      </c>
      <c r="AH26" s="166">
        <f>VLOOKUP($A26,'Features Calculation'!$A:$AO,38,0)</f>
        <v>0</v>
      </c>
      <c r="AI26" s="166">
        <f>VLOOKUP($A26,'Features Calculation'!$A:$AO,40,0)</f>
        <v>0</v>
      </c>
      <c r="AJ26" s="167" t="str">
        <f t="shared" si="14"/>
        <v>NA</v>
      </c>
      <c r="AK26" s="165" t="str">
        <f t="shared" si="15"/>
        <v>NA</v>
      </c>
      <c r="AL26" s="165" t="str">
        <f t="shared" si="16"/>
        <v>NA</v>
      </c>
      <c r="AM26" s="164" t="str">
        <f>IFERROR(VLOOKUP($A26,EC!$A:$E,2,0),"NA")</f>
        <v>NA</v>
      </c>
      <c r="AN26" s="165" t="str">
        <f t="shared" si="17"/>
        <v>NA</v>
      </c>
      <c r="AO26" s="164" t="str">
        <f>IFERROR(VLOOKUP($A26,EC!$A:$E,4,0),"NA")</f>
        <v>NA</v>
      </c>
      <c r="AP26" s="165" t="str">
        <f t="shared" si="18"/>
        <v>NA</v>
      </c>
      <c r="AQ26" s="164" t="str">
        <f>IFERROR(VLOOKUP($A26,EC!$A:$E,3,0),"NA")</f>
        <v>NA</v>
      </c>
      <c r="AR26" s="165" t="str">
        <f t="shared" si="19"/>
        <v>NA</v>
      </c>
      <c r="AS26" s="168" t="str">
        <f>IFERROR(VLOOKUP($A26,EC!$A:$E,5,0),"NA")</f>
        <v>NA</v>
      </c>
    </row>
    <row r="27" spans="1:45" x14ac:dyDescent="0.3">
      <c r="D27" s="154"/>
      <c r="E27" s="154"/>
      <c r="F27" s="154"/>
      <c r="G27" s="154"/>
    </row>
    <row r="28" spans="1:45" x14ac:dyDescent="0.3">
      <c r="D28" s="154"/>
      <c r="E28" s="154"/>
      <c r="F28" s="154"/>
      <c r="G28" s="154"/>
    </row>
    <row r="29" spans="1:45" ht="14" x14ac:dyDescent="0.3">
      <c r="A29" s="170" t="s">
        <v>102</v>
      </c>
      <c r="B29" s="171">
        <f>AVERAGE(B3:B26)</f>
        <v>100.00000000000004</v>
      </c>
      <c r="C29" s="171">
        <f t="shared" ref="C29:G29" si="20">AVERAGE(C3:C26)</f>
        <v>96.707833912130297</v>
      </c>
      <c r="D29" s="171">
        <f t="shared" si="20"/>
        <v>99.999999999999986</v>
      </c>
      <c r="E29" s="171">
        <f t="shared" si="20"/>
        <v>30.727083333333336</v>
      </c>
      <c r="F29" s="171">
        <f t="shared" si="20"/>
        <v>100.00000000000001</v>
      </c>
      <c r="G29" s="171">
        <f t="shared" si="20"/>
        <v>36.458333333333336</v>
      </c>
      <c r="L29" s="171">
        <f>AVERAGE(L3:L26)</f>
        <v>100</v>
      </c>
      <c r="M29" s="171">
        <f>AVERAGE(M3:M26)</f>
        <v>69.791666666666671</v>
      </c>
      <c r="R29" s="171">
        <f>AVERAGE(R3:R26)</f>
        <v>99.999999999999986</v>
      </c>
      <c r="S29" s="171">
        <f>AVERAGE(S3:S26)</f>
        <v>90.625</v>
      </c>
      <c r="X29" s="171">
        <f>AVERAGE(X3:X26)</f>
        <v>100</v>
      </c>
      <c r="Y29" s="171">
        <f>AVERAGE(Y3:Y26)</f>
        <v>100</v>
      </c>
      <c r="AC29" s="171">
        <f>AVERAGE(AC3:AC26)</f>
        <v>100.00000000000001</v>
      </c>
      <c r="AD29" s="171">
        <f>AVERAGE(AD3:AD26)</f>
        <v>42.083333333333336</v>
      </c>
      <c r="AJ29" s="171">
        <f t="shared" ref="AJ29:AS29" si="21">AVERAGE(AJ3:AJ26)</f>
        <v>100.00000000000001</v>
      </c>
      <c r="AK29" s="171">
        <f t="shared" si="21"/>
        <v>56</v>
      </c>
      <c r="AL29" s="171">
        <f t="shared" si="21"/>
        <v>100</v>
      </c>
      <c r="AM29" s="171">
        <f t="shared" si="21"/>
        <v>3403437.9264285713</v>
      </c>
      <c r="AN29" s="171">
        <f t="shared" si="21"/>
        <v>100</v>
      </c>
      <c r="AO29" s="171">
        <f t="shared" si="21"/>
        <v>415539.57142857142</v>
      </c>
      <c r="AP29" s="171">
        <f t="shared" si="21"/>
        <v>100</v>
      </c>
      <c r="AQ29" s="171">
        <f t="shared" si="21"/>
        <v>605.67185088343831</v>
      </c>
      <c r="AR29" s="171">
        <f t="shared" si="21"/>
        <v>99.999999999999986</v>
      </c>
      <c r="AS29" s="172">
        <f t="shared" si="21"/>
        <v>6.7190570820540169E-2</v>
      </c>
    </row>
    <row r="30" spans="1:45" ht="14" x14ac:dyDescent="0.3">
      <c r="A30" s="170" t="s">
        <v>103</v>
      </c>
      <c r="B30" s="172">
        <f>STDEV(B3:B26)</f>
        <v>19.999999999999936</v>
      </c>
      <c r="C30" s="172">
        <f t="shared" ref="C30:G30" si="22">STDEV(C3:C26)</f>
        <v>17.578838971324114</v>
      </c>
      <c r="D30" s="172">
        <f t="shared" si="22"/>
        <v>20.000000000000064</v>
      </c>
      <c r="E30" s="172">
        <f>STDEV(E3:E26)</f>
        <v>24.63914142491587</v>
      </c>
      <c r="F30" s="172">
        <f t="shared" si="22"/>
        <v>19.999999999999872</v>
      </c>
      <c r="G30" s="172">
        <f t="shared" si="22"/>
        <v>44.830093897298269</v>
      </c>
      <c r="L30" s="172">
        <f>STDEV(L3:L26)</f>
        <v>19.999999999999936</v>
      </c>
      <c r="M30" s="172">
        <f>STDEV(M3:M26)</f>
        <v>36.100077281221225</v>
      </c>
      <c r="R30" s="172">
        <f>STDEV(R3:R26)</f>
        <v>20.000000000000192</v>
      </c>
      <c r="S30" s="172">
        <f>STDEV(S3:S26)</f>
        <v>89.855711632836545</v>
      </c>
      <c r="X30" s="172">
        <f>STDEV(X3:X26)</f>
        <v>20.000000000000064</v>
      </c>
      <c r="Y30" s="172">
        <f>STDEV(Y3:Y26)</f>
        <v>118.46440995134688</v>
      </c>
      <c r="AC30" s="172">
        <f>STDEV(AC3:AC26)</f>
        <v>19.999999999999844</v>
      </c>
      <c r="AD30" s="172">
        <f>STDEV(AD3:AD26)</f>
        <v>39.118456298637426</v>
      </c>
      <c r="AJ30" s="172">
        <f t="shared" ref="AJ30:AS30" si="23">STDEV(AJ3:AJ26)</f>
        <v>20</v>
      </c>
      <c r="AK30" s="172">
        <f t="shared" si="23"/>
        <v>5.7003585920138828</v>
      </c>
      <c r="AL30" s="172">
        <f t="shared" si="23"/>
        <v>20</v>
      </c>
      <c r="AM30" s="172">
        <f t="shared" si="23"/>
        <v>5141870.7335159881</v>
      </c>
      <c r="AN30" s="172">
        <f t="shared" si="23"/>
        <v>20.000000000000114</v>
      </c>
      <c r="AO30" s="172">
        <f t="shared" si="23"/>
        <v>797907.93781177094</v>
      </c>
      <c r="AP30" s="172">
        <f t="shared" si="23"/>
        <v>20.000000000000057</v>
      </c>
      <c r="AQ30" s="172">
        <f t="shared" si="23"/>
        <v>621.01615456867012</v>
      </c>
      <c r="AR30" s="172">
        <f t="shared" si="23"/>
        <v>20.000000000000114</v>
      </c>
      <c r="AS30" s="172">
        <f t="shared" si="23"/>
        <v>0.13236958881929961</v>
      </c>
    </row>
    <row r="31" spans="1:45" x14ac:dyDescent="0.3">
      <c r="D31" s="154"/>
      <c r="E31" s="154"/>
      <c r="F31" s="154"/>
      <c r="G31" s="154"/>
    </row>
    <row r="32" spans="1:45" x14ac:dyDescent="0.3">
      <c r="D32" s="154"/>
      <c r="E32" s="154"/>
      <c r="F32" s="154"/>
      <c r="G32" s="154"/>
    </row>
    <row r="33" s="154" customFormat="1" x14ac:dyDescent="0.3"/>
    <row r="34" s="154" customFormat="1" x14ac:dyDescent="0.3"/>
    <row r="35" s="154" customFormat="1" x14ac:dyDescent="0.3"/>
    <row r="36" s="154" customFormat="1" x14ac:dyDescent="0.3"/>
    <row r="37" s="154" customFormat="1" x14ac:dyDescent="0.3"/>
    <row r="38" s="154" customFormat="1" x14ac:dyDescent="0.3"/>
    <row r="39" s="154" customFormat="1" x14ac:dyDescent="0.3"/>
    <row r="40" s="154" customFormat="1" x14ac:dyDescent="0.3"/>
    <row r="41" s="154" customFormat="1" x14ac:dyDescent="0.3"/>
    <row r="42" s="154" customFormat="1" x14ac:dyDescent="0.3"/>
    <row r="43" s="154" customFormat="1" x14ac:dyDescent="0.3"/>
    <row r="44" s="154" customFormat="1" x14ac:dyDescent="0.3"/>
    <row r="45" s="154" customFormat="1" x14ac:dyDescent="0.3"/>
    <row r="46" s="154" customFormat="1" x14ac:dyDescent="0.3"/>
    <row r="47" s="154" customFormat="1" x14ac:dyDescent="0.3"/>
    <row r="48" s="154" customFormat="1" x14ac:dyDescent="0.3"/>
    <row r="49" s="154" customFormat="1" x14ac:dyDescent="0.3"/>
    <row r="50" s="154" customFormat="1" x14ac:dyDescent="0.3"/>
    <row r="51" s="154" customFormat="1" x14ac:dyDescent="0.3"/>
    <row r="52" s="154" customFormat="1" x14ac:dyDescent="0.3"/>
    <row r="53" s="154" customFormat="1" x14ac:dyDescent="0.3"/>
    <row r="54" s="154" customFormat="1" x14ac:dyDescent="0.3"/>
    <row r="55" s="154" customFormat="1" x14ac:dyDescent="0.3"/>
    <row r="56" s="154" customFormat="1" x14ac:dyDescent="0.3"/>
    <row r="57" s="154" customFormat="1" x14ac:dyDescent="0.3"/>
    <row r="58" s="154" customFormat="1" x14ac:dyDescent="0.3"/>
    <row r="59" s="154" customFormat="1" x14ac:dyDescent="0.3"/>
    <row r="60" s="154" customFormat="1" x14ac:dyDescent="0.3"/>
    <row r="61" s="154" customFormat="1" x14ac:dyDescent="0.3"/>
    <row r="62" s="154" customFormat="1" x14ac:dyDescent="0.3"/>
    <row r="63" s="154" customFormat="1" x14ac:dyDescent="0.3"/>
    <row r="64" s="154" customFormat="1" x14ac:dyDescent="0.3"/>
    <row r="65" s="154" customFormat="1" x14ac:dyDescent="0.3"/>
    <row r="66" s="154" customFormat="1" x14ac:dyDescent="0.3"/>
    <row r="67" s="154" customFormat="1" x14ac:dyDescent="0.3"/>
    <row r="68" s="154" customFormat="1" x14ac:dyDescent="0.3"/>
    <row r="69" s="154" customFormat="1" x14ac:dyDescent="0.3"/>
    <row r="70" s="154" customFormat="1" x14ac:dyDescent="0.3"/>
    <row r="71" s="154" customFormat="1" x14ac:dyDescent="0.3"/>
    <row r="72" s="154" customFormat="1" x14ac:dyDescent="0.3"/>
    <row r="73" s="154" customFormat="1" x14ac:dyDescent="0.3"/>
    <row r="74" s="154" customFormat="1" x14ac:dyDescent="0.3"/>
    <row r="75" s="154" customFormat="1" x14ac:dyDescent="0.3"/>
    <row r="76" s="154" customFormat="1" x14ac:dyDescent="0.3"/>
    <row r="77" s="154" customFormat="1" x14ac:dyDescent="0.3"/>
    <row r="78" s="154" customFormat="1" x14ac:dyDescent="0.3"/>
    <row r="79" s="154" customFormat="1" x14ac:dyDescent="0.3"/>
    <row r="80" s="154" customFormat="1" x14ac:dyDescent="0.3"/>
    <row r="81" s="154" customFormat="1" x14ac:dyDescent="0.3"/>
    <row r="82" s="154" customFormat="1" x14ac:dyDescent="0.3"/>
    <row r="83" s="154" customFormat="1" x14ac:dyDescent="0.3"/>
    <row r="84" s="154" customFormat="1" x14ac:dyDescent="0.3"/>
    <row r="85" s="154" customFormat="1" x14ac:dyDescent="0.3"/>
    <row r="86" s="154" customFormat="1" x14ac:dyDescent="0.3"/>
    <row r="87" s="154" customFormat="1" x14ac:dyDescent="0.3"/>
    <row r="88" s="154" customFormat="1" x14ac:dyDescent="0.3"/>
    <row r="89" s="154" customFormat="1" x14ac:dyDescent="0.3"/>
    <row r="90" s="154" customFormat="1" x14ac:dyDescent="0.3"/>
    <row r="91" s="154" customFormat="1" x14ac:dyDescent="0.3"/>
    <row r="92" s="154" customFormat="1" x14ac:dyDescent="0.3"/>
    <row r="93" s="154" customFormat="1" x14ac:dyDescent="0.3"/>
    <row r="94" s="154" customFormat="1" x14ac:dyDescent="0.3"/>
    <row r="95" s="154" customFormat="1" x14ac:dyDescent="0.3"/>
    <row r="96" s="154" customFormat="1" x14ac:dyDescent="0.3"/>
    <row r="97" s="154" customFormat="1" x14ac:dyDescent="0.3"/>
    <row r="98" s="154" customFormat="1" x14ac:dyDescent="0.3"/>
    <row r="99" s="154" customFormat="1" x14ac:dyDescent="0.3"/>
    <row r="100" s="154" customFormat="1" x14ac:dyDescent="0.3"/>
    <row r="101" s="154" customFormat="1" x14ac:dyDescent="0.3"/>
    <row r="102" s="154" customFormat="1" x14ac:dyDescent="0.3"/>
    <row r="103" s="154" customFormat="1" x14ac:dyDescent="0.3"/>
    <row r="104" s="154" customFormat="1" x14ac:dyDescent="0.3"/>
  </sheetData>
  <autoFilter ref="A1:AS26" xr:uid="{00000000-0009-0000-0000-000000000000}">
    <sortState xmlns:xlrd2="http://schemas.microsoft.com/office/spreadsheetml/2017/richdata2" ref="A4:AS26">
      <sortCondition descending="1" ref="B3"/>
    </sortState>
  </autoFilter>
  <mergeCells count="10">
    <mergeCell ref="S1:W1"/>
    <mergeCell ref="Y1:AB1"/>
    <mergeCell ref="AD1:AI1"/>
    <mergeCell ref="AK1:AK2"/>
    <mergeCell ref="A1:A2"/>
    <mergeCell ref="B1:B2"/>
    <mergeCell ref="C1:C2"/>
    <mergeCell ref="E1:E2"/>
    <mergeCell ref="G1:K1"/>
    <mergeCell ref="M1:Q1"/>
  </mergeCells>
  <phoneticPr fontId="5" type="noConversion"/>
  <conditionalFormatting sqref="B3:B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D198-C3AA-4D98-9CC0-D99B75D6DD72}">
  <dimension ref="A1:E17"/>
  <sheetViews>
    <sheetView zoomScaleNormal="100" workbookViewId="0">
      <selection activeCell="G28" sqref="G28"/>
    </sheetView>
  </sheetViews>
  <sheetFormatPr defaultColWidth="9" defaultRowHeight="14" x14ac:dyDescent="0.3"/>
  <cols>
    <col min="1" max="1" width="25.25" style="174" customWidth="1"/>
    <col min="2" max="2" width="10.5" style="174" customWidth="1"/>
    <col min="3" max="3" width="10.1640625" style="174" customWidth="1"/>
    <col min="4" max="4" width="9" style="174"/>
    <col min="5" max="5" width="14.4140625" style="174" customWidth="1"/>
    <col min="6" max="16384" width="9" style="174"/>
  </cols>
  <sheetData>
    <row r="1" spans="1:5" x14ac:dyDescent="0.3">
      <c r="A1" s="420" t="s">
        <v>203</v>
      </c>
      <c r="B1" s="421" t="s">
        <v>204</v>
      </c>
      <c r="C1" s="421"/>
      <c r="D1" s="421"/>
      <c r="E1" s="421"/>
    </row>
    <row r="2" spans="1:5" ht="50" x14ac:dyDescent="0.3">
      <c r="A2" s="420"/>
      <c r="B2" s="175" t="s">
        <v>205</v>
      </c>
      <c r="C2" s="176" t="s">
        <v>206</v>
      </c>
      <c r="D2" s="177" t="s">
        <v>207</v>
      </c>
      <c r="E2" s="178" t="s">
        <v>208</v>
      </c>
    </row>
    <row r="3" spans="1:5" x14ac:dyDescent="0.3">
      <c r="A3" s="179" t="s">
        <v>18</v>
      </c>
      <c r="B3" s="180">
        <v>17056245.57</v>
      </c>
      <c r="C3" s="181">
        <v>806.52581504327452</v>
      </c>
      <c r="D3" s="181">
        <v>3017471</v>
      </c>
      <c r="E3" s="182">
        <v>7.4999999999999997E-3</v>
      </c>
    </row>
    <row r="4" spans="1:5" x14ac:dyDescent="0.3">
      <c r="A4" s="179" t="s">
        <v>19</v>
      </c>
      <c r="B4" s="180">
        <v>11361876</v>
      </c>
      <c r="C4" s="181">
        <v>420</v>
      </c>
      <c r="D4" s="181">
        <v>682413</v>
      </c>
      <c r="E4" s="182">
        <v>2.58E-2</v>
      </c>
    </row>
    <row r="5" spans="1:5" x14ac:dyDescent="0.3">
      <c r="A5" s="179" t="s">
        <v>23</v>
      </c>
      <c r="B5" s="180">
        <v>6560577</v>
      </c>
      <c r="C5" s="181">
        <v>449</v>
      </c>
      <c r="D5" s="181">
        <v>802423</v>
      </c>
      <c r="E5" s="182">
        <v>2.1000000000000001E-2</v>
      </c>
    </row>
    <row r="6" spans="1:5" x14ac:dyDescent="0.3">
      <c r="A6" s="179" t="s">
        <v>20</v>
      </c>
      <c r="B6" s="180">
        <v>5292238</v>
      </c>
      <c r="C6" s="181">
        <v>548</v>
      </c>
      <c r="D6" s="181">
        <v>574896</v>
      </c>
      <c r="E6" s="182">
        <v>1.6199999999999999E-2</v>
      </c>
    </row>
    <row r="7" spans="1:5" x14ac:dyDescent="0.3">
      <c r="A7" s="179" t="s">
        <v>28</v>
      </c>
      <c r="B7" s="180">
        <v>3130158</v>
      </c>
      <c r="C7" s="181">
        <v>506</v>
      </c>
      <c r="D7" s="181">
        <v>298790</v>
      </c>
      <c r="E7" s="182">
        <v>1.8100000000000002E-2</v>
      </c>
    </row>
    <row r="8" spans="1:5" x14ac:dyDescent="0.3">
      <c r="A8" s="183" t="s">
        <v>209</v>
      </c>
      <c r="B8" s="184">
        <v>2414026</v>
      </c>
      <c r="C8" s="185">
        <v>394</v>
      </c>
      <c r="D8" s="185">
        <v>330787</v>
      </c>
      <c r="E8" s="186">
        <v>2.0748247187837153E-2</v>
      </c>
    </row>
    <row r="9" spans="1:5" x14ac:dyDescent="0.3">
      <c r="A9" s="187" t="s">
        <v>32</v>
      </c>
      <c r="B9" s="180">
        <v>1886304.4000000001</v>
      </c>
      <c r="C9" s="181">
        <v>334.3918454174792</v>
      </c>
      <c r="D9" s="181">
        <v>83509</v>
      </c>
      <c r="E9" s="182">
        <v>4.0323786734464968E-2</v>
      </c>
    </row>
    <row r="10" spans="1:5" x14ac:dyDescent="0.3">
      <c r="A10" s="179" t="s">
        <v>24</v>
      </c>
      <c r="B10" s="180">
        <v>1035558</v>
      </c>
      <c r="C10" s="181">
        <v>123.45708154506438</v>
      </c>
      <c r="D10" s="181">
        <v>221977</v>
      </c>
      <c r="E10" s="182">
        <v>0.24827359421243</v>
      </c>
    </row>
    <row r="11" spans="1:5" x14ac:dyDescent="0.3">
      <c r="A11" s="179" t="s">
        <v>29</v>
      </c>
      <c r="B11" s="180">
        <v>440258</v>
      </c>
      <c r="C11" s="181">
        <v>704</v>
      </c>
      <c r="D11" s="181">
        <v>22814</v>
      </c>
      <c r="E11" s="182">
        <v>0.03</v>
      </c>
    </row>
    <row r="12" spans="1:5" x14ac:dyDescent="0.3">
      <c r="A12" s="179" t="s">
        <v>34</v>
      </c>
      <c r="B12" s="180">
        <v>324624</v>
      </c>
      <c r="C12" s="181">
        <v>326.91238670694867</v>
      </c>
      <c r="D12" s="181">
        <v>32438</v>
      </c>
      <c r="E12" s="182">
        <v>3.0612244897959183E-2</v>
      </c>
    </row>
    <row r="13" spans="1:5" x14ac:dyDescent="0.3">
      <c r="A13" s="179" t="s">
        <v>26</v>
      </c>
      <c r="B13" s="180">
        <v>226940</v>
      </c>
      <c r="C13" s="181">
        <v>2619</v>
      </c>
      <c r="D13" s="181">
        <v>13982</v>
      </c>
      <c r="E13" s="182">
        <v>5.4999999999999997E-3</v>
      </c>
    </row>
    <row r="14" spans="1:5" ht="15" customHeight="1" x14ac:dyDescent="0.3">
      <c r="A14" s="179" t="s">
        <v>27</v>
      </c>
      <c r="B14" s="180">
        <v>157540</v>
      </c>
      <c r="C14" s="181">
        <v>481</v>
      </c>
      <c r="D14" s="181">
        <v>31994</v>
      </c>
      <c r="E14" s="182">
        <v>9.2999999999999992E-3</v>
      </c>
    </row>
    <row r="15" spans="1:5" x14ac:dyDescent="0.3">
      <c r="A15" s="179" t="s">
        <v>35</v>
      </c>
      <c r="B15" s="180">
        <v>77670</v>
      </c>
      <c r="C15" s="181">
        <v>375</v>
      </c>
      <c r="D15" s="181">
        <v>12780</v>
      </c>
      <c r="E15" s="182">
        <v>1.09E-2</v>
      </c>
    </row>
    <row r="16" spans="1:5" x14ac:dyDescent="0.3">
      <c r="A16" s="179" t="s">
        <v>36</v>
      </c>
      <c r="B16" s="180">
        <v>69354</v>
      </c>
      <c r="C16" s="181">
        <v>777</v>
      </c>
      <c r="D16" s="181">
        <v>15361</v>
      </c>
      <c r="E16" s="182">
        <v>4.0000000000000001E-3</v>
      </c>
    </row>
    <row r="17" spans="1:5" x14ac:dyDescent="0.3">
      <c r="A17" s="179" t="s">
        <v>30</v>
      </c>
      <c r="B17" s="180">
        <v>28788</v>
      </c>
      <c r="C17" s="181">
        <v>9.1187836553690218</v>
      </c>
      <c r="D17" s="181">
        <v>6706</v>
      </c>
      <c r="E17" s="182">
        <v>0.47315836564270802</v>
      </c>
    </row>
  </sheetData>
  <mergeCells count="2">
    <mergeCell ref="A1:A2"/>
    <mergeCell ref="B1:E1"/>
  </mergeCells>
  <phoneticPr fontId="5" type="noConversion"/>
  <conditionalFormatting sqref="A3:A6">
    <cfRule type="duplicateValues" dxfId="4" priority="4"/>
  </conditionalFormatting>
  <conditionalFormatting sqref="A7:A14">
    <cfRule type="duplicateValues" dxfId="3" priority="3"/>
  </conditionalFormatting>
  <conditionalFormatting sqref="A15">
    <cfRule type="duplicateValues" dxfId="2" priority="5"/>
  </conditionalFormatting>
  <conditionalFormatting sqref="A16">
    <cfRule type="duplicateValues" dxfId="1" priority="2"/>
  </conditionalFormatting>
  <conditionalFormatting sqref="A1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headerFooter>
    <oddFooter>&amp;C&amp;1#&amp;"arial"&amp;9&amp;K008000C1 -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Website&amp;WeChat index</vt:lpstr>
      <vt:lpstr>Owned website score</vt:lpstr>
      <vt:lpstr>Owned website score raw data</vt:lpstr>
      <vt:lpstr>SEO score</vt:lpstr>
      <vt:lpstr>SEO Kws Rankings</vt:lpstr>
      <vt:lpstr>Search Volume</vt:lpstr>
      <vt:lpstr>Brandzone</vt:lpstr>
      <vt:lpstr>WeChat score</vt:lpstr>
      <vt:lpstr>EC</vt:lpstr>
      <vt:lpstr>Features October</vt:lpstr>
      <vt:lpstr>Features</vt:lpstr>
      <vt:lpstr>Feature Rules</vt:lpstr>
      <vt:lpstr>Features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Yudi</dc:creator>
  <cp:lastModifiedBy>Hypers</cp:lastModifiedBy>
  <dcterms:created xsi:type="dcterms:W3CDTF">2021-01-18T07:59:36Z</dcterms:created>
  <dcterms:modified xsi:type="dcterms:W3CDTF">2021-02-22T06:04:09Z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iteId">
    <vt:lpwstr>e4e1abd9-eac7-4a71-ab52-da5c998aa7ba</vt:lpwstr>
  </property>
  <property fmtid="{D5CDD505-2E9C-101B-9397-08002B2CF9AE}" pid="4" name="MSIP_Label_f43b7177-c66c-4b22-a350-7ee86f9a1e74_Owner">
    <vt:lpwstr>yudi.fan@loreal.com</vt:lpwstr>
  </property>
  <property fmtid="{D5CDD505-2E9C-101B-9397-08002B2CF9AE}" pid="5" name="MSIP_Label_f43b7177-c66c-4b22-a350-7ee86f9a1e74_SetDate">
    <vt:lpwstr>2021-01-18T10:04:28.7530236Z</vt:lpwstr>
  </property>
  <property fmtid="{D5CDD505-2E9C-101B-9397-08002B2CF9AE}" pid="6" name="MSIP_Label_f43b7177-c66c-4b22-a350-7ee86f9a1e74_Name">
    <vt:lpwstr>C1 - Internal use</vt:lpwstr>
  </property>
  <property fmtid="{D5CDD505-2E9C-101B-9397-08002B2CF9AE}" pid="7" name="MSIP_Label_f43b7177-c66c-4b22-a350-7ee86f9a1e74_Application">
    <vt:lpwstr>Microsoft Azure Information Protection</vt:lpwstr>
  </property>
  <property fmtid="{D5CDD505-2E9C-101B-9397-08002B2CF9AE}" pid="8" name="MSIP_Label_f43b7177-c66c-4b22-a350-7ee86f9a1e74_ActionId">
    <vt:lpwstr>b6b897fb-1602-4dbf-9703-301497d1c250</vt:lpwstr>
  </property>
  <property fmtid="{D5CDD505-2E9C-101B-9397-08002B2CF9AE}" pid="9" name="MSIP_Label_f43b7177-c66c-4b22-a350-7ee86f9a1e74_Extended_MSFT_Method">
    <vt:lpwstr>Automatic</vt:lpwstr>
  </property>
  <property fmtid="{D5CDD505-2E9C-101B-9397-08002B2CF9AE}" pid="10" name="Sensitivity">
    <vt:lpwstr>C1 - Internal use</vt:lpwstr>
  </property>
</Properties>
</file>