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kwfmbenergie-my.sharepoint.com/personal/daniel_aeberhard_bkw_ch/Documents/Desktop/EnergyUtils/"/>
    </mc:Choice>
  </mc:AlternateContent>
  <xr:revisionPtr revIDLastSave="12" documentId="13_ncr:1_{EE7FC5F0-D7C6-4F95-80B7-B89A03A802E4}" xr6:coauthVersionLast="47" xr6:coauthVersionMax="47" xr10:uidLastSave="{B869A177-C519-4489-B39E-7EF0AABA0F8D}"/>
  <bookViews>
    <workbookView xWindow="1020" yWindow="780" windowWidth="27750" windowHeight="19230" activeTab="1" xr2:uid="{CF2CAE9D-B578-4E60-B720-896D1366AE3F}"/>
  </bookViews>
  <sheets>
    <sheet name="Base-Peak" sheetId="1" r:id="rId1"/>
    <sheet name="Base-Peak Q-Ca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36" i="2" l="1"/>
  <c r="J35" i="2"/>
  <c r="J34" i="2" l="1"/>
  <c r="J43" i="2"/>
  <c r="J12" i="2"/>
  <c r="J15" i="2" s="1"/>
  <c r="F16" i="2" s="1"/>
  <c r="J26" i="2"/>
  <c r="K34" i="2" s="1"/>
  <c r="J23" i="2"/>
  <c r="J28" i="2"/>
  <c r="J42" i="2" s="1"/>
  <c r="K42" i="2" s="1"/>
  <c r="J27" i="2"/>
  <c r="J41" i="2" s="1"/>
  <c r="K41" i="2" s="1"/>
  <c r="J46" i="2" s="1"/>
  <c r="J25" i="2"/>
  <c r="J24" i="2"/>
  <c r="J9" i="2"/>
  <c r="K9" i="2" s="1"/>
  <c r="J6" i="2"/>
  <c r="K6" i="2" s="1"/>
  <c r="E20" i="2"/>
  <c r="P6" i="1"/>
  <c r="H6" i="1" s="1"/>
  <c r="E12" i="1"/>
  <c r="P12" i="1"/>
  <c r="P22" i="1" s="1"/>
  <c r="Q22" i="1" s="1"/>
  <c r="P9" i="1"/>
  <c r="F18" i="1"/>
  <c r="F17" i="1"/>
  <c r="F16" i="1"/>
  <c r="J47" i="2" l="1"/>
  <c r="K47" i="2" s="1"/>
  <c r="K48" i="2" s="1"/>
  <c r="L48" i="2" s="1"/>
  <c r="F18" i="2"/>
  <c r="K35" i="2"/>
  <c r="P26" i="1"/>
  <c r="Q26" i="1" s="1"/>
  <c r="P23" i="1"/>
  <c r="Q23" i="1" s="1"/>
  <c r="Q24" i="1" s="1"/>
  <c r="Q6" i="1"/>
  <c r="Q12" i="1"/>
  <c r="Q9" i="1"/>
  <c r="K43" i="2"/>
  <c r="K44" i="2" s="1"/>
  <c r="L44" i="2" s="1"/>
  <c r="K23" i="2"/>
  <c r="K26" i="2"/>
  <c r="K36" i="2"/>
  <c r="K27" i="2"/>
  <c r="K28" i="2"/>
  <c r="K24" i="2"/>
  <c r="K25" i="2"/>
  <c r="F12" i="2"/>
  <c r="F13" i="2"/>
  <c r="F14" i="2"/>
  <c r="K12" i="2"/>
  <c r="F15" i="2"/>
  <c r="K15" i="2"/>
  <c r="F17" i="2"/>
  <c r="F19" i="2"/>
  <c r="F6" i="2"/>
  <c r="F9" i="2"/>
  <c r="F10" i="2"/>
  <c r="F7" i="2"/>
  <c r="F5" i="2"/>
  <c r="F8" i="2"/>
  <c r="F11" i="2"/>
  <c r="J16" i="2"/>
  <c r="K16" i="2" s="1"/>
  <c r="H5" i="1"/>
  <c r="H11" i="1"/>
  <c r="H10" i="1"/>
  <c r="H9" i="1"/>
  <c r="H8" i="1"/>
  <c r="H7" i="1"/>
  <c r="P15" i="1"/>
  <c r="P16" i="1" s="1"/>
  <c r="Q27" i="1" l="1"/>
  <c r="L26" i="2"/>
  <c r="K37" i="2"/>
  <c r="L37" i="2" s="1"/>
  <c r="L23" i="2"/>
  <c r="L29" i="2"/>
  <c r="G16" i="2"/>
  <c r="G15" i="2"/>
  <c r="G14" i="2"/>
  <c r="G9" i="2"/>
  <c r="K17" i="2"/>
  <c r="L17" i="2" s="1"/>
  <c r="G7" i="2"/>
  <c r="G8" i="2"/>
  <c r="Q15" i="1"/>
  <c r="I11" i="1"/>
  <c r="K11" i="1" s="1"/>
  <c r="I5" i="1"/>
  <c r="K5" i="1" s="1"/>
  <c r="I6" i="1"/>
  <c r="K6" i="1" s="1"/>
  <c r="I7" i="1"/>
  <c r="I8" i="1"/>
  <c r="I10" i="1"/>
  <c r="K10" i="1" s="1"/>
  <c r="I9" i="1"/>
  <c r="L10" i="1" l="1"/>
  <c r="M10" i="1"/>
  <c r="L6" i="1"/>
  <c r="M6" i="1"/>
  <c r="M11" i="1"/>
  <c r="L11" i="1"/>
  <c r="M5" i="1"/>
  <c r="L5" i="1"/>
  <c r="Q16" i="1"/>
  <c r="Q17" i="1" s="1"/>
  <c r="J9" i="1"/>
  <c r="K9" i="1" s="1"/>
  <c r="J7" i="1"/>
  <c r="K7" i="1" s="1"/>
  <c r="J8" i="1"/>
  <c r="K8" i="1" s="1"/>
  <c r="G6" i="1"/>
  <c r="G7" i="1"/>
  <c r="G8" i="1"/>
  <c r="G9" i="1"/>
  <c r="G10" i="1"/>
  <c r="G11" i="1"/>
  <c r="G5" i="1"/>
  <c r="M8" i="1" l="1"/>
  <c r="L8" i="1"/>
  <c r="K13" i="1"/>
  <c r="L7" i="1"/>
  <c r="L13" i="1" s="1"/>
  <c r="M7" i="1"/>
  <c r="M13" i="1" s="1"/>
  <c r="L9" i="1"/>
  <c r="M9" i="1"/>
  <c r="T11" i="1"/>
  <c r="T12" i="1" s="1"/>
  <c r="T15" i="1" s="1"/>
  <c r="U15" i="1" s="1"/>
  <c r="V15" i="1" s="1"/>
  <c r="T8" i="1"/>
  <c r="T9" i="1" s="1"/>
  <c r="G15" i="1"/>
  <c r="T5" i="1"/>
  <c r="T6" i="1" s="1"/>
  <c r="T16" i="1" l="1"/>
  <c r="U16" i="1" s="1"/>
  <c r="V16" i="1" s="1"/>
  <c r="V17" i="1" s="1"/>
</calcChain>
</file>

<file path=xl/sharedStrings.xml><?xml version="1.0" encoding="utf-8"?>
<sst xmlns="http://schemas.openxmlformats.org/spreadsheetml/2006/main" count="90" uniqueCount="53">
  <si>
    <t>Peak</t>
  </si>
  <si>
    <t>MW</t>
  </si>
  <si>
    <t>HPFC</t>
  </si>
  <si>
    <t>Wert</t>
  </si>
  <si>
    <t>MW in Base</t>
  </si>
  <si>
    <t>Werte Base CHF</t>
  </si>
  <si>
    <t>Base Preis CHF/MWh</t>
  </si>
  <si>
    <t>Peak Preis in CHF/MWh</t>
  </si>
  <si>
    <t>Base</t>
  </si>
  <si>
    <t>Wert Profil</t>
  </si>
  <si>
    <t>off-peak in CHF/MWh</t>
  </si>
  <si>
    <t>Werte Peak CHF</t>
  </si>
  <si>
    <t>MW in Peak</t>
  </si>
  <si>
    <t>Werte off-Peak CHF</t>
  </si>
  <si>
    <t>MW in off-Peak</t>
  </si>
  <si>
    <t>Hedge</t>
  </si>
  <si>
    <t>MWh</t>
  </si>
  <si>
    <t>Wertehedge</t>
  </si>
  <si>
    <t>Mengenhedge</t>
  </si>
  <si>
    <t>Menge Profil</t>
  </si>
  <si>
    <t>Ausgangslage</t>
  </si>
  <si>
    <t>isPeak</t>
  </si>
  <si>
    <t>MW Profil</t>
  </si>
  <si>
    <t>Base Hedge wenn auch Peak</t>
  </si>
  <si>
    <t>Peak Hedge wenn auch Base Hedge</t>
  </si>
  <si>
    <t>Reiner Base Hedge</t>
  </si>
  <si>
    <t>Q</t>
  </si>
  <si>
    <t>Base (alleine)</t>
  </si>
  <si>
    <t>Peak (alleine)</t>
  </si>
  <si>
    <t>off-Peak (alleine)</t>
  </si>
  <si>
    <t>Hedge Kombination</t>
  </si>
  <si>
    <t>Base "Cal"</t>
  </si>
  <si>
    <t>Peak "Cal"</t>
  </si>
  <si>
    <t>Mengenhedge gleicher Lieferzeitraum</t>
  </si>
  <si>
    <t>Mengenhedge ungleicher Lieferzeitraum</t>
  </si>
  <si>
    <t>Peak "Q1"</t>
  </si>
  <si>
    <t>Peak "Q2"</t>
  </si>
  <si>
    <t>Off-Peak Q1</t>
  </si>
  <si>
    <t>Off-Peak Q2</t>
  </si>
  <si>
    <t>Peak Q1</t>
  </si>
  <si>
    <t>Peak Q2</t>
  </si>
  <si>
    <t>Peak Cal</t>
  </si>
  <si>
    <t>Off-Peak Cal</t>
  </si>
  <si>
    <t>Base "Q1"</t>
  </si>
  <si>
    <t>Base "Q2"</t>
  </si>
  <si>
    <t>Stunde</t>
  </si>
  <si>
    <t>Variante mit Base = min(offpeak, peak) -&gt; geht aber nur wenn der off-peak auch als Produkt vorhanden ist.</t>
  </si>
  <si>
    <t>off-peak</t>
  </si>
  <si>
    <t>Restprofil</t>
  </si>
  <si>
    <t>positives</t>
  </si>
  <si>
    <t>negative Werte</t>
  </si>
  <si>
    <t>Off-Peak Call via Q's</t>
  </si>
  <si>
    <t>Peak Cal Variante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</si>
</sst>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7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right"/>
    </xf>
    <xf numFmtId="2" fontId="0" fillId="0" borderId="0" xfId="0" applyNumberFormat="1"/>
    <xf numFmtId="0" fontId="1" fillId="2" borderId="0" xfId="1"/>
    <xf numFmtId="0" fontId="1" fillId="3" borderId="0" xfId="2"/>
    <xf numFmtId="0" fontId="1" fillId="4" borderId="0" xfId="3"/>
    <xf numFmtId="1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4">
    <cellStyle name="Accent1" xfId="1" builtinId="29"/>
    <cellStyle name="Accent2" xfId="2" builtinId="33"/>
    <cellStyle name="Accent4" xfId="3" builtinId="41"/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'Base-Peak'!$E$4</c:f>
              <c:strCache>
                <c:ptCount val="1"/>
                <c:pt idx="0">
                  <c:v>MW Profil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'Base-Peak'!$E$5:$E$11</c:f>
              <c:numCache>
                <c:formatCode>General</c:formatCode>
                <c:ptCount val="7"/>
                <c:pt idx="0">
                  <c:v>50</c:v>
                </c:pt>
                <c:pt idx="1">
                  <c:v>45</c:v>
                </c:pt>
                <c:pt idx="2">
                  <c:v>15</c:v>
                </c:pt>
                <c:pt idx="3">
                  <c:v>10</c:v>
                </c:pt>
                <c:pt idx="4">
                  <c:v>12</c:v>
                </c:pt>
                <c:pt idx="5">
                  <c:v>40</c:v>
                </c:pt>
                <c:pt idx="6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B1-45FF-AC26-34AC13AA2068}"/>
            </c:ext>
          </c:extLst>
        </c:ser>
        <c:ser>
          <c:idx val="1"/>
          <c:order val="1"/>
          <c:tx>
            <c:strRef>
              <c:f>'Base-Peak'!$I$4</c:f>
              <c:strCache>
                <c:ptCount val="1"/>
                <c:pt idx="0">
                  <c:v>Base Hedge wenn auch Peak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'Base-Peak'!$I$5:$I$11</c:f>
              <c:numCache>
                <c:formatCode>0.00</c:formatCode>
                <c:ptCount val="7"/>
                <c:pt idx="0">
                  <c:v>41.25</c:v>
                </c:pt>
                <c:pt idx="1">
                  <c:v>41.25</c:v>
                </c:pt>
                <c:pt idx="2">
                  <c:v>41.25</c:v>
                </c:pt>
                <c:pt idx="3">
                  <c:v>41.25</c:v>
                </c:pt>
                <c:pt idx="4">
                  <c:v>41.25</c:v>
                </c:pt>
                <c:pt idx="5">
                  <c:v>41.25</c:v>
                </c:pt>
                <c:pt idx="6">
                  <c:v>41.25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B1-45FF-AC26-34AC13AA2068}"/>
            </c:ext>
          </c:extLst>
        </c:ser>
        <c:ser>
          <c:idx val="2"/>
          <c:order val="2"/>
          <c:tx>
            <c:strRef>
              <c:f>'Base-Peak'!$H$4</c:f>
              <c:strCache>
                <c:ptCount val="1"/>
                <c:pt idx="0">
                  <c:v>Reiner Base Hedge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'Base-Peak'!$H$5:$H$11</c:f>
              <c:numCache>
                <c:formatCode>0.00</c:formatCode>
                <c:ptCount val="7"/>
                <c:pt idx="0">
                  <c:v>28.857142857142858</c:v>
                </c:pt>
                <c:pt idx="1">
                  <c:v>28.857142857142858</c:v>
                </c:pt>
                <c:pt idx="2">
                  <c:v>28.857142857142858</c:v>
                </c:pt>
                <c:pt idx="3">
                  <c:v>28.857142857142858</c:v>
                </c:pt>
                <c:pt idx="4">
                  <c:v>28.857142857142858</c:v>
                </c:pt>
                <c:pt idx="5">
                  <c:v>28.857142857142858</c:v>
                </c:pt>
                <c:pt idx="6">
                  <c:v>28.857142857142858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DB1-45FF-AC26-34AC13AA2068}"/>
            </c:ext>
          </c:extLst>
        </c:ser>
        <c:ser>
          <c:idx val="3"/>
          <c:order val="3"/>
          <c:tx>
            <c:strRef>
              <c:f>'Base-Peak'!$J$4</c:f>
              <c:strCache>
                <c:ptCount val="1"/>
                <c:pt idx="0">
                  <c:v>Peak Hedge wenn auch Base Hedge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'Base-Peak'!$J$5:$J$11</c:f>
              <c:numCache>
                <c:formatCode>General</c:formatCode>
                <c:ptCount val="7"/>
                <c:pt idx="2" formatCode="0.00">
                  <c:v>-28.916666666666664</c:v>
                </c:pt>
                <c:pt idx="3" formatCode="0.00">
                  <c:v>-28.916666666666664</c:v>
                </c:pt>
                <c:pt idx="4" formatCode="0.00">
                  <c:v>-28.916666666666664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DB1-45FF-AC26-34AC13AA20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1535663"/>
        <c:axId val="801543983"/>
      </c:lineChart>
      <c:catAx>
        <c:axId val="8015356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01543983"/>
        <c:crosses val="autoZero"/>
        <c:auto val="1"/>
        <c:lblAlgn val="ctr"/>
        <c:lblOffset val="100"/>
        <c:noMultiLvlLbl val="0"/>
      </c:catAx>
      <c:valAx>
        <c:axId val="801543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01535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'Base-Peak Q-Cal'!$E$4</c:f>
              <c:strCache>
                <c:ptCount val="1"/>
                <c:pt idx="0">
                  <c:v>MW Profil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'Base-Peak Q-Cal'!$E$5:$E$19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13</c:v>
                </c:pt>
                <c:pt idx="1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E6-4CD8-A9CC-C3EB75A1E6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2399631"/>
        <c:axId val="392400463"/>
      </c:lineChart>
      <c:catAx>
        <c:axId val="3923996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92400463"/>
        <c:crosses val="autoZero"/>
        <c:auto val="1"/>
        <c:lblAlgn val="ctr"/>
        <c:lblOffset val="100"/>
        <c:noMultiLvlLbl val="0"/>
      </c:catAx>
      <c:valAx>
        <c:axId val="392400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92399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100012</xdr:colOff>
      <xdr:row>22</xdr:row>
      <xdr:rowOff>42862</xdr:rowOff>
    </xdr:from>
    <xdr:to>
      <xdr:col>9</xdr:col>
      <xdr:colOff>400050</xdr:colOff>
      <xdr:row>36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9279A3-B5A0-4F5D-954D-1E5CC34823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85724</xdr:colOff>
      <xdr:row>30</xdr:row>
      <xdr:rowOff>14287</xdr:rowOff>
    </xdr:from>
    <xdr:to>
      <xdr:col>6</xdr:col>
      <xdr:colOff>1504949</xdr:colOff>
      <xdr:row>44</xdr:row>
      <xdr:rowOff>90487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46D3B50-B70A-6386-EA62-C5FBA68F9D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22230-2F22-44B8-B5B2-63687FC12290}">
  <dimension ref="D3:V27"/>
  <sheetViews>
    <sheetView topLeftCell="B1" workbookViewId="0">
      <selection activeCell="D5" sqref="D5:D11"/>
    </sheetView>
  </sheetViews>
  <sheetFormatPr defaultRowHeight="15" x14ac:dyDescent="0.25"/>
  <cols>
    <col min="4" max="4" width="12.42578125" bestFit="1" customWidth="1"/>
    <col min="5" max="5" width="22.140625" bestFit="1" customWidth="1"/>
    <col min="6" max="6" width="10" bestFit="1" customWidth="1"/>
    <col min="8" max="8" width="17.85546875" bestFit="1" customWidth="1"/>
    <col min="9" max="9" width="26.5703125" bestFit="1" customWidth="1"/>
    <col min="12" max="12" width="12.5703125" customWidth="1"/>
    <col min="13" max="13" width="15.140625" bestFit="1" customWidth="1"/>
    <col min="14" max="14" width="15.140625" customWidth="1"/>
    <col min="15" max="15" width="18.7109375" bestFit="1" customWidth="1"/>
    <col min="16" max="18" width="15.140625" customWidth="1"/>
    <col min="19" max="19" width="18.7109375" bestFit="1" customWidth="1"/>
    <col min="20" max="20" width="12.28515625" customWidth="1"/>
    <col min="21" max="21" width="11.5703125" bestFit="1" customWidth="1"/>
    <col min="22" max="22" width="12.5703125" bestFit="1" customWidth="1"/>
  </cols>
  <sheetData>
    <row r="3" spans="4:22" x14ac:dyDescent="0.25">
      <c r="D3" s="5" t="s">
        <v>20</v>
      </c>
      <c r="E3" s="5"/>
      <c r="F3" s="5"/>
      <c r="G3" s="5"/>
      <c r="H3" s="5"/>
      <c r="I3" s="5"/>
      <c r="J3" s="5"/>
      <c r="K3" s="5"/>
      <c r="L3" s="5"/>
      <c r="O3" s="4" t="s">
        <v>18</v>
      </c>
      <c r="P3" s="4"/>
      <c r="S3" s="3" t="s">
        <v>17</v>
      </c>
      <c r="T3" s="3"/>
    </row>
    <row r="4" spans="4:22" x14ac:dyDescent="0.25">
      <c r="D4" t="s">
        <v>21</v>
      </c>
      <c r="E4" t="s">
        <v>22</v>
      </c>
      <c r="F4" t="s">
        <v>2</v>
      </c>
      <c r="G4" t="s">
        <v>3</v>
      </c>
      <c r="H4" t="s">
        <v>25</v>
      </c>
      <c r="I4" s="5" t="s">
        <v>23</v>
      </c>
      <c r="J4" s="5" t="s">
        <v>24</v>
      </c>
      <c r="K4" s="5" t="s">
        <v>48</v>
      </c>
      <c r="L4" s="5" t="s">
        <v>49</v>
      </c>
      <c r="M4" s="5" t="s">
        <v>50</v>
      </c>
    </row>
    <row r="5" spans="4:22" x14ac:dyDescent="0.25">
      <c r="D5">
        <v>0</v>
      </c>
      <c r="E5">
        <v>50</v>
      </c>
      <c r="F5">
        <v>10</v>
      </c>
      <c r="G5">
        <f>E5*F5</f>
        <v>500</v>
      </c>
      <c r="H5" s="2">
        <f>$P$6</f>
        <v>28.857142857142858</v>
      </c>
      <c r="I5" s="2">
        <f>$P$15</f>
        <v>41.25</v>
      </c>
      <c r="K5" s="2">
        <f>E5-I5-J5</f>
        <v>8.75</v>
      </c>
      <c r="L5" s="2">
        <f>IF(K5&gt;0,K5,0)</f>
        <v>8.75</v>
      </c>
      <c r="M5" s="2">
        <f>IF(K5&lt;0,K5,0)</f>
        <v>0</v>
      </c>
      <c r="P5" s="2" t="s">
        <v>1</v>
      </c>
      <c r="Q5" t="s">
        <v>16</v>
      </c>
      <c r="S5" t="s">
        <v>5</v>
      </c>
      <c r="T5" s="2">
        <f>SUM(G5:G11)</f>
        <v>2390</v>
      </c>
    </row>
    <row r="6" spans="4:22" x14ac:dyDescent="0.25">
      <c r="D6">
        <v>0</v>
      </c>
      <c r="E6">
        <v>45</v>
      </c>
      <c r="F6">
        <v>10</v>
      </c>
      <c r="G6">
        <f t="shared" ref="G6:G11" si="0">E6*F6</f>
        <v>450</v>
      </c>
      <c r="H6" s="2">
        <f t="shared" ref="H6:H11" si="1">$P$6</f>
        <v>28.857142857142858</v>
      </c>
      <c r="I6" s="2">
        <f t="shared" ref="I6:I11" si="2">$P$15</f>
        <v>41.25</v>
      </c>
      <c r="K6" s="2">
        <f t="shared" ref="K6:K11" si="3">E6-I6-J6</f>
        <v>3.75</v>
      </c>
      <c r="L6" s="2">
        <f t="shared" ref="L6:L11" si="4">IF(K6&gt;0,K6,0)</f>
        <v>3.75</v>
      </c>
      <c r="M6" s="2">
        <f t="shared" ref="M6:M11" si="5">IF(K6&lt;0,K6,0)</f>
        <v>0</v>
      </c>
      <c r="O6" t="s">
        <v>4</v>
      </c>
      <c r="P6" s="2">
        <f>AVERAGE(E5:E11)</f>
        <v>28.857142857142858</v>
      </c>
      <c r="Q6" s="2">
        <f>P6*7</f>
        <v>202</v>
      </c>
      <c r="S6" t="s">
        <v>4</v>
      </c>
      <c r="T6" s="2">
        <f>T5/F16/7</f>
        <v>23.9</v>
      </c>
    </row>
    <row r="7" spans="4:22" x14ac:dyDescent="0.25">
      <c r="D7">
        <v>1</v>
      </c>
      <c r="E7">
        <v>15</v>
      </c>
      <c r="F7">
        <v>20</v>
      </c>
      <c r="G7">
        <f t="shared" si="0"/>
        <v>300</v>
      </c>
      <c r="H7" s="2">
        <f t="shared" si="1"/>
        <v>28.857142857142858</v>
      </c>
      <c r="I7" s="2">
        <f t="shared" si="2"/>
        <v>41.25</v>
      </c>
      <c r="J7" s="2">
        <f>$P$16</f>
        <v>-28.916666666666664</v>
      </c>
      <c r="K7" s="2">
        <f t="shared" si="3"/>
        <v>2.6666666666666643</v>
      </c>
      <c r="L7" s="2">
        <f t="shared" si="4"/>
        <v>2.6666666666666643</v>
      </c>
      <c r="M7" s="2">
        <f t="shared" si="5"/>
        <v>0</v>
      </c>
      <c r="P7" s="2"/>
      <c r="T7" s="2"/>
    </row>
    <row r="8" spans="4:22" x14ac:dyDescent="0.25">
      <c r="D8">
        <v>1</v>
      </c>
      <c r="E8">
        <v>10</v>
      </c>
      <c r="F8">
        <v>20</v>
      </c>
      <c r="G8">
        <f t="shared" si="0"/>
        <v>200</v>
      </c>
      <c r="H8" s="2">
        <f t="shared" si="1"/>
        <v>28.857142857142858</v>
      </c>
      <c r="I8" s="2">
        <f t="shared" si="2"/>
        <v>41.25</v>
      </c>
      <c r="J8" s="2">
        <f t="shared" ref="J8:J9" si="6">$P$16</f>
        <v>-28.916666666666664</v>
      </c>
      <c r="K8" s="2">
        <f t="shared" si="3"/>
        <v>-2.3333333333333357</v>
      </c>
      <c r="L8" s="2">
        <f t="shared" si="4"/>
        <v>0</v>
      </c>
      <c r="M8" s="2">
        <f t="shared" si="5"/>
        <v>-2.3333333333333357</v>
      </c>
      <c r="N8" s="2"/>
      <c r="P8" s="2"/>
      <c r="S8" t="s">
        <v>11</v>
      </c>
      <c r="T8" s="2">
        <f>SUMIF(D5:D11,1,G5:G11)</f>
        <v>740</v>
      </c>
    </row>
    <row r="9" spans="4:22" x14ac:dyDescent="0.25">
      <c r="D9">
        <v>1</v>
      </c>
      <c r="E9">
        <v>12</v>
      </c>
      <c r="F9">
        <v>20</v>
      </c>
      <c r="G9">
        <f t="shared" si="0"/>
        <v>240</v>
      </c>
      <c r="H9" s="2">
        <f t="shared" si="1"/>
        <v>28.857142857142858</v>
      </c>
      <c r="I9" s="2">
        <f t="shared" si="2"/>
        <v>41.25</v>
      </c>
      <c r="J9" s="2">
        <f t="shared" si="6"/>
        <v>-28.916666666666664</v>
      </c>
      <c r="K9" s="2">
        <f t="shared" si="3"/>
        <v>-0.3333333333333357</v>
      </c>
      <c r="L9" s="2">
        <f t="shared" si="4"/>
        <v>0</v>
      </c>
      <c r="M9" s="2">
        <f t="shared" si="5"/>
        <v>-0.3333333333333357</v>
      </c>
      <c r="N9" s="2"/>
      <c r="O9" t="s">
        <v>12</v>
      </c>
      <c r="P9" s="2">
        <f>AVERAGEIF($D$5:$D$11,1,$E$5:$E$11)</f>
        <v>12.333333333333334</v>
      </c>
      <c r="Q9">
        <f>P9*3</f>
        <v>37</v>
      </c>
      <c r="S9" t="s">
        <v>12</v>
      </c>
      <c r="T9" s="2">
        <f>T8/F17/3</f>
        <v>12.333333333333334</v>
      </c>
    </row>
    <row r="10" spans="4:22" x14ac:dyDescent="0.25">
      <c r="D10">
        <v>0</v>
      </c>
      <c r="E10">
        <v>40</v>
      </c>
      <c r="F10">
        <v>10</v>
      </c>
      <c r="G10">
        <f t="shared" si="0"/>
        <v>400</v>
      </c>
      <c r="H10" s="2">
        <f t="shared" si="1"/>
        <v>28.857142857142858</v>
      </c>
      <c r="I10" s="2">
        <f t="shared" si="2"/>
        <v>41.25</v>
      </c>
      <c r="K10" s="2">
        <f t="shared" si="3"/>
        <v>-1.25</v>
      </c>
      <c r="L10" s="2">
        <f t="shared" si="4"/>
        <v>0</v>
      </c>
      <c r="M10" s="2">
        <f t="shared" si="5"/>
        <v>-1.25</v>
      </c>
      <c r="N10" s="2"/>
      <c r="P10" s="2"/>
      <c r="T10" s="2"/>
    </row>
    <row r="11" spans="4:22" x14ac:dyDescent="0.25">
      <c r="D11">
        <v>0</v>
      </c>
      <c r="E11">
        <v>30</v>
      </c>
      <c r="F11">
        <v>10</v>
      </c>
      <c r="G11">
        <f t="shared" si="0"/>
        <v>300</v>
      </c>
      <c r="H11" s="2">
        <f t="shared" si="1"/>
        <v>28.857142857142858</v>
      </c>
      <c r="I11" s="2">
        <f t="shared" si="2"/>
        <v>41.25</v>
      </c>
      <c r="K11" s="2">
        <f t="shared" si="3"/>
        <v>-11.25</v>
      </c>
      <c r="L11" s="2">
        <f t="shared" si="4"/>
        <v>0</v>
      </c>
      <c r="M11" s="2">
        <f t="shared" si="5"/>
        <v>-11.25</v>
      </c>
      <c r="N11" s="2"/>
      <c r="P11" s="2"/>
      <c r="S11" t="s">
        <v>13</v>
      </c>
      <c r="T11" s="2">
        <f>SUMIF(D5:D11,0,G5:G11)</f>
        <v>1650</v>
      </c>
    </row>
    <row r="12" spans="4:22" x14ac:dyDescent="0.25">
      <c r="D12" t="s">
        <v>19</v>
      </c>
      <c r="E12">
        <f>SUM(E5:E11)</f>
        <v>202</v>
      </c>
      <c r="O12" t="s">
        <v>14</v>
      </c>
      <c r="P12" s="2">
        <f>AVERAGEIF($D$5:$D$11,0,$E$5:$E$11)</f>
        <v>41.25</v>
      </c>
      <c r="Q12">
        <f>P12*4</f>
        <v>165</v>
      </c>
      <c r="S12" t="s">
        <v>14</v>
      </c>
      <c r="T12" s="2">
        <f>T11/F18/4</f>
        <v>41.25</v>
      </c>
    </row>
    <row r="13" spans="4:22" x14ac:dyDescent="0.25">
      <c r="K13" s="2">
        <f>SUM(K5:K11)</f>
        <v>0</v>
      </c>
      <c r="L13" s="2">
        <f>SUM(L5:L11)</f>
        <v>15.166666666666664</v>
      </c>
      <c r="M13" s="2">
        <f>SUM(M5:M11)</f>
        <v>-15.166666666666671</v>
      </c>
      <c r="N13" s="2"/>
    </row>
    <row r="14" spans="4:22" x14ac:dyDescent="0.25">
      <c r="O14" t="s">
        <v>15</v>
      </c>
      <c r="P14" t="s">
        <v>1</v>
      </c>
      <c r="Q14" t="s">
        <v>16</v>
      </c>
      <c r="S14" t="s">
        <v>15</v>
      </c>
      <c r="T14" t="s">
        <v>1</v>
      </c>
      <c r="U14" t="s">
        <v>16</v>
      </c>
    </row>
    <row r="15" spans="4:22" x14ac:dyDescent="0.25">
      <c r="E15" s="1" t="s">
        <v>9</v>
      </c>
      <c r="G15">
        <f>SUM(G5:G11)</f>
        <v>2390</v>
      </c>
      <c r="O15" t="s">
        <v>8</v>
      </c>
      <c r="P15" s="2">
        <f>P12</f>
        <v>41.25</v>
      </c>
      <c r="Q15" s="2">
        <f>P15*7</f>
        <v>288.75</v>
      </c>
      <c r="R15" s="2"/>
      <c r="S15" t="s">
        <v>8</v>
      </c>
      <c r="T15" s="2">
        <f>T12</f>
        <v>41.25</v>
      </c>
      <c r="U15" s="2">
        <f>T15*7</f>
        <v>288.75</v>
      </c>
      <c r="V15" s="2">
        <f>U15*F16</f>
        <v>4125</v>
      </c>
    </row>
    <row r="16" spans="4:22" x14ac:dyDescent="0.25">
      <c r="E16" s="1" t="s">
        <v>6</v>
      </c>
      <c r="F16" s="2">
        <f>AVERAGE(F5:F11)</f>
        <v>14.285714285714286</v>
      </c>
      <c r="O16" t="s">
        <v>0</v>
      </c>
      <c r="P16" s="2">
        <f>P9-P15</f>
        <v>-28.916666666666664</v>
      </c>
      <c r="Q16" s="2">
        <f>P16*3</f>
        <v>-86.75</v>
      </c>
      <c r="R16" s="2"/>
      <c r="S16" t="s">
        <v>0</v>
      </c>
      <c r="T16" s="2">
        <f>T9-T15</f>
        <v>-28.916666666666664</v>
      </c>
      <c r="U16" s="2">
        <f>T16*3</f>
        <v>-86.75</v>
      </c>
      <c r="V16" s="2">
        <f>U16*F17</f>
        <v>-1735</v>
      </c>
    </row>
    <row r="17" spans="5:22" x14ac:dyDescent="0.25">
      <c r="E17" s="1" t="s">
        <v>7</v>
      </c>
      <c r="F17" s="2">
        <f>AVERAGEIF(D5:D11,1,F5:F11)</f>
        <v>20</v>
      </c>
      <c r="P17" s="2"/>
      <c r="Q17" s="2">
        <f>SUM(Q15:Q16)</f>
        <v>202</v>
      </c>
      <c r="R17" s="2"/>
      <c r="T17" s="2"/>
      <c r="U17" s="2"/>
      <c r="V17" s="2">
        <f>SUM(V15:V16)</f>
        <v>2390</v>
      </c>
    </row>
    <row r="18" spans="5:22" x14ac:dyDescent="0.25">
      <c r="E18" s="1" t="s">
        <v>10</v>
      </c>
      <c r="F18" s="2">
        <f>AVERAGEIF(D5:D11,0,F5:F11)</f>
        <v>10</v>
      </c>
    </row>
    <row r="20" spans="5:22" x14ac:dyDescent="0.25">
      <c r="O20" t="s">
        <v>46</v>
      </c>
    </row>
    <row r="21" spans="5:22" x14ac:dyDescent="0.25">
      <c r="O21" t="s">
        <v>15</v>
      </c>
      <c r="P21" t="s">
        <v>1</v>
      </c>
      <c r="Q21" t="s">
        <v>16</v>
      </c>
    </row>
    <row r="22" spans="5:22" x14ac:dyDescent="0.25">
      <c r="O22" t="s">
        <v>8</v>
      </c>
      <c r="P22" s="2">
        <f>MIN(P12,P9)</f>
        <v>12.333333333333334</v>
      </c>
      <c r="Q22" s="2">
        <f>P22*7</f>
        <v>86.333333333333343</v>
      </c>
    </row>
    <row r="23" spans="5:22" x14ac:dyDescent="0.25">
      <c r="O23" t="s">
        <v>0</v>
      </c>
      <c r="P23" s="2">
        <f>P9-P22</f>
        <v>0</v>
      </c>
      <c r="Q23" s="2">
        <f>P23*3</f>
        <v>0</v>
      </c>
    </row>
    <row r="24" spans="5:22" x14ac:dyDescent="0.25">
      <c r="P24" s="2"/>
      <c r="Q24" s="2">
        <f>SUM(Q22:Q23)</f>
        <v>86.333333333333343</v>
      </c>
    </row>
    <row r="26" spans="5:22" x14ac:dyDescent="0.25">
      <c r="O26" t="s">
        <v>47</v>
      </c>
      <c r="P26" s="2">
        <f>P12-P22</f>
        <v>28.916666666666664</v>
      </c>
      <c r="Q26">
        <f>P26*4</f>
        <v>115.66666666666666</v>
      </c>
    </row>
    <row r="27" spans="5:22" x14ac:dyDescent="0.25">
      <c r="Q27" s="2">
        <f>Q26+Q24</f>
        <v>202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739C5-A558-412C-8192-3FA1FCA3BE95}">
  <dimension ref="B3:N49"/>
  <sheetViews>
    <sheetView tabSelected="1" topLeftCell="A4" workbookViewId="0">
      <selection activeCell="D5" activeCellId="1" sqref="D10:D11 D5:D6"/>
    </sheetView>
  </sheetViews>
  <sheetFormatPr defaultRowHeight="15" x14ac:dyDescent="0.25"/>
  <cols>
    <col min="4" max="4" width="12.42578125" bestFit="1" customWidth="1"/>
    <col min="5" max="5" width="22.140625" bestFit="1" customWidth="1"/>
    <col min="6" max="6" width="26.5703125" bestFit="1" customWidth="1"/>
    <col min="7" max="7" width="32.85546875" bestFit="1" customWidth="1"/>
    <col min="8" max="8" width="15.140625" bestFit="1" customWidth="1"/>
    <col min="9" max="9" width="18.7109375" bestFit="1" customWidth="1"/>
    <col min="10" max="12" width="15.140625" customWidth="1"/>
  </cols>
  <sheetData>
    <row r="3" spans="2:12" x14ac:dyDescent="0.25">
      <c r="C3" s="5" t="s">
        <v>20</v>
      </c>
      <c r="D3" s="5"/>
      <c r="E3" s="5"/>
      <c r="F3" s="5"/>
      <c r="G3" s="5"/>
      <c r="I3" s="4" t="s">
        <v>33</v>
      </c>
      <c r="J3" s="4"/>
      <c r="K3" s="4"/>
    </row>
    <row r="4" spans="2:12" x14ac:dyDescent="0.25">
      <c r="B4" t="s">
        <v>45</v>
      </c>
      <c r="C4" t="s">
        <v>26</v>
      </c>
      <c r="D4" t="s">
        <v>21</v>
      </c>
      <c r="E4" t="s">
        <v>22</v>
      </c>
      <c r="F4" s="5" t="s">
        <v>23</v>
      </c>
      <c r="G4" s="5" t="s">
        <v>24</v>
      </c>
    </row>
    <row r="5" spans="2:12" x14ac:dyDescent="0.25">
      <c r="B5">
        <v>1</v>
      </c>
      <c r="C5">
        <v>1</v>
      </c>
      <c r="D5">
        <v>0</v>
      </c>
      <c r="E5">
        <v>1</v>
      </c>
      <c r="F5" s="2">
        <f>$J$15</f>
        <v>2.7777777777777777</v>
      </c>
      <c r="J5" s="2" t="s">
        <v>1</v>
      </c>
      <c r="K5" t="s">
        <v>16</v>
      </c>
    </row>
    <row r="6" spans="2:12" x14ac:dyDescent="0.25">
      <c r="B6">
        <v>2</v>
      </c>
      <c r="C6">
        <v>1</v>
      </c>
      <c r="D6">
        <v>0</v>
      </c>
      <c r="E6">
        <v>1</v>
      </c>
      <c r="F6" s="2">
        <f t="shared" ref="F6:F19" si="0">$J$15</f>
        <v>2.7777777777777777</v>
      </c>
      <c r="I6" t="s">
        <v>27</v>
      </c>
      <c r="J6" s="2">
        <f>AVERAGE(E5:E19)</f>
        <v>2.2666666666666666</v>
      </c>
      <c r="K6" s="6">
        <f>J6*COUNT($E$5:$E$19)</f>
        <v>34</v>
      </c>
    </row>
    <row r="7" spans="2:12" x14ac:dyDescent="0.25">
      <c r="B7">
        <v>3</v>
      </c>
      <c r="C7">
        <v>1</v>
      </c>
      <c r="D7">
        <v>1</v>
      </c>
      <c r="E7">
        <v>1</v>
      </c>
      <c r="F7" s="2">
        <f t="shared" si="0"/>
        <v>2.7777777777777777</v>
      </c>
      <c r="G7" s="2">
        <f>$J$16</f>
        <v>-1.2777777777777777</v>
      </c>
      <c r="J7" s="2"/>
    </row>
    <row r="8" spans="2:12" x14ac:dyDescent="0.25">
      <c r="B8">
        <v>4</v>
      </c>
      <c r="C8">
        <v>1</v>
      </c>
      <c r="D8">
        <v>1</v>
      </c>
      <c r="E8">
        <v>1</v>
      </c>
      <c r="F8" s="2">
        <f t="shared" si="0"/>
        <v>2.7777777777777777</v>
      </c>
      <c r="G8" s="2">
        <f t="shared" ref="G8:G9" si="1">$J$16</f>
        <v>-1.2777777777777777</v>
      </c>
      <c r="J8" s="2"/>
    </row>
    <row r="9" spans="2:12" x14ac:dyDescent="0.25">
      <c r="B9">
        <v>5</v>
      </c>
      <c r="C9">
        <v>1</v>
      </c>
      <c r="D9">
        <v>1</v>
      </c>
      <c r="E9">
        <v>1</v>
      </c>
      <c r="F9" s="2">
        <f t="shared" si="0"/>
        <v>2.7777777777777777</v>
      </c>
      <c r="G9" s="2">
        <f t="shared" si="1"/>
        <v>-1.2777777777777777</v>
      </c>
      <c r="I9" t="s">
        <v>28</v>
      </c>
      <c r="J9" s="2">
        <f>AVERAGEIF($D$5:$D$19,1,$E$5:$E$19)</f>
        <v>1.5</v>
      </c>
      <c r="K9">
        <f>J9*COUNTIF($D$5:$D$19,1)</f>
        <v>9</v>
      </c>
    </row>
    <row r="10" spans="2:12" x14ac:dyDescent="0.25">
      <c r="B10">
        <v>6</v>
      </c>
      <c r="C10">
        <v>1</v>
      </c>
      <c r="D10">
        <v>0</v>
      </c>
      <c r="E10">
        <v>1</v>
      </c>
      <c r="F10" s="2">
        <f t="shared" si="0"/>
        <v>2.7777777777777777</v>
      </c>
      <c r="J10" s="2"/>
    </row>
    <row r="11" spans="2:12" x14ac:dyDescent="0.25">
      <c r="B11">
        <v>7</v>
      </c>
      <c r="C11">
        <v>1</v>
      </c>
      <c r="D11">
        <v>0</v>
      </c>
      <c r="E11">
        <v>1</v>
      </c>
      <c r="F11" s="2">
        <f t="shared" si="0"/>
        <v>2.7777777777777777</v>
      </c>
      <c r="J11" s="2"/>
    </row>
    <row r="12" spans="2:12" x14ac:dyDescent="0.25">
      <c r="B12">
        <v>8</v>
      </c>
      <c r="C12">
        <v>2</v>
      </c>
      <c r="D12">
        <v>0</v>
      </c>
      <c r="E12">
        <v>2</v>
      </c>
      <c r="F12" s="2">
        <f>$J$15</f>
        <v>2.7777777777777777</v>
      </c>
      <c r="I12" t="s">
        <v>29</v>
      </c>
      <c r="J12" s="2">
        <f>AVERAGEIF($D$5:$D$19,0,$E$5:$E$19)</f>
        <v>2.7777777777777777</v>
      </c>
      <c r="K12">
        <f>J12*COUNTIF($D$5:$D$19,0)</f>
        <v>25</v>
      </c>
    </row>
    <row r="13" spans="2:12" x14ac:dyDescent="0.25">
      <c r="B13">
        <v>9</v>
      </c>
      <c r="C13">
        <v>2</v>
      </c>
      <c r="D13">
        <v>0</v>
      </c>
      <c r="E13">
        <v>2</v>
      </c>
      <c r="F13" s="2">
        <f t="shared" si="0"/>
        <v>2.7777777777777777</v>
      </c>
    </row>
    <row r="14" spans="2:12" x14ac:dyDescent="0.25">
      <c r="B14">
        <v>10</v>
      </c>
      <c r="C14">
        <v>2</v>
      </c>
      <c r="D14">
        <v>1</v>
      </c>
      <c r="E14">
        <v>2</v>
      </c>
      <c r="F14" s="2">
        <f t="shared" si="0"/>
        <v>2.7777777777777777</v>
      </c>
      <c r="G14" s="2">
        <f>$J$16</f>
        <v>-1.2777777777777777</v>
      </c>
      <c r="I14" t="s">
        <v>30</v>
      </c>
      <c r="J14" t="s">
        <v>1</v>
      </c>
      <c r="K14" t="s">
        <v>16</v>
      </c>
    </row>
    <row r="15" spans="2:12" x14ac:dyDescent="0.25">
      <c r="B15">
        <v>11</v>
      </c>
      <c r="C15">
        <v>2</v>
      </c>
      <c r="D15">
        <v>1</v>
      </c>
      <c r="E15">
        <v>2</v>
      </c>
      <c r="F15" s="2">
        <f t="shared" si="0"/>
        <v>2.7777777777777777</v>
      </c>
      <c r="G15" s="2">
        <f t="shared" ref="G15:G16" si="2">$J$16</f>
        <v>-1.2777777777777777</v>
      </c>
      <c r="I15" t="s">
        <v>31</v>
      </c>
      <c r="J15" s="2">
        <f>J12</f>
        <v>2.7777777777777777</v>
      </c>
      <c r="K15" s="6">
        <f>J15*COUNT($E$5:$E$19)</f>
        <v>41.666666666666664</v>
      </c>
      <c r="L15" s="2"/>
    </row>
    <row r="16" spans="2:12" x14ac:dyDescent="0.25">
      <c r="B16">
        <v>12</v>
      </c>
      <c r="C16">
        <v>2</v>
      </c>
      <c r="D16">
        <v>1</v>
      </c>
      <c r="E16">
        <v>2</v>
      </c>
      <c r="F16" s="2">
        <f t="shared" si="0"/>
        <v>2.7777777777777777</v>
      </c>
      <c r="G16" s="2">
        <f t="shared" si="2"/>
        <v>-1.2777777777777777</v>
      </c>
      <c r="I16" t="s">
        <v>32</v>
      </c>
      <c r="J16" s="2">
        <f>J9-J15</f>
        <v>-1.2777777777777777</v>
      </c>
      <c r="K16">
        <f>J16*COUNTIF($D$5:$D$19,1)</f>
        <v>-7.6666666666666661</v>
      </c>
      <c r="L16" s="2"/>
    </row>
    <row r="17" spans="2:14" x14ac:dyDescent="0.25">
      <c r="B17">
        <v>13</v>
      </c>
      <c r="C17">
        <v>2</v>
      </c>
      <c r="D17">
        <v>0</v>
      </c>
      <c r="E17">
        <v>2</v>
      </c>
      <c r="F17" s="2">
        <f t="shared" si="0"/>
        <v>2.7777777777777777</v>
      </c>
      <c r="J17" s="2"/>
      <c r="K17" s="6">
        <f>SUM(K15:K16)</f>
        <v>34</v>
      </c>
      <c r="L17" t="b">
        <f>K17=E20</f>
        <v>1</v>
      </c>
    </row>
    <row r="18" spans="2:14" x14ac:dyDescent="0.25">
      <c r="B18">
        <v>14</v>
      </c>
      <c r="C18">
        <v>2</v>
      </c>
      <c r="D18">
        <v>0</v>
      </c>
      <c r="E18">
        <v>13</v>
      </c>
      <c r="F18" s="2">
        <f t="shared" si="0"/>
        <v>2.7777777777777777</v>
      </c>
      <c r="J18" s="2"/>
      <c r="K18" s="6"/>
    </row>
    <row r="19" spans="2:14" x14ac:dyDescent="0.25">
      <c r="B19">
        <v>15</v>
      </c>
      <c r="C19">
        <v>2</v>
      </c>
      <c r="D19">
        <v>0</v>
      </c>
      <c r="E19">
        <v>2</v>
      </c>
      <c r="F19" s="2">
        <f t="shared" si="0"/>
        <v>2.7777777777777777</v>
      </c>
    </row>
    <row r="20" spans="2:14" x14ac:dyDescent="0.25">
      <c r="D20" t="s">
        <v>19</v>
      </c>
      <c r="E20" s="7">
        <f>SUM(E5:E19)</f>
        <v>34</v>
      </c>
      <c r="I20" s="4" t="s">
        <v>34</v>
      </c>
      <c r="J20" s="4"/>
      <c r="K20" s="4"/>
    </row>
    <row r="22" spans="2:14" x14ac:dyDescent="0.25">
      <c r="J22" s="2" t="s">
        <v>1</v>
      </c>
      <c r="K22" t="s">
        <v>16</v>
      </c>
      <c r="M22" t="s">
        <v>0</v>
      </c>
      <c r="N22" t="s">
        <v>26</v>
      </c>
    </row>
    <row r="23" spans="2:14" x14ac:dyDescent="0.25">
      <c r="I23" t="s">
        <v>41</v>
      </c>
      <c r="J23" s="2">
        <f>AVERAGEIFS($E$5:$E$19,$D$5:$D$19,M23)</f>
        <v>1.5</v>
      </c>
      <c r="K23">
        <f>J23*COUNTIF($D$5:$D$19,M23)</f>
        <v>9</v>
      </c>
      <c r="L23" t="b">
        <f>K23=SUM(K24:K25)</f>
        <v>1</v>
      </c>
      <c r="M23">
        <v>1</v>
      </c>
    </row>
    <row r="24" spans="2:14" x14ac:dyDescent="0.25">
      <c r="I24" t="s">
        <v>39</v>
      </c>
      <c r="J24" s="2">
        <f>AVERAGEIFS($E$5:$E$19,$D$5:$D$19,M24,$C$5:$C$19,N24)</f>
        <v>1</v>
      </c>
      <c r="K24">
        <f>J24*COUNTIFS($D$5:$D$19,M24,$C$5:$C$19,N24)</f>
        <v>3</v>
      </c>
      <c r="M24">
        <v>1</v>
      </c>
      <c r="N24">
        <v>1</v>
      </c>
    </row>
    <row r="25" spans="2:14" x14ac:dyDescent="0.25">
      <c r="I25" t="s">
        <v>40</v>
      </c>
      <c r="J25" s="2">
        <f t="shared" ref="J25:J28" si="3">AVERAGEIFS($E$5:$E$19,$D$5:$D$19,M25,$C$5:$C$19,N25)</f>
        <v>2</v>
      </c>
      <c r="K25">
        <f>J25*COUNTIFS($D$5:$D$19,M25,$C$5:$C$19,N25)</f>
        <v>6</v>
      </c>
      <c r="M25">
        <v>1</v>
      </c>
      <c r="N25">
        <v>2</v>
      </c>
    </row>
    <row r="26" spans="2:14" x14ac:dyDescent="0.25">
      <c r="I26" t="s">
        <v>42</v>
      </c>
      <c r="J26" s="2">
        <f>AVERAGEIFS($E$5:$E$19,$D$5:$D$19,M26)</f>
        <v>2.7777777777777777</v>
      </c>
      <c r="K26">
        <f>J26*COUNTIF($D$5:$D$19,M26)</f>
        <v>25</v>
      </c>
      <c r="L26" t="b">
        <f>K26=SUM(K27:K28)</f>
        <v>1</v>
      </c>
      <c r="M26">
        <v>0</v>
      </c>
    </row>
    <row r="27" spans="2:14" x14ac:dyDescent="0.25">
      <c r="I27" t="s">
        <v>37</v>
      </c>
      <c r="J27" s="2">
        <f t="shared" si="3"/>
        <v>1</v>
      </c>
      <c r="K27">
        <f>J27*COUNTIFS($D$5:$D$19,M27,$C$5:$C$19,N27)</f>
        <v>4</v>
      </c>
      <c r="M27">
        <v>0</v>
      </c>
      <c r="N27">
        <v>1</v>
      </c>
    </row>
    <row r="28" spans="2:14" x14ac:dyDescent="0.25">
      <c r="I28" t="s">
        <v>38</v>
      </c>
      <c r="J28" s="2">
        <f t="shared" si="3"/>
        <v>4.2</v>
      </c>
      <c r="K28">
        <f>J28*COUNTIFS($D$5:$D$19,M28,$C$5:$C$19,N28)</f>
        <v>21</v>
      </c>
      <c r="M28">
        <v>0</v>
      </c>
      <c r="N28">
        <v>2</v>
      </c>
    </row>
    <row r="29" spans="2:14" x14ac:dyDescent="0.25">
      <c r="L29" t="b">
        <f>SUM(K23,K26)=E20</f>
        <v>1</v>
      </c>
    </row>
    <row r="33" spans="9:14" x14ac:dyDescent="0.25">
      <c r="I33" t="s">
        <v>30</v>
      </c>
      <c r="J33" s="2" t="s">
        <v>1</v>
      </c>
      <c r="K33" t="s">
        <v>16</v>
      </c>
    </row>
    <row r="34" spans="9:14" x14ac:dyDescent="0.25">
      <c r="I34" t="s">
        <v>31</v>
      </c>
      <c r="J34" s="2">
        <f>J26</f>
        <v>2.7777777777777777</v>
      </c>
      <c r="K34" s="6">
        <f>J34*COUNT($E$5:$E$19)</f>
        <v>41.666666666666664</v>
      </c>
    </row>
    <row r="35" spans="9:14" x14ac:dyDescent="0.25">
      <c r="I35" t="s">
        <v>35</v>
      </c>
      <c r="J35" s="2">
        <f>J24-J26</f>
        <v>-1.7777777777777777</v>
      </c>
      <c r="K35" s="2">
        <f>J35*COUNTIFS($D$5:$D$19,M35,$C$5:$C$19,N35)</f>
        <v>-5.333333333333333</v>
      </c>
      <c r="M35">
        <v>1</v>
      </c>
      <c r="N35">
        <v>1</v>
      </c>
    </row>
    <row r="36" spans="9:14" x14ac:dyDescent="0.25">
      <c r="I36" t="s">
        <v>36</v>
      </c>
      <c r="J36" s="2">
        <f>J25-J26</f>
        <v>-0.77777777777777768</v>
      </c>
      <c r="K36" s="2">
        <f>J36*COUNTIFS($D$5:$D$19,M36,$C$5:$C$19,N36)</f>
        <v>-2.333333333333333</v>
      </c>
      <c r="M36">
        <v>1</v>
      </c>
      <c r="N36">
        <v>2</v>
      </c>
    </row>
    <row r="37" spans="9:14" x14ac:dyDescent="0.25">
      <c r="K37" s="6">
        <f>SUM(K34:K36)</f>
        <v>33.999999999999993</v>
      </c>
      <c r="L37" t="b">
        <f>K37=$E$20</f>
        <v>1</v>
      </c>
    </row>
    <row r="40" spans="9:14" x14ac:dyDescent="0.25">
      <c r="I40" t="s">
        <v>30</v>
      </c>
      <c r="J40" s="2" t="s">
        <v>1</v>
      </c>
      <c r="K40" t="s">
        <v>16</v>
      </c>
    </row>
    <row r="41" spans="9:14" x14ac:dyDescent="0.25">
      <c r="I41" t="s">
        <v>43</v>
      </c>
      <c r="J41" s="2">
        <f>J27</f>
        <v>1</v>
      </c>
      <c r="K41" s="6">
        <f>J41*COUNTIF($C$5:$C$19,N41)</f>
        <v>7</v>
      </c>
      <c r="N41">
        <v>1</v>
      </c>
    </row>
    <row r="42" spans="9:14" x14ac:dyDescent="0.25">
      <c r="I42" t="s">
        <v>44</v>
      </c>
      <c r="J42" s="2">
        <f>J28</f>
        <v>4.2</v>
      </c>
      <c r="K42" s="6">
        <f>J42*COUNTIF($C$5:$C$19,N42)</f>
        <v>33.6</v>
      </c>
      <c r="N42">
        <v>2</v>
      </c>
    </row>
    <row r="43" spans="9:14" x14ac:dyDescent="0.25">
      <c r="I43" t="s">
        <v>32</v>
      </c>
      <c r="J43" s="2">
        <f>J23-J26</f>
        <v>-1.2777777777777777</v>
      </c>
      <c r="K43" s="8">
        <f>J43*COUNTIFS($D$5:$D$19,M43)</f>
        <v>-7.6666666666666661</v>
      </c>
      <c r="M43">
        <v>1</v>
      </c>
    </row>
    <row r="44" spans="9:14" x14ac:dyDescent="0.25">
      <c r="K44" s="7">
        <f>SUM(K41:K43)</f>
        <v>32.933333333333337</v>
      </c>
      <c r="L44" t="b">
        <f>K44=$E$20</f>
        <v>0</v>
      </c>
    </row>
    <row r="46" spans="9:14" x14ac:dyDescent="0.25">
      <c r="I46" t="s">
        <v>51</v>
      </c>
      <c r="J46" s="2">
        <f>(K41+K42)/COUNT($D$5:$D$19)</f>
        <v>2.7066666666666666</v>
      </c>
    </row>
    <row r="47" spans="9:14" x14ac:dyDescent="0.25">
      <c r="I47" t="s">
        <v>52</v>
      </c>
      <c r="J47" s="2">
        <f>J23-J46</f>
        <v>-1.2066666666666666</v>
      </c>
      <c r="K47">
        <f>J47*COUNTIFS($D$5:$D$19,M47)</f>
        <v>-7.2399999999999993</v>
      </c>
      <c r="M47">
        <v>1</v>
      </c>
    </row>
    <row r="48" spans="9:14" x14ac:dyDescent="0.25">
      <c r="J48" s="2"/>
      <c r="K48" s="7">
        <f>SUM(K47)+SUM(K41:K42)</f>
        <v>33.36</v>
      </c>
      <c r="L48" t="b">
        <f>K48=$E$20</f>
        <v>0</v>
      </c>
    </row>
    <row r="49" spans="10:10" x14ac:dyDescent="0.25">
      <c r="J49" s="2"/>
    </row>
  </sheetData>
  <conditionalFormatting sqref="L29 L26 L23">
    <cfRule type="cellIs" dxfId="4" priority="7" operator="equal">
      <formula>FALSE</formula>
    </cfRule>
  </conditionalFormatting>
  <conditionalFormatting sqref="L37">
    <cfRule type="cellIs" dxfId="3" priority="6" operator="equal">
      <formula>FALSE</formula>
    </cfRule>
  </conditionalFormatting>
  <conditionalFormatting sqref="L44">
    <cfRule type="cellIs" dxfId="2" priority="4" operator="equal">
      <formula>FALSE</formula>
    </cfRule>
  </conditionalFormatting>
  <conditionalFormatting sqref="L17">
    <cfRule type="cellIs" dxfId="1" priority="3" operator="equal">
      <formula>FALSE</formula>
    </cfRule>
  </conditionalFormatting>
  <conditionalFormatting sqref="L48">
    <cfRule type="cellIs" dxfId="0" priority="2" operator="equal">
      <formula>FALSE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Base-Peak</vt:lpstr>
      <vt:lpstr>Base-Peak Q-Cal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Aeberhard Daniel, FD/MH/MHS/MHSO</dc:creator>
  <cp:lastModifiedBy>Aeberhard Daniel, BKW Energie AG</cp:lastModifiedBy>
  <dcterms:created xsi:type="dcterms:W3CDTF">2022-02-25T10:22:54Z</dcterms:created>
  <dcterms:modified xsi:type="dcterms:W3CDTF">2022-07-14T13:34:46Z</dcterms:modified>
</cp:coreProperties>
</file>