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425\felling_ticket\"/>
    </mc:Choice>
  </mc:AlternateContent>
  <xr:revisionPtr revIDLastSave="0" documentId="8_{6B69BCD9-123B-4BA7-BD46-CD4B2552628D}" xr6:coauthVersionLast="45" xr6:coauthVersionMax="45" xr10:uidLastSave="{00000000-0000-0000-0000-000000000000}"/>
  <bookViews>
    <workbookView xWindow="1140" yWindow="2595" windowWidth="21600" windowHeight="11385" xr2:uid="{00000000-000D-0000-FFFF-FFFF00000000}"/>
  </bookViews>
  <sheets>
    <sheet name="1" sheetId="1" r:id="rId1"/>
    <sheet name="Списки" sheetId="2" r:id="rId2"/>
    <sheet name="Объемы на смету" sheetId="3" r:id="rId3"/>
  </sheets>
  <definedNames>
    <definedName name="_xlnm._FilterDatabase" localSheetId="1" hidden="1">Списки!$B$1:$D$80</definedName>
    <definedName name="_xlnm.Print_Titles" localSheetId="0">'1'!$5:$6</definedName>
    <definedName name="Заключение">Списки!$I$2:$I$4</definedName>
    <definedName name="Конец">'1'!A$247</definedName>
    <definedName name="НаименованиеПород">Списки!$B$2:$B$80</definedName>
    <definedName name="_xlnm.Print_Area" localSheetId="0">'1'!$A$1:$K$31</definedName>
    <definedName name="_xlnm.Print_Area" localSheetId="2">'Объемы на смету'!$A$1:$G$23</definedName>
    <definedName name="Примечание">Списки!$K$2:$K$25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41" i="3" l="1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U33" i="3"/>
  <c r="T33" i="3"/>
  <c r="S33" i="3"/>
  <c r="R33" i="3"/>
  <c r="Q33" i="3"/>
  <c r="P33" i="3"/>
  <c r="O33" i="3"/>
  <c r="N33" i="3"/>
  <c r="M33" i="3"/>
  <c r="L33" i="3"/>
  <c r="F14" i="3"/>
  <c r="G14" i="3" s="1"/>
  <c r="E14" i="3"/>
  <c r="C14" i="3"/>
  <c r="D14" i="3" s="1"/>
  <c r="B14" i="3"/>
  <c r="F13" i="3"/>
  <c r="G13" i="3" s="1"/>
  <c r="E13" i="3"/>
  <c r="C13" i="3"/>
  <c r="D13" i="3" s="1"/>
  <c r="B13" i="3"/>
  <c r="F12" i="3"/>
  <c r="G12" i="3" s="1"/>
  <c r="E12" i="3"/>
  <c r="C12" i="3"/>
  <c r="D12" i="3" s="1"/>
  <c r="B12" i="3"/>
  <c r="F11" i="3"/>
  <c r="G11" i="3" s="1"/>
  <c r="E11" i="3"/>
  <c r="C11" i="3"/>
  <c r="D11" i="3" s="1"/>
  <c r="B11" i="3"/>
  <c r="F10" i="3"/>
  <c r="G10" i="3" s="1"/>
  <c r="E10" i="3"/>
  <c r="C10" i="3" a="1"/>
  <c r="C10" i="3"/>
  <c r="D10" i="3" s="1"/>
  <c r="B10" i="3"/>
  <c r="F9" i="3"/>
  <c r="G9" i="3" s="1"/>
  <c r="E9" i="3"/>
  <c r="C9" i="3"/>
  <c r="D9" i="3" s="1"/>
  <c r="B9" i="3"/>
  <c r="F8" i="3"/>
  <c r="G8" i="3" s="1"/>
  <c r="E8" i="3"/>
  <c r="C8" i="3"/>
  <c r="D8" i="3" s="1"/>
  <c r="B8" i="3"/>
  <c r="F7" i="3"/>
  <c r="G7" i="3" s="1"/>
  <c r="E7" i="3"/>
  <c r="C7" i="3"/>
  <c r="D7" i="3" s="1"/>
  <c r="B7" i="3"/>
  <c r="F6" i="3"/>
  <c r="F15" i="3" s="1"/>
  <c r="E6" i="3"/>
  <c r="E15" i="3" s="1"/>
  <c r="C6" i="3"/>
  <c r="C15" i="3" s="1"/>
  <c r="B6" i="3"/>
  <c r="B15" i="3" s="1"/>
  <c r="A1" i="3"/>
  <c r="D80" i="2"/>
  <c r="D79" i="2"/>
  <c r="D78" i="2"/>
  <c r="D77" i="2"/>
  <c r="D76" i="2"/>
  <c r="D75" i="2"/>
  <c r="D74" i="2"/>
  <c r="D73" i="2"/>
  <c r="D72" i="2"/>
  <c r="D71" i="2"/>
  <c r="D70" i="2"/>
  <c r="D69" i="2"/>
  <c r="D67" i="2"/>
  <c r="D66" i="2"/>
  <c r="D64" i="2"/>
  <c r="D62" i="2"/>
  <c r="D61" i="2"/>
  <c r="D60" i="2"/>
  <c r="D59" i="2"/>
  <c r="D58" i="2"/>
  <c r="D57" i="2"/>
  <c r="D56" i="2"/>
  <c r="D53" i="2"/>
  <c r="D52" i="2"/>
  <c r="D51" i="2"/>
  <c r="D50" i="2"/>
  <c r="D48" i="2"/>
  <c r="D47" i="2"/>
  <c r="D46" i="2"/>
  <c r="D43" i="2"/>
  <c r="D42" i="2"/>
  <c r="D41" i="2"/>
  <c r="D40" i="2"/>
  <c r="D39" i="2"/>
  <c r="D38" i="2"/>
  <c r="D37" i="2"/>
  <c r="D36" i="2"/>
  <c r="D35" i="2"/>
  <c r="D34" i="2"/>
  <c r="D33" i="2"/>
  <c r="D31" i="2"/>
  <c r="D30" i="2"/>
  <c r="D29" i="2"/>
  <c r="D28" i="2"/>
  <c r="D27" i="2"/>
  <c r="D26" i="2"/>
  <c r="D25" i="2"/>
  <c r="D24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O250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D41" i="1" s="1"/>
  <c r="C33" i="1"/>
  <c r="C41" i="1" s="1"/>
  <c r="G26" i="1"/>
  <c r="D26" i="1"/>
  <c r="C26" i="1"/>
  <c r="G25" i="1"/>
  <c r="D25" i="1"/>
  <c r="C25" i="1"/>
  <c r="D24" i="1"/>
  <c r="D23" i="1"/>
  <c r="D22" i="1"/>
  <c r="D21" i="1"/>
  <c r="C21" i="1"/>
  <c r="P19" i="1"/>
  <c r="J19" i="1" s="1"/>
  <c r="C15" i="1"/>
  <c r="P17" i="1" s="1"/>
  <c r="J17" i="1" s="1"/>
  <c r="J14" i="1"/>
  <c r="J13" i="1"/>
  <c r="D13" i="1"/>
  <c r="J12" i="1"/>
  <c r="J15" i="1" s="1"/>
  <c r="D12" i="1"/>
  <c r="D11" i="1"/>
  <c r="C11" i="1"/>
  <c r="D10" i="1"/>
  <c r="N9" i="1"/>
  <c r="M9" i="1"/>
  <c r="N7" i="1"/>
  <c r="C16" i="1" s="1"/>
  <c r="M7" i="1"/>
  <c r="J7" i="1"/>
  <c r="D20" i="1" s="1"/>
  <c r="O4" i="1"/>
  <c r="G6" i="3" l="1"/>
  <c r="G15" i="3" s="1"/>
  <c r="C17" i="1"/>
  <c r="C19" i="1"/>
  <c r="D6" i="3"/>
  <c r="D15" i="3" s="1"/>
  <c r="C20" i="1"/>
  <c r="D15" i="1"/>
  <c r="P18" i="1" s="1"/>
  <c r="J18" i="1" s="1"/>
  <c r="J20" i="1" s="1"/>
  <c r="C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</author>
    <author>Руслана Александрова</author>
  </authors>
  <commentList>
    <comment ref="A2" authorId="0" shapeId="0" xr:uid="{00000000-0006-0000-0000-000001000000}">
      <text>
        <r>
          <rPr>
            <sz val="10"/>
            <rFont val="Arial Cyr"/>
            <charset val="204"/>
          </rPr>
          <t xml:space="preserve">В этой строке следует указать адрес
</t>
        </r>
      </text>
    </comment>
    <comment ref="E3" authorId="0" shapeId="0" xr:uid="{00000000-0006-0000-0000-000002000000}">
      <text>
        <r>
          <rPr>
            <sz val="10"/>
            <rFont val="Arial Cyr"/>
            <charset val="204"/>
          </rPr>
          <t xml:space="preserve">Поле для ввода значения коэффициента КМ.
(возм.значения: 1; 2,5; 4)
</t>
        </r>
      </text>
    </comment>
    <comment ref="H3" authorId="0" shapeId="0" xr:uid="{00000000-0006-0000-0000-000003000000}">
      <text>
        <r>
          <rPr>
            <sz val="10"/>
            <rFont val="Arial Cyr"/>
            <charset val="204"/>
          </rPr>
          <t xml:space="preserve">Поле для ввода значения коэффициента КВ.
(возм.значения: 1; 2)
</t>
        </r>
      </text>
    </comment>
    <comment ref="K3" authorId="0" shapeId="0" xr:uid="{00000000-0006-0000-0000-000004000000}">
      <text>
        <r>
          <rPr>
            <sz val="10"/>
            <rFont val="Arial Cyr"/>
            <charset val="204"/>
          </rPr>
          <t>Изменять не рекомендуется!
Расчет производится согласно данного значения: 4,1615</t>
        </r>
      </text>
    </comment>
    <comment ref="E4" authorId="0" shapeId="0" xr:uid="{00000000-0006-0000-0000-000005000000}">
      <text>
        <r>
          <rPr>
            <sz val="10"/>
            <rFont val="Arial Cyr"/>
            <charset val="204"/>
          </rPr>
          <t xml:space="preserve">Поле для ввода значения коэффициента КБ.
(возм.значения: 1,2; 1,5; 3,3)
</t>
        </r>
      </text>
    </comment>
    <comment ref="H4" authorId="0" shapeId="0" xr:uid="{00000000-0006-0000-0000-000006000000}">
      <text>
        <r>
          <rPr>
            <sz val="10"/>
            <rFont val="Arial Cyr"/>
            <charset val="204"/>
          </rPr>
          <t xml:space="preserve">Поле для ввода значения коэффициента увеличения ст-сти комп.озеленения.
(возм.значения: 1-гор.заказ; 2-прочее)
</t>
        </r>
      </text>
    </comment>
    <comment ref="K4" authorId="0" shapeId="0" xr:uid="{00000000-0006-0000-0000-000007000000}">
      <text>
        <r>
          <rPr>
            <sz val="10"/>
            <rFont val="Arial Cyr"/>
            <charset val="204"/>
          </rPr>
          <t xml:space="preserve">Изменять не рекомендуется!
Расчет производится согласно данного значения: 1,05
</t>
        </r>
      </text>
    </comment>
    <comment ref="B5" authorId="1" shapeId="0" xr:uid="{00000000-0006-0000-0000-000008000000}">
      <text>
        <r>
          <rPr>
            <sz val="10"/>
            <rFont val="Arial Cyr"/>
            <charset val="204"/>
          </rPr>
          <t>Выберите породу зен.насаждения.
ВАЖНО! Деревья указаны с заглавной буквы;
кустарник- с прописной.</t>
        </r>
      </text>
    </comment>
    <comment ref="H10" authorId="1" shapeId="0" xr:uid="{00000000-0006-0000-0000-000009000000}">
      <text>
        <r>
          <rPr>
            <sz val="10"/>
            <rFont val="Arial Cyr"/>
            <charset val="204"/>
          </rPr>
          <t xml:space="preserve">Информационно ввести
ОБЩУЮ площадь травяного покрова
</t>
        </r>
      </text>
    </comment>
    <comment ref="H11" authorId="1" shapeId="0" xr:uid="{00000000-0006-0000-0000-00000A000000}">
      <text>
        <r>
          <rPr>
            <sz val="10"/>
            <rFont val="Arial Cyr"/>
            <charset val="204"/>
          </rPr>
          <t xml:space="preserve">Указать площадь УНИЧТОЖАЕМОГО травяного покрова
(используется для расчета, см.ниже)
</t>
        </r>
      </text>
    </comment>
    <comment ref="H12" authorId="1" shapeId="0" xr:uid="{00000000-0006-0000-0000-00000B000000}">
      <text>
        <r>
          <rPr>
            <sz val="10"/>
            <rFont val="Arial Cyr"/>
            <charset val="204"/>
          </rPr>
          <t>РАСЧЕТНЫЙ  БЛОК</t>
        </r>
      </text>
    </comment>
  </commentList>
</comments>
</file>

<file path=xl/sharedStrings.xml><?xml version="1.0" encoding="utf-8"?>
<sst xmlns="http://schemas.openxmlformats.org/spreadsheetml/2006/main" count="271" uniqueCount="219">
  <si>
    <t xml:space="preserve">ПЕРЕЧЕТНАЯ  ВЕДОМОСТЬ  ДЕРЕВЬЕВ  И  КУСТАРНИКОВ </t>
  </si>
  <si>
    <t>формат</t>
  </si>
  <si>
    <t>1.02</t>
  </si>
  <si>
    <t>Перечетная ведомость деревьев и кустарников по адресу: г. Москва, ЮЗАО,Ленинский просп. 123 к.4</t>
  </si>
  <si>
    <t xml:space="preserve">Коэфф.поправки на местополож.(1,0- 2,5- 4,0) (КМ)  - </t>
  </si>
  <si>
    <t xml:space="preserve">(КВ) Коэфф.поправки на водоохр. ценность (1,0-2,0) - </t>
  </si>
  <si>
    <t>Коэфф.индексации стоимости строительных работ</t>
  </si>
  <si>
    <t>Гор. заказ-2;
 комм. -1</t>
  </si>
  <si>
    <t xml:space="preserve">Коэфф.благоустройства (1,2- 1,5- 3,3) (КБ) - </t>
  </si>
  <si>
    <t xml:space="preserve">Коэф.увелич.ст-ти комп.озеленения.(1,0-2,0)- </t>
  </si>
  <si>
    <t>Коэфф.,учитывающий затраты на проектирование</t>
  </si>
  <si>
    <t>№№</t>
  </si>
  <si>
    <t xml:space="preserve">Наименование </t>
  </si>
  <si>
    <t xml:space="preserve">  Кол-во в шт.</t>
  </si>
  <si>
    <t>Диаметр,</t>
  </si>
  <si>
    <t>Воз-</t>
  </si>
  <si>
    <t>Высота</t>
  </si>
  <si>
    <t xml:space="preserve">Характеристика состояния </t>
  </si>
  <si>
    <t>Заклю-</t>
  </si>
  <si>
    <t>Компенса-</t>
  </si>
  <si>
    <t>Примечание</t>
  </si>
  <si>
    <t>Количество стволов</t>
  </si>
  <si>
    <t>п/п</t>
  </si>
  <si>
    <t xml:space="preserve">пород </t>
  </si>
  <si>
    <t>Дере-вьев</t>
  </si>
  <si>
    <t>Кустар-ников</t>
  </si>
  <si>
    <t>см</t>
  </si>
  <si>
    <t>раст, лет</t>
  </si>
  <si>
    <t>м</t>
  </si>
  <si>
    <t>зеленых насаждений</t>
  </si>
  <si>
    <t>чение</t>
  </si>
  <si>
    <t>ционная стоимость</t>
  </si>
  <si>
    <t>Коли-чество</t>
  </si>
  <si>
    <t>код породы</t>
  </si>
  <si>
    <t>шт.</t>
  </si>
  <si>
    <t>1</t>
  </si>
  <si>
    <t>Клен</t>
  </si>
  <si>
    <t>24</t>
  </si>
  <si>
    <t>42</t>
  </si>
  <si>
    <t>5</t>
  </si>
  <si>
    <t>Вырубить</t>
  </si>
  <si>
    <t>Итого:</t>
  </si>
  <si>
    <t xml:space="preserve">Общая площадь  травяного покрова  </t>
  </si>
  <si>
    <t>кв.м</t>
  </si>
  <si>
    <t>Пересадить</t>
  </si>
  <si>
    <t xml:space="preserve">в т.ч. площадь уничтожаемого трав.покрова  </t>
  </si>
  <si>
    <t>Сохранить</t>
  </si>
  <si>
    <t>Компенсационная стоимость            за  шт.</t>
  </si>
  <si>
    <t>деревьев</t>
  </si>
  <si>
    <t>руб.</t>
  </si>
  <si>
    <t>за  шт.</t>
  </si>
  <si>
    <t>кустарников</t>
  </si>
  <si>
    <t>в т.ч.</t>
  </si>
  <si>
    <t>из них:</t>
  </si>
  <si>
    <t>за  кв. м .</t>
  </si>
  <si>
    <t>трав. покрова</t>
  </si>
  <si>
    <t>за компенсацию</t>
  </si>
  <si>
    <t>Всего</t>
  </si>
  <si>
    <t xml:space="preserve">хвойные </t>
  </si>
  <si>
    <t xml:space="preserve">лиственные I гр. </t>
  </si>
  <si>
    <t>Стоимость компенсационного озеленения:</t>
  </si>
  <si>
    <t>деревья</t>
  </si>
  <si>
    <t xml:space="preserve">лиственные II гр. </t>
  </si>
  <si>
    <t>кустарники</t>
  </si>
  <si>
    <t>лиственные III гр.</t>
  </si>
  <si>
    <t>трав. покров</t>
  </si>
  <si>
    <t>без компенсац.</t>
  </si>
  <si>
    <t>охр. зона ком.</t>
  </si>
  <si>
    <t xml:space="preserve">     Высаживается по проекту благоустройства:</t>
  </si>
  <si>
    <t>аварийное</t>
  </si>
  <si>
    <t>сухостой</t>
  </si>
  <si>
    <t xml:space="preserve">     Создается  по проекту благоустройства:</t>
  </si>
  <si>
    <t>газонов</t>
  </si>
  <si>
    <t>кв. м.</t>
  </si>
  <si>
    <t>неудовлетв.</t>
  </si>
  <si>
    <t>поросль и само-
сев листв. пород</t>
  </si>
  <si>
    <t>Пень</t>
  </si>
  <si>
    <t>5-ти м зона</t>
  </si>
  <si>
    <t>Остолоп</t>
  </si>
  <si>
    <t xml:space="preserve">Зам директора:       </t>
  </si>
  <si>
    <t>Маршавин В.А.</t>
  </si>
  <si>
    <t>Специалист:</t>
  </si>
  <si>
    <t>Щебланов В.В.</t>
  </si>
  <si>
    <t>Дата 31.07.2023 г.</t>
  </si>
  <si>
    <t>размер кома</t>
  </si>
  <si>
    <t>Кол-во дер.</t>
  </si>
  <si>
    <t>Кол-во куст.</t>
  </si>
  <si>
    <t>0,5х0,5х0,4</t>
  </si>
  <si>
    <t>0,8х0,8х0,6</t>
  </si>
  <si>
    <t>1,0х1,0х0,6</t>
  </si>
  <si>
    <t>1,3х1,3х0,6</t>
  </si>
  <si>
    <t>1,5х1,5х0,65</t>
  </si>
  <si>
    <t>1,7х1,7х0,65</t>
  </si>
  <si>
    <t>2,0х2,0х0,8</t>
  </si>
  <si>
    <t>2,4х2,4х0,95</t>
  </si>
  <si>
    <t>порода</t>
  </si>
  <si>
    <t>Код цен-ности</t>
  </si>
  <si>
    <t>заключение</t>
  </si>
  <si>
    <t>примечание</t>
  </si>
  <si>
    <t>диаметр пересадки</t>
  </si>
  <si>
    <t>Акация белая</t>
  </si>
  <si>
    <t>Без компенсац.</t>
  </si>
  <si>
    <t>акация желтая куст</t>
  </si>
  <si>
    <t>барбарис куст</t>
  </si>
  <si>
    <t>Бархат амурский</t>
  </si>
  <si>
    <t>Береза</t>
  </si>
  <si>
    <t>поросль</t>
  </si>
  <si>
    <t>бересклет куст</t>
  </si>
  <si>
    <t>самосев</t>
  </si>
  <si>
    <t>бирючина куст</t>
  </si>
  <si>
    <t>Боярышник</t>
  </si>
  <si>
    <t>учтено ранее*</t>
  </si>
  <si>
    <t>боярышник куст</t>
  </si>
  <si>
    <t>обрезка ветвей</t>
  </si>
  <si>
    <t>бузина куст</t>
  </si>
  <si>
    <t>кронировать</t>
  </si>
  <si>
    <t>Вишня</t>
  </si>
  <si>
    <t>не входит в пятно</t>
  </si>
  <si>
    <t>вишня куст</t>
  </si>
  <si>
    <t>удовлетв.</t>
  </si>
  <si>
    <t>Вяз</t>
  </si>
  <si>
    <t>усыхающее</t>
  </si>
  <si>
    <t>Газон</t>
  </si>
  <si>
    <t>хорошее</t>
  </si>
  <si>
    <t>Груша</t>
  </si>
  <si>
    <t>саженцы</t>
  </si>
  <si>
    <t>дек.-лиственный кустарник</t>
  </si>
  <si>
    <t>дерен куст</t>
  </si>
  <si>
    <t>куст</t>
  </si>
  <si>
    <t>Дуб</t>
  </si>
  <si>
    <t>до 5 см</t>
  </si>
  <si>
    <t>Ель</t>
  </si>
  <si>
    <t>5 см</t>
  </si>
  <si>
    <t>жимолость куст</t>
  </si>
  <si>
    <t>6 см</t>
  </si>
  <si>
    <t>Ива</t>
  </si>
  <si>
    <t>7-9 см</t>
  </si>
  <si>
    <t>ива (поросль)</t>
  </si>
  <si>
    <t>10-12 см</t>
  </si>
  <si>
    <t>Ива белая</t>
  </si>
  <si>
    <t>13-15 см</t>
  </si>
  <si>
    <t>ирга куст</t>
  </si>
  <si>
    <t>Ком земли</t>
  </si>
  <si>
    <t>больше 15 см</t>
  </si>
  <si>
    <t>калина куст</t>
  </si>
  <si>
    <t>Каштан</t>
  </si>
  <si>
    <t>кизильник куст</t>
  </si>
  <si>
    <t>клен куст</t>
  </si>
  <si>
    <t>Клен ясенелистный</t>
  </si>
  <si>
    <t>клен ясенелистный (поросль)</t>
  </si>
  <si>
    <t>крушина куст</t>
  </si>
  <si>
    <t>кустарник разный</t>
  </si>
  <si>
    <t>лещина куст</t>
  </si>
  <si>
    <t>Лжетсуга</t>
  </si>
  <si>
    <t>лиана куст</t>
  </si>
  <si>
    <t>Липа</t>
  </si>
  <si>
    <t>Лиственница</t>
  </si>
  <si>
    <t>можжевельник куст</t>
  </si>
  <si>
    <t>Ольха</t>
  </si>
  <si>
    <t>Орех</t>
  </si>
  <si>
    <t>Осина</t>
  </si>
  <si>
    <t>Пихта</t>
  </si>
  <si>
    <t>пл.-ягодный кустарник</t>
  </si>
  <si>
    <t>Плодовое</t>
  </si>
  <si>
    <t>пузыреплодник куст</t>
  </si>
  <si>
    <t>ракитник куст</t>
  </si>
  <si>
    <t>роза куст</t>
  </si>
  <si>
    <t>Рябина</t>
  </si>
  <si>
    <t>Саженцы</t>
  </si>
  <si>
    <t>Самосев до 8 см.</t>
  </si>
  <si>
    <t>сирень куст</t>
  </si>
  <si>
    <t>Слива</t>
  </si>
  <si>
    <t>слива куст</t>
  </si>
  <si>
    <t>смородина куст</t>
  </si>
  <si>
    <t>снежноягодник куст</t>
  </si>
  <si>
    <t>Сосна</t>
  </si>
  <si>
    <t>спирея куст</t>
  </si>
  <si>
    <t>Сухостой</t>
  </si>
  <si>
    <t>Тополь</t>
  </si>
  <si>
    <t>тополь (поросль)</t>
  </si>
  <si>
    <t>Тополь белый</t>
  </si>
  <si>
    <t>Тополь пирамидальный</t>
  </si>
  <si>
    <t>Травяной покров</t>
  </si>
  <si>
    <t>Туя</t>
  </si>
  <si>
    <t>туя куст</t>
  </si>
  <si>
    <t>хвойный кустарник</t>
  </si>
  <si>
    <t>Черемуха</t>
  </si>
  <si>
    <t>черемуха куст</t>
  </si>
  <si>
    <t>чубушник куст</t>
  </si>
  <si>
    <t>Экзот</t>
  </si>
  <si>
    <t>Яблоня</t>
  </si>
  <si>
    <t>Ясень</t>
  </si>
  <si>
    <t>*******************      ко/куст.</t>
  </si>
  <si>
    <t>*******************    ко/трава</t>
  </si>
  <si>
    <t>*******************     ко/дер.</t>
  </si>
  <si>
    <t>группа пород</t>
  </si>
  <si>
    <t>2</t>
  </si>
  <si>
    <t>Сводка по вырубке деревьев</t>
  </si>
  <si>
    <t>Диаметр ствола (до)</t>
  </si>
  <si>
    <t>Мягколиственные</t>
  </si>
  <si>
    <t>Твердолиственные</t>
  </si>
  <si>
    <t>кол-во (дер.)</t>
  </si>
  <si>
    <t>кол-во (ств.)</t>
  </si>
  <si>
    <t>объем(т)</t>
  </si>
  <si>
    <t>16см</t>
  </si>
  <si>
    <t>20см</t>
  </si>
  <si>
    <t>24см</t>
  </si>
  <si>
    <t>28см</t>
  </si>
  <si>
    <t>32см</t>
  </si>
  <si>
    <t>45см</t>
  </si>
  <si>
    <t>55см</t>
  </si>
  <si>
    <t>65см</t>
  </si>
  <si>
    <t>75см и более</t>
  </si>
  <si>
    <t>Инженер-дендролог</t>
  </si>
  <si>
    <t>Тумаков А.В.</t>
  </si>
  <si>
    <t>Дата:</t>
  </si>
  <si>
    <t>22.08.2006</t>
  </si>
  <si>
    <t>процент восстановл</t>
  </si>
  <si>
    <t>Кол-во дер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</si>
</sst>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2">
    <font>
      <sz val="10"/>
      <name val="Arial Cyr"/>
      <charset val="204"/>
    </font>
    <font>
      <u/>
      <sz val="10"/>
      <color indexed="12"/>
      <name val="Arial Cyr"/>
      <charset val="204"/>
    </font>
    <font>
      <b/>
      <sz val="14"/>
      <name val="Times New Roman Cyr"/>
      <family val="1"/>
      <charset val="204"/>
    </font>
    <font>
      <b/>
      <sz val="10"/>
      <name val="Arial Cyr"/>
      <charset val="204"/>
    </font>
    <font>
      <b/>
      <sz val="12"/>
      <name val="Times New Roman CYR"/>
      <family val="1"/>
      <charset val="204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name val="Arial Cyr"/>
      <charset val="204"/>
    </font>
    <font>
      <sz val="12"/>
      <name val="Arial Cyr"/>
      <family val="2"/>
      <charset val="204"/>
    </font>
    <font>
      <sz val="10"/>
      <name val="Times New Roman"/>
      <family val="1"/>
    </font>
    <font>
      <sz val="12"/>
      <name val="Times New Roman CE"/>
      <family val="1"/>
      <charset val="238"/>
    </font>
    <font>
      <b/>
      <sz val="10"/>
      <name val="Times New Roman"/>
      <family val="1"/>
    </font>
    <font>
      <sz val="10"/>
      <name val="Arial Cyr"/>
      <charset val="204"/>
    </font>
    <font>
      <b/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8"/>
      <name val="Times New Roman"/>
      <family val="1"/>
    </font>
    <font>
      <b/>
      <sz val="8"/>
      <name val="Times New Roman CYR"/>
      <family val="1"/>
      <charset val="204"/>
    </font>
    <font>
      <sz val="9"/>
      <name val="Times New Roman"/>
      <family val="1"/>
    </font>
    <font>
      <b/>
      <sz val="12"/>
      <color indexed="18"/>
      <name val="Times New Roman"/>
      <family val="1"/>
      <charset val="204"/>
    </font>
    <font>
      <b/>
      <sz val="12"/>
      <color indexed="18"/>
      <name val="Times New Roman CE"/>
      <charset val="204"/>
    </font>
    <font>
      <b/>
      <sz val="10"/>
      <name val="Times New Roman"/>
      <family val="1"/>
      <charset val="204"/>
    </font>
    <font>
      <sz val="14"/>
      <name val="Arial Cyr"/>
      <charset val="204"/>
    </font>
    <font>
      <b/>
      <sz val="14"/>
      <name val="Arial Cyr"/>
      <charset val="204"/>
    </font>
    <font>
      <u/>
      <sz val="14"/>
      <name val="Arial Cyr"/>
      <charset val="204"/>
    </font>
    <font>
      <b/>
      <sz val="8"/>
      <name val="Times New Roman"/>
      <family val="1"/>
      <charset val="204"/>
    </font>
    <font>
      <b/>
      <sz val="8"/>
      <name val="Times New Roman CE"/>
      <family val="1"/>
      <charset val="238"/>
    </font>
    <font>
      <b/>
      <sz val="12"/>
      <name val="Times New Roman"/>
      <family val="1"/>
      <charset val="204"/>
    </font>
    <font>
      <b/>
      <i/>
      <sz val="14"/>
      <name val="Arial Cyr"/>
      <charset val="204"/>
    </font>
    <font>
      <b/>
      <sz val="12"/>
      <name val="Times New Roman CE"/>
      <family val="1"/>
      <charset val="238"/>
    </font>
    <font>
      <b/>
      <sz val="12"/>
      <color indexed="9"/>
      <name val="Courier New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slantDashDot">
        <color indexed="64"/>
      </left>
      <right style="thick">
        <color indexed="64"/>
      </right>
      <top style="thick">
        <color indexed="64"/>
      </top>
      <bottom/>
      <diagonal/>
    </border>
    <border>
      <left style="slantDashDot">
        <color indexed="64"/>
      </left>
      <right style="thick">
        <color indexed="64"/>
      </right>
      <top style="slantDashDot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slantDashDot">
        <color indexed="64"/>
      </top>
      <bottom style="thick">
        <color indexed="64"/>
      </bottom>
      <diagonal/>
    </border>
    <border>
      <left/>
      <right/>
      <top style="slantDashDot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248">
    <xf numFmtId="0" fontId="0" fillId="0" borderId="0" xfId="0"/>
    <xf numFmtId="1" fontId="5" fillId="0" borderId="0" xfId="0" applyNumberFormat="1" applyFont="1" applyAlignment="1" applyProtection="1">
      <alignment horizontal="center" vertical="top"/>
      <protection locked="0"/>
    </xf>
    <xf numFmtId="0" fontId="5" fillId="0" borderId="0" xfId="0" applyFont="1" applyAlignment="1" applyProtection="1">
      <alignment horizontal="left" vertical="top" wrapText="1"/>
      <protection locked="0"/>
    </xf>
    <xf numFmtId="49" fontId="5" fillId="0" borderId="0" xfId="0" applyNumberFormat="1" applyFont="1" applyAlignment="1" applyProtection="1">
      <alignment horizontal="center" vertical="top"/>
      <protection locked="0"/>
    </xf>
    <xf numFmtId="49" fontId="6" fillId="0" borderId="1" xfId="0" applyNumberFormat="1" applyFont="1" applyBorder="1" applyAlignment="1" applyProtection="1">
      <alignment horizontal="center" vertical="top"/>
      <protection locked="0"/>
    </xf>
    <xf numFmtId="0" fontId="6" fillId="0" borderId="1" xfId="0" applyFont="1" applyBorder="1" applyAlignment="1" applyProtection="1">
      <alignment vertical="top"/>
      <protection locked="0"/>
    </xf>
    <xf numFmtId="49" fontId="6" fillId="0" borderId="1" xfId="0" applyNumberFormat="1" applyFont="1" applyBorder="1" applyAlignment="1" applyProtection="1">
      <alignment horizontal="center" vertical="center" wrapText="1"/>
      <protection locked="0"/>
    </xf>
    <xf numFmtId="49" fontId="6" fillId="0" borderId="0" xfId="0" applyNumberFormat="1" applyFont="1" applyAlignment="1" applyProtection="1">
      <alignment horizontal="left" vertical="top"/>
      <protection locked="0"/>
    </xf>
    <xf numFmtId="49" fontId="6" fillId="0" borderId="2" xfId="0" applyNumberFormat="1" applyFont="1" applyBorder="1" applyAlignment="1" applyProtection="1">
      <alignment horizontal="center" vertical="center" wrapText="1"/>
      <protection locked="0"/>
    </xf>
    <xf numFmtId="49" fontId="6" fillId="0" borderId="2" xfId="0" applyNumberFormat="1" applyFont="1" applyBorder="1" applyAlignment="1" applyProtection="1">
      <alignment horizontal="center" vertical="top"/>
      <protection locked="0"/>
    </xf>
    <xf numFmtId="0" fontId="6" fillId="0" borderId="0" xfId="0" applyFont="1" applyAlignment="1" applyProtection="1">
      <alignment horizontal="left" vertical="top" wrapText="1"/>
      <protection locked="0"/>
    </xf>
    <xf numFmtId="0" fontId="9" fillId="0" borderId="0" xfId="0" applyFont="1" applyAlignment="1" applyProtection="1">
      <alignment horizontal="center"/>
      <protection locked="0"/>
    </xf>
    <xf numFmtId="0" fontId="9" fillId="0" borderId="0" xfId="0" applyFont="1" applyAlignment="1" applyProtection="1">
      <alignment vertical="justify"/>
      <protection locked="0"/>
    </xf>
    <xf numFmtId="49" fontId="9" fillId="0" borderId="0" xfId="0" applyNumberFormat="1" applyFont="1" applyAlignment="1" applyProtection="1">
      <alignment horizontal="center"/>
      <protection locked="0"/>
    </xf>
    <xf numFmtId="49" fontId="10" fillId="0" borderId="0" xfId="0" applyNumberFormat="1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 vertical="justify"/>
      <protection locked="0"/>
    </xf>
    <xf numFmtId="0" fontId="9" fillId="0" borderId="0" xfId="0" applyFont="1" applyAlignment="1" applyProtection="1">
      <alignment horizontal="left" vertical="justify"/>
      <protection locked="0"/>
    </xf>
    <xf numFmtId="0" fontId="5" fillId="0" borderId="0" xfId="0" applyFont="1" applyAlignment="1" applyProtection="1">
      <alignment vertical="top"/>
      <protection locked="0"/>
    </xf>
    <xf numFmtId="49" fontId="5" fillId="0" borderId="0" xfId="0" applyNumberFormat="1" applyFont="1" applyAlignment="1" applyProtection="1">
      <alignment horizontal="left" vertical="top"/>
      <protection locked="0"/>
    </xf>
    <xf numFmtId="49" fontId="5" fillId="0" borderId="0" xfId="0" applyNumberFormat="1" applyFont="1" applyAlignment="1" applyProtection="1">
      <alignment horizontal="center" vertical="top" wrapText="1"/>
      <protection locked="0"/>
    </xf>
    <xf numFmtId="0" fontId="1" fillId="0" borderId="0" xfId="1" applyAlignment="1" applyProtection="1">
      <alignment horizontal="center"/>
    </xf>
    <xf numFmtId="0" fontId="6" fillId="0" borderId="1" xfId="0" applyFont="1" applyBorder="1" applyProtection="1">
      <protection locked="0"/>
    </xf>
    <xf numFmtId="0" fontId="9" fillId="0" borderId="0" xfId="0" applyFont="1" applyProtection="1">
      <protection locked="0"/>
    </xf>
    <xf numFmtId="0" fontId="7" fillId="0" borderId="1" xfId="0" applyFont="1" applyBorder="1" applyProtection="1">
      <protection locked="0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 applyProtection="1">
      <alignment vertical="justify" wrapText="1"/>
      <protection locked="0"/>
    </xf>
    <xf numFmtId="0" fontId="8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2" fontId="5" fillId="0" borderId="0" xfId="0" applyNumberFormat="1" applyFont="1" applyAlignment="1" applyProtection="1">
      <alignment horizontal="left" vertical="top" wrapText="1"/>
      <protection locked="0"/>
    </xf>
    <xf numFmtId="49" fontId="5" fillId="0" borderId="1" xfId="0" applyNumberFormat="1" applyFont="1" applyBorder="1" applyAlignment="1">
      <alignment wrapText="1"/>
    </xf>
    <xf numFmtId="49" fontId="6" fillId="0" borderId="3" xfId="0" applyNumberFormat="1" applyFont="1" applyBorder="1" applyAlignment="1" applyProtection="1">
      <alignment horizontal="center" vertical="top"/>
      <protection locked="0"/>
    </xf>
    <xf numFmtId="49" fontId="6" fillId="0" borderId="4" xfId="0" applyNumberFormat="1" applyFont="1" applyBorder="1" applyAlignment="1" applyProtection="1">
      <alignment horizontal="center" vertical="top"/>
      <protection locked="0"/>
    </xf>
    <xf numFmtId="0" fontId="6" fillId="0" borderId="4" xfId="0" applyFont="1" applyBorder="1" applyAlignment="1" applyProtection="1">
      <alignment horizontal="left" vertical="top" wrapText="1"/>
      <protection locked="0"/>
    </xf>
    <xf numFmtId="49" fontId="6" fillId="0" borderId="4" xfId="0" applyNumberFormat="1" applyFont="1" applyBorder="1" applyAlignment="1" applyProtection="1">
      <alignment horizontal="left" vertical="top"/>
      <protection locked="0"/>
    </xf>
    <xf numFmtId="49" fontId="6" fillId="0" borderId="5" xfId="0" applyNumberFormat="1" applyFont="1" applyBorder="1" applyAlignment="1" applyProtection="1">
      <alignment horizontal="center" vertical="top" wrapText="1"/>
      <protection locked="0"/>
    </xf>
    <xf numFmtId="49" fontId="6" fillId="0" borderId="6" xfId="0" applyNumberFormat="1" applyFont="1" applyBorder="1" applyAlignment="1" applyProtection="1">
      <alignment horizontal="center" vertical="top" wrapText="1"/>
      <protection locked="0"/>
    </xf>
    <xf numFmtId="0" fontId="6" fillId="0" borderId="7" xfId="0" applyFont="1" applyBorder="1" applyAlignment="1" applyProtection="1">
      <alignment horizontal="left" vertical="top" wrapText="1"/>
      <protection locked="0"/>
    </xf>
    <xf numFmtId="49" fontId="6" fillId="0" borderId="7" xfId="0" applyNumberFormat="1" applyFont="1" applyBorder="1" applyAlignment="1" applyProtection="1">
      <alignment horizontal="left" vertical="top"/>
      <protection locked="0"/>
    </xf>
    <xf numFmtId="49" fontId="6" fillId="0" borderId="8" xfId="0" applyNumberFormat="1" applyFont="1" applyBorder="1" applyAlignment="1" applyProtection="1">
      <alignment horizontal="center" vertical="top" wrapText="1"/>
      <protection locked="0"/>
    </xf>
    <xf numFmtId="49" fontId="7" fillId="0" borderId="1" xfId="0" applyNumberFormat="1" applyFont="1" applyBorder="1" applyAlignment="1" applyProtection="1">
      <alignment horizontal="center"/>
      <protection locked="0"/>
    </xf>
    <xf numFmtId="49" fontId="13" fillId="0" borderId="1" xfId="0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 vertical="center"/>
    </xf>
    <xf numFmtId="0" fontId="6" fillId="0" borderId="0" xfId="0" applyFont="1" applyProtection="1">
      <protection locked="0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7" fillId="0" borderId="3" xfId="0" applyNumberFormat="1" applyFont="1" applyBorder="1" applyAlignment="1" applyProtection="1">
      <alignment horizontal="center" vertical="top" wrapText="1"/>
      <protection locked="0"/>
    </xf>
    <xf numFmtId="49" fontId="7" fillId="0" borderId="9" xfId="0" applyNumberFormat="1" applyFont="1" applyBorder="1" applyAlignment="1" applyProtection="1">
      <alignment horizontal="center" vertical="top" wrapText="1"/>
      <protection locked="0"/>
    </xf>
    <xf numFmtId="0" fontId="7" fillId="0" borderId="9" xfId="0" applyFont="1" applyBorder="1" applyAlignment="1" applyProtection="1">
      <alignment horizontal="center" vertical="top" wrapText="1"/>
      <protection locked="0"/>
    </xf>
    <xf numFmtId="49" fontId="7" fillId="0" borderId="8" xfId="0" applyNumberFormat="1" applyFont="1" applyBorder="1" applyAlignment="1" applyProtection="1">
      <alignment horizontal="center" vertical="top" wrapText="1"/>
      <protection locked="0"/>
    </xf>
    <xf numFmtId="49" fontId="13" fillId="0" borderId="0" xfId="0" applyNumberFormat="1" applyFont="1" applyAlignment="1">
      <alignment horizontal="left"/>
    </xf>
    <xf numFmtId="1" fontId="5" fillId="0" borderId="0" xfId="0" applyNumberFormat="1" applyFont="1"/>
    <xf numFmtId="0" fontId="11" fillId="0" borderId="0" xfId="0" applyFont="1" applyAlignment="1" applyProtection="1">
      <alignment horizontal="center" vertical="top" wrapText="1"/>
      <protection locked="0"/>
    </xf>
    <xf numFmtId="1" fontId="11" fillId="0" borderId="0" xfId="0" applyNumberFormat="1" applyFont="1" applyAlignment="1" applyProtection="1">
      <alignment horizontal="center" vertical="top" wrapText="1"/>
      <protection locked="0"/>
    </xf>
    <xf numFmtId="1" fontId="11" fillId="0" borderId="0" xfId="0" applyNumberFormat="1" applyFont="1" applyAlignment="1">
      <alignment horizontal="center" vertical="justify"/>
    </xf>
    <xf numFmtId="49" fontId="6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justify"/>
    </xf>
    <xf numFmtId="49" fontId="1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8" fillId="0" borderId="0" xfId="0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top"/>
      <protection locked="0"/>
    </xf>
    <xf numFmtId="2" fontId="5" fillId="0" borderId="0" xfId="0" applyNumberFormat="1" applyFont="1"/>
    <xf numFmtId="2" fontId="13" fillId="0" borderId="0" xfId="0" applyNumberFormat="1" applyFont="1"/>
    <xf numFmtId="0" fontId="4" fillId="0" borderId="0" xfId="0" applyFont="1" applyAlignment="1" applyProtection="1">
      <alignment horizontal="left" vertical="center" wrapText="1"/>
      <protection hidden="1"/>
    </xf>
    <xf numFmtId="1" fontId="12" fillId="0" borderId="0" xfId="0" applyNumberFormat="1" applyFont="1" applyAlignment="1" applyProtection="1">
      <alignment horizontal="center"/>
      <protection locked="0"/>
    </xf>
    <xf numFmtId="49" fontId="12" fillId="0" borderId="0" xfId="0" applyNumberFormat="1" applyFont="1" applyAlignment="1" applyProtection="1">
      <alignment vertical="justify"/>
      <protection locked="0"/>
    </xf>
    <xf numFmtId="1" fontId="2" fillId="0" borderId="0" xfId="0" applyNumberFormat="1" applyFont="1" applyAlignment="1" applyProtection="1">
      <alignment horizontal="left"/>
      <protection locked="0"/>
    </xf>
    <xf numFmtId="49" fontId="12" fillId="0" borderId="0" xfId="0" applyNumberFormat="1" applyFont="1" applyAlignment="1" applyProtection="1">
      <alignment horizontal="center"/>
      <protection locked="0"/>
    </xf>
    <xf numFmtId="0" fontId="12" fillId="0" borderId="0" xfId="0" applyFont="1" applyProtection="1">
      <protection locked="0"/>
    </xf>
    <xf numFmtId="0" fontId="12" fillId="0" borderId="0" xfId="0" applyFont="1" applyAlignment="1" applyProtection="1">
      <alignment horizontal="left" vertical="justify"/>
      <protection locked="0"/>
    </xf>
    <xf numFmtId="0" fontId="12" fillId="0" borderId="0" xfId="0" applyFont="1" applyAlignment="1" applyProtection="1">
      <alignment vertical="justify"/>
      <protection locked="0"/>
    </xf>
    <xf numFmtId="0" fontId="11" fillId="0" borderId="0" xfId="0" applyFont="1" applyAlignment="1" applyProtection="1">
      <alignment horizontal="center"/>
      <protection locked="0"/>
    </xf>
    <xf numFmtId="49" fontId="5" fillId="0" borderId="10" xfId="0" applyNumberFormat="1" applyFont="1" applyBorder="1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49" fontId="13" fillId="0" borderId="1" xfId="0" applyNumberFormat="1" applyFont="1" applyBorder="1" applyAlignment="1" applyProtection="1">
      <alignment horizontal="left"/>
      <protection locked="0"/>
    </xf>
    <xf numFmtId="49" fontId="13" fillId="0" borderId="1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Alignment="1" applyProtection="1">
      <alignment horizontal="left" vertical="center" wrapText="1"/>
      <protection locked="0"/>
    </xf>
    <xf numFmtId="0" fontId="18" fillId="0" borderId="0" xfId="0" applyFont="1" applyAlignment="1" applyProtection="1">
      <alignment horizontal="center" vertical="top" wrapText="1"/>
      <protection locked="0"/>
    </xf>
    <xf numFmtId="0" fontId="13" fillId="0" borderId="1" xfId="0" applyFont="1" applyBorder="1" applyAlignment="1" applyProtection="1">
      <alignment horizontal="center" vertical="center" wrapText="1"/>
      <protection locked="0"/>
    </xf>
    <xf numFmtId="1" fontId="13" fillId="0" borderId="1" xfId="0" applyNumberFormat="1" applyFont="1" applyBorder="1" applyAlignment="1" applyProtection="1">
      <alignment horizontal="center" vertical="center" wrapText="1"/>
      <protection locked="0"/>
    </xf>
    <xf numFmtId="2" fontId="7" fillId="0" borderId="10" xfId="0" applyNumberFormat="1" applyFont="1" applyBorder="1" applyAlignment="1" applyProtection="1">
      <alignment horizontal="center" vertical="top" wrapText="1"/>
      <protection hidden="1"/>
    </xf>
    <xf numFmtId="2" fontId="13" fillId="0" borderId="4" xfId="0" applyNumberFormat="1" applyFont="1" applyBorder="1" applyAlignment="1" applyProtection="1">
      <alignment horizontal="center" vertical="top"/>
      <protection hidden="1"/>
    </xf>
    <xf numFmtId="2" fontId="13" fillId="0" borderId="7" xfId="0" applyNumberFormat="1" applyFont="1" applyBorder="1" applyAlignment="1" applyProtection="1">
      <alignment horizontal="center" vertical="top"/>
      <protection hidden="1"/>
    </xf>
    <xf numFmtId="2" fontId="15" fillId="0" borderId="0" xfId="0" applyNumberFormat="1" applyFont="1" applyAlignment="1" applyProtection="1">
      <alignment horizontal="center" vertical="justify"/>
      <protection hidden="1"/>
    </xf>
    <xf numFmtId="49" fontId="19" fillId="2" borderId="0" xfId="0" applyNumberFormat="1" applyFont="1" applyFill="1" applyAlignment="1" applyProtection="1">
      <alignment horizontal="center" vertical="top" wrapText="1"/>
      <protection locked="0"/>
    </xf>
    <xf numFmtId="49" fontId="8" fillId="2" borderId="0" xfId="0" applyNumberFormat="1" applyFont="1" applyFill="1" applyAlignment="1" applyProtection="1">
      <alignment horizontal="center" vertical="top" wrapText="1"/>
      <protection locked="0"/>
    </xf>
    <xf numFmtId="49" fontId="5" fillId="0" borderId="0" xfId="0" applyNumberFormat="1" applyFont="1"/>
    <xf numFmtId="49" fontId="5" fillId="0" borderId="1" xfId="0" applyNumberFormat="1" applyFont="1" applyBorder="1"/>
    <xf numFmtId="49" fontId="13" fillId="0" borderId="9" xfId="0" applyNumberFormat="1" applyFont="1" applyBorder="1" applyAlignment="1" applyProtection="1">
      <alignment horizontal="center" vertical="top" wrapText="1"/>
      <protection locked="0"/>
    </xf>
    <xf numFmtId="1" fontId="13" fillId="0" borderId="11" xfId="0" applyNumberFormat="1" applyFont="1" applyBorder="1" applyAlignment="1" applyProtection="1">
      <alignment horizontal="center" vertical="top" wrapText="1"/>
      <protection locked="0"/>
    </xf>
    <xf numFmtId="1" fontId="13" fillId="0" borderId="2" xfId="0" applyNumberFormat="1" applyFont="1" applyBorder="1" applyAlignment="1" applyProtection="1">
      <alignment horizontal="center" vertical="top" wrapText="1"/>
      <protection locked="0"/>
    </xf>
    <xf numFmtId="1" fontId="6" fillId="0" borderId="1" xfId="0" applyNumberFormat="1" applyFont="1" applyBorder="1" applyAlignment="1" applyProtection="1">
      <alignment horizontal="right"/>
      <protection locked="0"/>
    </xf>
    <xf numFmtId="0" fontId="5" fillId="0" borderId="10" xfId="0" applyFont="1" applyBorder="1" applyAlignment="1" applyProtection="1">
      <alignment horizontal="left" wrapText="1"/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left"/>
      <protection locked="0"/>
    </xf>
    <xf numFmtId="1" fontId="5" fillId="0" borderId="1" xfId="0" applyNumberFormat="1" applyFont="1" applyBorder="1" applyAlignment="1" applyProtection="1">
      <alignment horizontal="right"/>
      <protection locked="0"/>
    </xf>
    <xf numFmtId="49" fontId="5" fillId="0" borderId="10" xfId="0" applyNumberFormat="1" applyFont="1" applyBorder="1" applyAlignment="1" applyProtection="1">
      <alignment horizontal="right"/>
      <protection locked="0"/>
    </xf>
    <xf numFmtId="0" fontId="7" fillId="0" borderId="12" xfId="0" applyFont="1" applyBorder="1" applyAlignment="1" applyProtection="1">
      <alignment horizontal="center" vertical="top" wrapText="1"/>
      <protection locked="0"/>
    </xf>
    <xf numFmtId="49" fontId="13" fillId="0" borderId="13" xfId="0" applyNumberFormat="1" applyFont="1" applyBorder="1" applyAlignment="1" applyProtection="1">
      <alignment horizontal="center" wrapText="1"/>
      <protection locked="0"/>
    </xf>
    <xf numFmtId="49" fontId="13" fillId="0" borderId="13" xfId="0" applyNumberFormat="1" applyFont="1" applyBorder="1" applyAlignment="1" applyProtection="1">
      <alignment horizontal="center" vertical="top" wrapText="1"/>
      <protection locked="0"/>
    </xf>
    <xf numFmtId="0" fontId="7" fillId="0" borderId="13" xfId="0" applyFont="1" applyBorder="1" applyAlignment="1" applyProtection="1">
      <alignment horizontal="center" wrapText="1"/>
      <protection locked="0"/>
    </xf>
    <xf numFmtId="2" fontId="7" fillId="0" borderId="12" xfId="0" applyNumberFormat="1" applyFont="1" applyBorder="1" applyAlignment="1" applyProtection="1">
      <alignment horizontal="center" wrapText="1"/>
      <protection hidden="1"/>
    </xf>
    <xf numFmtId="2" fontId="21" fillId="0" borderId="14" xfId="0" applyNumberFormat="1" applyFont="1" applyBorder="1" applyAlignment="1" applyProtection="1">
      <alignment horizontal="left"/>
      <protection locked="0"/>
    </xf>
    <xf numFmtId="2" fontId="20" fillId="0" borderId="14" xfId="0" applyNumberFormat="1" applyFont="1" applyBorder="1" applyAlignment="1">
      <alignment horizontal="left"/>
    </xf>
    <xf numFmtId="2" fontId="21" fillId="0" borderId="15" xfId="0" applyNumberFormat="1" applyFont="1" applyBorder="1" applyAlignment="1" applyProtection="1">
      <alignment horizontal="left"/>
      <protection locked="0"/>
    </xf>
    <xf numFmtId="2" fontId="20" fillId="0" borderId="15" xfId="0" applyNumberFormat="1" applyFont="1" applyBorder="1" applyAlignment="1">
      <alignment horizontal="left"/>
    </xf>
    <xf numFmtId="49" fontId="5" fillId="0" borderId="1" xfId="0" applyNumberFormat="1" applyFont="1" applyBorder="1" applyAlignment="1" applyProtection="1">
      <alignment horizontal="left"/>
      <protection locked="0"/>
    </xf>
    <xf numFmtId="0" fontId="5" fillId="0" borderId="1" xfId="0" applyFont="1" applyBorder="1" applyAlignment="1" applyProtection="1">
      <alignment horizontal="right"/>
      <protection locked="0"/>
    </xf>
    <xf numFmtId="49" fontId="7" fillId="0" borderId="13" xfId="0" applyNumberFormat="1" applyFont="1" applyBorder="1" applyAlignment="1" applyProtection="1">
      <alignment horizontal="center" wrapText="1"/>
      <protection locked="0"/>
    </xf>
    <xf numFmtId="49" fontId="7" fillId="0" borderId="6" xfId="0" applyNumberFormat="1" applyFont="1" applyBorder="1" applyAlignment="1" applyProtection="1">
      <alignment horizontal="center" wrapText="1"/>
      <protection locked="0"/>
    </xf>
    <xf numFmtId="49" fontId="17" fillId="0" borderId="13" xfId="0" applyNumberFormat="1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/>
    </xf>
    <xf numFmtId="49" fontId="6" fillId="0" borderId="0" xfId="0" applyNumberFormat="1" applyFont="1" applyAlignment="1" applyProtection="1">
      <alignment vertical="top"/>
      <protection locked="0"/>
    </xf>
    <xf numFmtId="0" fontId="6" fillId="0" borderId="0" xfId="0" applyFont="1" applyAlignment="1" applyProtection="1">
      <alignment vertical="top"/>
      <protection locked="0"/>
    </xf>
    <xf numFmtId="0" fontId="5" fillId="0" borderId="0" xfId="0" applyFont="1"/>
    <xf numFmtId="0" fontId="23" fillId="0" borderId="1" xfId="0" applyFont="1" applyBorder="1" applyAlignment="1">
      <alignment horizontal="right"/>
    </xf>
    <xf numFmtId="0" fontId="23" fillId="0" borderId="1" xfId="0" applyFont="1" applyBorder="1"/>
    <xf numFmtId="0" fontId="24" fillId="0" borderId="1" xfId="0" applyFont="1" applyBorder="1"/>
    <xf numFmtId="0" fontId="24" fillId="0" borderId="1" xfId="0" applyFont="1" applyBorder="1" applyAlignment="1">
      <alignment horizontal="right"/>
    </xf>
    <xf numFmtId="0" fontId="6" fillId="0" borderId="0" xfId="0" applyFont="1" applyAlignment="1">
      <alignment vertical="top"/>
    </xf>
    <xf numFmtId="0" fontId="26" fillId="0" borderId="16" xfId="0" applyFont="1" applyBorder="1" applyAlignment="1" applyProtection="1">
      <alignment horizontal="center"/>
      <protection locked="0"/>
    </xf>
    <xf numFmtId="0" fontId="26" fillId="0" borderId="10" xfId="0" applyFont="1" applyBorder="1" applyAlignment="1" applyProtection="1">
      <alignment horizontal="center" vertical="top" wrapText="1"/>
      <protection locked="0"/>
    </xf>
    <xf numFmtId="4" fontId="6" fillId="0" borderId="1" xfId="0" applyNumberFormat="1" applyFont="1" applyBorder="1" applyAlignment="1" applyProtection="1">
      <alignment horizontal="right"/>
      <protection hidden="1"/>
    </xf>
    <xf numFmtId="2" fontId="7" fillId="0" borderId="17" xfId="0" applyNumberFormat="1" applyFont="1" applyBorder="1" applyAlignment="1" applyProtection="1">
      <alignment horizontal="left" vertical="top"/>
      <protection locked="0"/>
    </xf>
    <xf numFmtId="2" fontId="6" fillId="0" borderId="11" xfId="0" applyNumberFormat="1" applyFont="1" applyBorder="1" applyAlignment="1" applyProtection="1">
      <alignment horizontal="center" vertical="top"/>
      <protection hidden="1"/>
    </xf>
    <xf numFmtId="2" fontId="6" fillId="0" borderId="1" xfId="0" applyNumberFormat="1" applyFont="1" applyBorder="1" applyAlignment="1" applyProtection="1">
      <alignment horizontal="right"/>
      <protection hidden="1"/>
    </xf>
    <xf numFmtId="49" fontId="6" fillId="0" borderId="11" xfId="0" applyNumberFormat="1" applyFont="1" applyBorder="1" applyAlignment="1" applyProtection="1">
      <alignment horizontal="left"/>
      <protection locked="0"/>
    </xf>
    <xf numFmtId="0" fontId="13" fillId="0" borderId="1" xfId="0" applyFont="1" applyBorder="1" applyAlignment="1" applyProtection="1">
      <alignment horizontal="left"/>
      <protection locked="0"/>
    </xf>
    <xf numFmtId="0" fontId="6" fillId="0" borderId="9" xfId="0" applyFont="1" applyBorder="1" applyAlignment="1" applyProtection="1">
      <alignment horizontal="right" wrapText="1"/>
      <protection locked="0"/>
    </xf>
    <xf numFmtId="0" fontId="6" fillId="0" borderId="7" xfId="0" applyFont="1" applyBorder="1" applyAlignment="1" applyProtection="1">
      <alignment horizontal="left" wrapText="1"/>
      <protection locked="0"/>
    </xf>
    <xf numFmtId="0" fontId="6" fillId="0" borderId="8" xfId="0" applyFont="1" applyBorder="1" applyAlignment="1" applyProtection="1">
      <alignment horizontal="left" wrapText="1"/>
      <protection locked="0"/>
    </xf>
    <xf numFmtId="0" fontId="6" fillId="0" borderId="11" xfId="0" applyFont="1" applyBorder="1" applyAlignment="1" applyProtection="1">
      <alignment horizontal="left"/>
      <protection locked="0"/>
    </xf>
    <xf numFmtId="0" fontId="6" fillId="0" borderId="11" xfId="0" applyFont="1" applyBorder="1" applyAlignment="1" applyProtection="1">
      <alignment horizontal="left" vertical="top"/>
      <protection locked="0"/>
    </xf>
    <xf numFmtId="0" fontId="6" fillId="0" borderId="13" xfId="0" applyFont="1" applyBorder="1" applyAlignment="1" applyProtection="1">
      <alignment horizontal="center" vertical="top" wrapText="1"/>
      <protection locked="0"/>
    </xf>
    <xf numFmtId="0" fontId="6" fillId="0" borderId="0" xfId="0" applyFont="1" applyAlignment="1" applyProtection="1">
      <alignment horizontal="center" vertical="top" wrapText="1"/>
      <protection locked="0"/>
    </xf>
    <xf numFmtId="0" fontId="6" fillId="0" borderId="6" xfId="0" applyFont="1" applyBorder="1" applyAlignment="1" applyProtection="1">
      <alignment horizontal="center" vertical="top" wrapText="1"/>
      <protection locked="0"/>
    </xf>
    <xf numFmtId="0" fontId="13" fillId="0" borderId="11" xfId="0" applyFont="1" applyBorder="1" applyAlignment="1" applyProtection="1">
      <alignment horizontal="left" vertical="top"/>
      <protection locked="0"/>
    </xf>
    <xf numFmtId="0" fontId="6" fillId="0" borderId="9" xfId="0" applyFont="1" applyBorder="1" applyAlignment="1" applyProtection="1">
      <alignment horizontal="center" vertical="top" wrapText="1"/>
      <protection locked="0"/>
    </xf>
    <xf numFmtId="0" fontId="6" fillId="0" borderId="7" xfId="0" applyFont="1" applyBorder="1" applyAlignment="1" applyProtection="1">
      <alignment horizontal="center" vertical="top" wrapText="1"/>
      <protection locked="0"/>
    </xf>
    <xf numFmtId="0" fontId="6" fillId="0" borderId="8" xfId="0" applyFont="1" applyBorder="1" applyAlignment="1" applyProtection="1">
      <alignment horizontal="center" vertical="top" wrapText="1"/>
      <protection locked="0"/>
    </xf>
    <xf numFmtId="0" fontId="6" fillId="0" borderId="3" xfId="0" applyFont="1" applyBorder="1" applyAlignment="1" applyProtection="1">
      <alignment vertical="top"/>
      <protection locked="0"/>
    </xf>
    <xf numFmtId="0" fontId="6" fillId="0" borderId="4" xfId="0" applyFont="1" applyBorder="1" applyAlignment="1" applyProtection="1">
      <alignment vertical="top"/>
      <protection locked="0"/>
    </xf>
    <xf numFmtId="0" fontId="6" fillId="0" borderId="5" xfId="0" applyFont="1" applyBorder="1" applyAlignment="1" applyProtection="1">
      <alignment vertical="top"/>
      <protection locked="0"/>
    </xf>
    <xf numFmtId="0" fontId="6" fillId="0" borderId="9" xfId="0" applyFont="1" applyBorder="1" applyAlignment="1" applyProtection="1">
      <alignment vertical="top"/>
      <protection locked="0"/>
    </xf>
    <xf numFmtId="0" fontId="6" fillId="0" borderId="7" xfId="0" applyFont="1" applyBorder="1" applyAlignment="1" applyProtection="1">
      <alignment vertical="top"/>
      <protection locked="0"/>
    </xf>
    <xf numFmtId="0" fontId="6" fillId="0" borderId="8" xfId="0" applyFont="1" applyBorder="1" applyAlignment="1" applyProtection="1">
      <alignment vertical="top"/>
      <protection locked="0"/>
    </xf>
    <xf numFmtId="0" fontId="6" fillId="0" borderId="2" xfId="0" applyFont="1" applyBorder="1" applyProtection="1">
      <protection locked="0"/>
    </xf>
    <xf numFmtId="49" fontId="6" fillId="0" borderId="18" xfId="0" applyNumberFormat="1" applyFont="1" applyBorder="1" applyAlignment="1" applyProtection="1">
      <alignment horizontal="center" vertical="top"/>
      <protection locked="0"/>
    </xf>
    <xf numFmtId="0" fontId="6" fillId="0" borderId="18" xfId="0" applyFont="1" applyBorder="1" applyAlignment="1" applyProtection="1">
      <alignment horizontal="left" vertical="top" wrapText="1"/>
      <protection locked="0"/>
    </xf>
    <xf numFmtId="49" fontId="6" fillId="0" borderId="1" xfId="0" applyNumberFormat="1" applyFont="1" applyBorder="1" applyAlignment="1" applyProtection="1">
      <alignment horizontal="left"/>
      <protection locked="0"/>
    </xf>
    <xf numFmtId="0" fontId="23" fillId="0" borderId="5" xfId="0" applyFont="1" applyBorder="1" applyAlignment="1">
      <alignment wrapText="1"/>
    </xf>
    <xf numFmtId="0" fontId="23" fillId="0" borderId="9" xfId="0" applyFont="1" applyBorder="1"/>
    <xf numFmtId="0" fontId="23" fillId="0" borderId="19" xfId="0" applyFont="1" applyBorder="1"/>
    <xf numFmtId="0" fontId="23" fillId="0" borderId="20" xfId="0" applyFont="1" applyBorder="1"/>
    <xf numFmtId="0" fontId="23" fillId="2" borderId="0" xfId="0" applyFont="1" applyFill="1"/>
    <xf numFmtId="0" fontId="23" fillId="3" borderId="0" xfId="0" applyFont="1" applyFill="1"/>
    <xf numFmtId="0" fontId="5" fillId="0" borderId="0" xfId="0" applyFont="1" applyAlignment="1" applyProtection="1">
      <alignment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6" fillId="0" borderId="1" xfId="0" applyFont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 vertical="top"/>
      <protection locked="0"/>
    </xf>
    <xf numFmtId="1" fontId="28" fillId="0" borderId="1" xfId="0" applyNumberFormat="1" applyFont="1" applyBorder="1" applyAlignment="1" applyProtection="1">
      <alignment horizontal="right"/>
      <protection locked="0"/>
    </xf>
    <xf numFmtId="49" fontId="6" fillId="0" borderId="11" xfId="0" applyNumberFormat="1" applyFont="1" applyBorder="1" applyAlignment="1" applyProtection="1">
      <alignment horizontal="right"/>
      <protection locked="0"/>
    </xf>
    <xf numFmtId="49" fontId="6" fillId="0" borderId="11" xfId="0" applyNumberFormat="1" applyFont="1" applyBorder="1" applyAlignment="1" applyProtection="1">
      <alignment horizontal="right" vertical="top"/>
      <protection locked="0"/>
    </xf>
    <xf numFmtId="0" fontId="17" fillId="0" borderId="5" xfId="0" applyFont="1" applyBorder="1" applyAlignment="1" applyProtection="1">
      <alignment horizontal="center" vertical="center" wrapText="1"/>
      <protection locked="0"/>
    </xf>
    <xf numFmtId="0" fontId="13" fillId="0" borderId="5" xfId="0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vertical="top"/>
      <protection locked="0"/>
    </xf>
    <xf numFmtId="0" fontId="6" fillId="0" borderId="0" xfId="0" applyFont="1" applyAlignment="1" applyProtection="1">
      <alignment horizontal="left" vertical="top"/>
      <protection locked="0"/>
    </xf>
    <xf numFmtId="1" fontId="11" fillId="0" borderId="1" xfId="0" applyNumberFormat="1" applyFont="1" applyBorder="1" applyAlignment="1" applyProtection="1">
      <alignment horizontal="center"/>
      <protection locked="0"/>
    </xf>
    <xf numFmtId="0" fontId="0" fillId="0" borderId="0" xfId="0" applyAlignment="1" applyProtection="1">
      <alignment wrapText="1"/>
      <protection locked="0"/>
    </xf>
    <xf numFmtId="0" fontId="24" fillId="4" borderId="0" xfId="0" applyFont="1" applyFill="1" applyAlignment="1" applyProtection="1">
      <alignment horizontal="center" vertical="center"/>
      <protection locked="0"/>
    </xf>
    <xf numFmtId="0" fontId="23" fillId="0" borderId="0" xfId="0" applyFont="1" applyAlignment="1">
      <alignment horizontal="right"/>
    </xf>
    <xf numFmtId="4" fontId="6" fillId="0" borderId="2" xfId="0" applyNumberFormat="1" applyFont="1" applyBorder="1" applyAlignment="1" applyProtection="1">
      <alignment horizontal="right"/>
      <protection hidden="1"/>
    </xf>
    <xf numFmtId="4" fontId="6" fillId="0" borderId="0" xfId="0" applyNumberFormat="1" applyFont="1" applyAlignment="1" applyProtection="1">
      <alignment horizontal="right"/>
      <protection hidden="1"/>
    </xf>
    <xf numFmtId="49" fontId="23" fillId="0" borderId="0" xfId="0" applyNumberFormat="1" applyFont="1"/>
    <xf numFmtId="2" fontId="30" fillId="0" borderId="0" xfId="0" applyNumberFormat="1" applyFont="1" applyProtection="1">
      <protection hidden="1"/>
    </xf>
    <xf numFmtId="2" fontId="13" fillId="0" borderId="10" xfId="0" applyNumberFormat="1" applyFont="1" applyBorder="1" applyAlignment="1" applyProtection="1">
      <alignment horizontal="right"/>
      <protection hidden="1"/>
    </xf>
    <xf numFmtId="2" fontId="3" fillId="0" borderId="0" xfId="0" applyNumberFormat="1" applyFont="1" applyAlignment="1" applyProtection="1">
      <alignment horizontal="center"/>
      <protection hidden="1"/>
    </xf>
    <xf numFmtId="2" fontId="13" fillId="0" borderId="0" xfId="0" applyNumberFormat="1" applyFont="1" applyAlignment="1" applyProtection="1">
      <alignment horizontal="center" vertical="top"/>
      <protection hidden="1"/>
    </xf>
    <xf numFmtId="14" fontId="9" fillId="0" borderId="0" xfId="0" applyNumberFormat="1" applyFont="1" applyProtection="1">
      <protection locked="0"/>
    </xf>
    <xf numFmtId="49" fontId="6" fillId="0" borderId="10" xfId="0" applyNumberFormat="1" applyFont="1" applyBorder="1" applyAlignment="1" applyProtection="1">
      <alignment horizontal="center" vertical="top"/>
      <protection locked="0"/>
    </xf>
    <xf numFmtId="0" fontId="6" fillId="0" borderId="10" xfId="0" applyFont="1" applyBorder="1" applyProtection="1">
      <protection locked="0"/>
    </xf>
    <xf numFmtId="1" fontId="6" fillId="0" borderId="10" xfId="0" applyNumberFormat="1" applyFont="1" applyBorder="1" applyAlignment="1" applyProtection="1">
      <alignment horizontal="right"/>
      <protection locked="0"/>
    </xf>
    <xf numFmtId="49" fontId="6" fillId="0" borderId="10" xfId="0" applyNumberFormat="1" applyFont="1" applyBorder="1" applyAlignment="1" applyProtection="1">
      <alignment horizontal="center"/>
      <protection locked="0"/>
    </xf>
    <xf numFmtId="2" fontId="6" fillId="0" borderId="21" xfId="0" applyNumberFormat="1" applyFont="1" applyBorder="1" applyAlignment="1" applyProtection="1">
      <alignment horizontal="left"/>
      <protection locked="0"/>
    </xf>
    <xf numFmtId="2" fontId="6" fillId="0" borderId="8" xfId="0" applyNumberFormat="1" applyFont="1" applyBorder="1" applyAlignment="1" applyProtection="1">
      <alignment horizontal="center"/>
      <protection hidden="1"/>
    </xf>
    <xf numFmtId="4" fontId="6" fillId="0" borderId="10" xfId="0" applyNumberFormat="1" applyFont="1" applyBorder="1" applyAlignment="1" applyProtection="1">
      <alignment horizontal="right"/>
      <protection hidden="1"/>
    </xf>
    <xf numFmtId="49" fontId="6" fillId="0" borderId="10" xfId="0" applyNumberFormat="1" applyFont="1" applyBorder="1" applyAlignment="1" applyProtection="1">
      <alignment horizontal="left" wrapText="1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  <xf numFmtId="0" fontId="14" fillId="0" borderId="4" xfId="0" applyFont="1" applyBorder="1" applyAlignment="1" applyProtection="1">
      <alignment horizontal="right"/>
      <protection locked="0"/>
    </xf>
    <xf numFmtId="0" fontId="6" fillId="0" borderId="3" xfId="0" applyFont="1" applyBorder="1" applyAlignment="1" applyProtection="1">
      <alignment horizontal="right"/>
      <protection locked="0"/>
    </xf>
    <xf numFmtId="0" fontId="28" fillId="0" borderId="0" xfId="0" applyFont="1" applyProtection="1">
      <protection locked="0"/>
    </xf>
    <xf numFmtId="1" fontId="6" fillId="0" borderId="10" xfId="0" applyNumberFormat="1" applyFont="1" applyBorder="1" applyAlignment="1" applyProtection="1">
      <alignment horizontal="center"/>
      <protection locked="0"/>
    </xf>
    <xf numFmtId="1" fontId="6" fillId="0" borderId="1" xfId="0" applyNumberFormat="1" applyFont="1" applyBorder="1" applyAlignment="1" applyProtection="1">
      <alignment horizontal="center"/>
      <protection locked="0"/>
    </xf>
    <xf numFmtId="49" fontId="5" fillId="0" borderId="1" xfId="0" applyNumberFormat="1" applyFont="1" applyBorder="1" applyAlignment="1" applyProtection="1">
      <alignment horizontal="center" vertical="top"/>
      <protection locked="0"/>
    </xf>
    <xf numFmtId="1" fontId="28" fillId="0" borderId="1" xfId="0" applyNumberFormat="1" applyFont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right"/>
      <protection locked="0"/>
    </xf>
    <xf numFmtId="1" fontId="5" fillId="0" borderId="1" xfId="0" applyNumberFormat="1" applyFont="1" applyBorder="1" applyAlignment="1" applyProtection="1">
      <alignment horizontal="center"/>
      <protection locked="0"/>
    </xf>
    <xf numFmtId="49" fontId="5" fillId="0" borderId="10" xfId="0" applyNumberFormat="1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right"/>
      <protection locked="0"/>
    </xf>
    <xf numFmtId="164" fontId="28" fillId="0" borderId="14" xfId="0" applyNumberFormat="1" applyFont="1" applyBorder="1" applyAlignment="1">
      <alignment horizontal="left"/>
    </xf>
    <xf numFmtId="164" fontId="28" fillId="0" borderId="15" xfId="0" applyNumberFormat="1" applyFont="1" applyBorder="1" applyAlignment="1">
      <alignment horizontal="left"/>
    </xf>
    <xf numFmtId="164" fontId="5" fillId="0" borderId="0" xfId="0" applyNumberFormat="1" applyFont="1"/>
    <xf numFmtId="49" fontId="5" fillId="0" borderId="1" xfId="0" applyNumberFormat="1" applyFon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23" fillId="0" borderId="0" xfId="0" applyFont="1"/>
    <xf numFmtId="0" fontId="23" fillId="0" borderId="1" xfId="0" applyFont="1" applyBorder="1" applyAlignment="1">
      <alignment horizontal="center"/>
    </xf>
    <xf numFmtId="49" fontId="22" fillId="0" borderId="27" xfId="0" applyNumberFormat="1" applyFont="1" applyBorder="1" applyAlignment="1" applyProtection="1">
      <alignment horizontal="left" vertical="center" wrapText="1"/>
      <protection locked="0"/>
    </xf>
    <xf numFmtId="0" fontId="0" fillId="0" borderId="26" xfId="0" applyBorder="1" applyProtection="1">
      <protection locked="0"/>
    </xf>
    <xf numFmtId="0" fontId="0" fillId="0" borderId="0" xfId="0" applyAlignment="1" applyProtection="1">
      <alignment horizontal="center" wrapText="1"/>
      <protection locked="0"/>
    </xf>
    <xf numFmtId="0" fontId="0" fillId="0" borderId="0" xfId="0" applyProtection="1">
      <protection locked="0"/>
    </xf>
    <xf numFmtId="1" fontId="31" fillId="5" borderId="0" xfId="0" applyNumberFormat="1" applyFont="1" applyFill="1" applyAlignment="1" applyProtection="1">
      <alignment horizontal="center" vertical="center" wrapText="1"/>
      <protection locked="0"/>
    </xf>
    <xf numFmtId="1" fontId="18" fillId="4" borderId="22" xfId="0" applyNumberFormat="1" applyFont="1" applyFill="1" applyBorder="1" applyAlignment="1" applyProtection="1">
      <alignment horizontal="left" vertical="center" wrapText="1"/>
      <protection locked="0"/>
    </xf>
    <xf numFmtId="0" fontId="0" fillId="0" borderId="23" xfId="0" applyBorder="1" applyProtection="1">
      <protection locked="0"/>
    </xf>
    <xf numFmtId="1" fontId="18" fillId="4" borderId="24" xfId="0" applyNumberFormat="1" applyFont="1" applyFill="1" applyBorder="1" applyAlignment="1" applyProtection="1">
      <alignment horizontal="left" wrapText="1"/>
      <protection locked="0"/>
    </xf>
    <xf numFmtId="0" fontId="0" fillId="0" borderId="25" xfId="0" applyBorder="1" applyProtection="1">
      <protection locked="0"/>
    </xf>
    <xf numFmtId="165" fontId="27" fillId="4" borderId="22" xfId="0" applyNumberFormat="1" applyFont="1" applyFill="1" applyBorder="1" applyAlignment="1" applyProtection="1">
      <alignment horizontal="left" wrapText="1"/>
      <protection locked="0"/>
    </xf>
    <xf numFmtId="165" fontId="27" fillId="4" borderId="24" xfId="0" applyNumberFormat="1" applyFont="1" applyFill="1" applyBorder="1" applyAlignment="1" applyProtection="1">
      <alignment horizontal="left" wrapText="1"/>
      <protection locked="0"/>
    </xf>
    <xf numFmtId="1" fontId="13" fillId="0" borderId="10" xfId="0" applyNumberFormat="1" applyFont="1" applyBorder="1" applyAlignment="1" applyProtection="1">
      <alignment horizontal="left" vertical="top" wrapText="1"/>
      <protection locked="0"/>
    </xf>
    <xf numFmtId="0" fontId="0" fillId="0" borderId="8" xfId="0" applyBorder="1" applyProtection="1">
      <protection locked="0"/>
    </xf>
    <xf numFmtId="1" fontId="18" fillId="4" borderId="22" xfId="0" applyNumberFormat="1" applyFont="1" applyFill="1" applyBorder="1" applyAlignment="1" applyProtection="1">
      <alignment horizontal="left" wrapTex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49" fontId="22" fillId="0" borderId="2" xfId="0" applyNumberFormat="1" applyFont="1" applyBorder="1" applyAlignment="1" applyProtection="1">
      <alignment horizontal="left" vertical="justify" wrapText="1"/>
      <protection locked="0"/>
    </xf>
    <xf numFmtId="0" fontId="0" fillId="0" borderId="18" xfId="0" applyBorder="1" applyProtection="1">
      <protection locked="0"/>
    </xf>
    <xf numFmtId="0" fontId="6" fillId="0" borderId="16" xfId="0" applyFont="1" applyBorder="1" applyAlignment="1" applyProtection="1">
      <alignment horizontal="center" vertical="top"/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6" fillId="0" borderId="12" xfId="0" applyFont="1" applyBorder="1" applyAlignment="1" applyProtection="1">
      <alignment horizontal="right"/>
      <protection locked="0"/>
    </xf>
    <xf numFmtId="0" fontId="0" fillId="0" borderId="6" xfId="0" applyBorder="1" applyProtection="1">
      <protection locked="0"/>
    </xf>
    <xf numFmtId="0" fontId="4" fillId="0" borderId="18" xfId="0" applyFont="1" applyBorder="1" applyAlignment="1" applyProtection="1">
      <alignment horizontal="right" vertical="justify"/>
      <protection locked="0"/>
    </xf>
    <xf numFmtId="0" fontId="4" fillId="0" borderId="7" xfId="0" applyFont="1" applyBorder="1" applyAlignment="1" applyProtection="1">
      <alignment horizontal="right" vertical="justify"/>
      <protection locked="0"/>
    </xf>
    <xf numFmtId="0" fontId="0" fillId="0" borderId="7" xfId="0" applyBorder="1" applyProtection="1">
      <protection locked="0"/>
    </xf>
    <xf numFmtId="0" fontId="28" fillId="0" borderId="0" xfId="0" applyFont="1" applyAlignment="1" applyProtection="1">
      <alignment horizontal="left"/>
      <protection locked="0"/>
    </xf>
    <xf numFmtId="1" fontId="29" fillId="0" borderId="0" xfId="0" applyNumberFormat="1" applyFont="1" applyAlignment="1">
      <alignment horizontal="center" vertical="justify"/>
    </xf>
    <xf numFmtId="0" fontId="23" fillId="0" borderId="0" xfId="0" applyFont="1"/>
    <xf numFmtId="0" fontId="23" fillId="0" borderId="1" xfId="0" applyFont="1" applyBorder="1" applyAlignment="1">
      <alignment horizontal="center" wrapText="1"/>
    </xf>
    <xf numFmtId="0" fontId="0" fillId="0" borderId="10" xfId="0" applyBorder="1"/>
    <xf numFmtId="0" fontId="23" fillId="0" borderId="1" xfId="0" applyFont="1" applyBorder="1" applyAlignment="1">
      <alignment horizontal="center"/>
    </xf>
    <xf numFmtId="0" fontId="0" fillId="0" borderId="18" xfId="0" applyBorder="1"/>
    <xf numFmtId="0" fontId="0" fillId="0" borderId="11" xfId="0" applyBorder="1"/>
    <xf numFmtId="0" fontId="25" fillId="0" borderId="0" xfId="0" applyFont="1" applyAlignment="1">
      <alignment horizontal="center"/>
    </xf>
    <xf numFmtId="0" fontId="25" fillId="0" borderId="7" xfId="0" applyFont="1" applyBorder="1" applyAlignment="1">
      <alignment horizontal="center" vertical="center"/>
    </xf>
    <xf numFmtId="0" fontId="0" fillId="0" borderId="7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6.2429786035271363E-2"/>
          <c:y val="9.2605397233670259E-3"/>
          <c:w val="0.89949854981431521"/>
          <c:h val="0.8751210038581837"/>
        </c:manualLayout>
      </c:layout>
      <c:surface3DChart>
        <c:wireframe val="0"/>
        <c:ser>
          <c:idx val="0"/>
          <c:order val="0"/>
          <c:tx>
            <c:strRef>
              <c:f>'Объемы на смету'!$K$31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'Объемы на смету'!$L$30:$AF$30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'Объемы на смету'!$L$31:$AF$31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04-45FF-9E06-E30AA8CDCC25}"/>
            </c:ext>
          </c:extLst>
        </c:ser>
        <c:ser>
          <c:idx val="1"/>
          <c:order val="1"/>
          <c:tx>
            <c:strRef>
              <c:f>'Объемы на смету'!$K$32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'Объемы на смету'!$L$30:$AF$30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'Объемы на смету'!$L$32:$AF$32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04-45FF-9E06-E30AA8CDCC25}"/>
            </c:ext>
          </c:extLst>
        </c:ser>
        <c:ser>
          <c:idx val="2"/>
          <c:order val="2"/>
          <c:tx>
            <c:strRef>
              <c:f>'Объемы на смету'!$K$33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'Объемы на смету'!$L$30:$AF$30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'Объемы на смету'!$L$33:$AF$33</c:f>
              <c:numCache>
                <c:formatCode>General</c:formatCode>
                <c:ptCount val="21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04-45FF-9E06-E30AA8CDCC25}"/>
            </c:ext>
          </c:extLst>
        </c:ser>
        <c:ser>
          <c:idx val="3"/>
          <c:order val="3"/>
          <c:tx>
            <c:strRef>
              <c:f>'Объемы на смету'!$K$34</c:f>
              <c:strCache>
                <c:ptCount val="1"/>
                <c:pt idx="0">
                  <c:v>150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'Объемы на смету'!$L$30:$AF$30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'Объемы на смету'!$L$34:$AF$34</c:f>
              <c:numCache>
                <c:formatCode>General</c:formatCode>
                <c:ptCount val="21"/>
                <c:pt idx="0">
                  <c:v>200</c:v>
                </c:pt>
                <c:pt idx="1">
                  <c:v>185</c:v>
                </c:pt>
                <c:pt idx="2">
                  <c:v>170</c:v>
                </c:pt>
                <c:pt idx="3">
                  <c:v>155</c:v>
                </c:pt>
                <c:pt idx="4">
                  <c:v>140</c:v>
                </c:pt>
                <c:pt idx="5">
                  <c:v>125</c:v>
                </c:pt>
                <c:pt idx="6">
                  <c:v>110</c:v>
                </c:pt>
                <c:pt idx="7">
                  <c:v>95</c:v>
                </c:pt>
                <c:pt idx="8">
                  <c:v>80</c:v>
                </c:pt>
                <c:pt idx="9">
                  <c:v>65</c:v>
                </c:pt>
                <c:pt idx="10">
                  <c:v>50</c:v>
                </c:pt>
                <c:pt idx="11">
                  <c:v>35</c:v>
                </c:pt>
                <c:pt idx="12">
                  <c:v>20</c:v>
                </c:pt>
                <c:pt idx="13">
                  <c:v>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04-45FF-9E06-E30AA8CDCC25}"/>
            </c:ext>
          </c:extLst>
        </c:ser>
        <c:ser>
          <c:idx val="4"/>
          <c:order val="4"/>
          <c:tx>
            <c:strRef>
              <c:f>'Объемы на смету'!$K$35</c:f>
              <c:strCache>
                <c:ptCount val="1"/>
                <c:pt idx="0">
                  <c:v>200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'Объемы на смету'!$L$30:$AF$30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'Объемы на смету'!$L$35:$AF$35</c:f>
              <c:numCache>
                <c:formatCode>General</c:formatCode>
                <c:ptCount val="21"/>
                <c:pt idx="0">
                  <c:v>300</c:v>
                </c:pt>
                <c:pt idx="1">
                  <c:v>280</c:v>
                </c:pt>
                <c:pt idx="2">
                  <c:v>260</c:v>
                </c:pt>
                <c:pt idx="3">
                  <c:v>240</c:v>
                </c:pt>
                <c:pt idx="4">
                  <c:v>220</c:v>
                </c:pt>
                <c:pt idx="5">
                  <c:v>200</c:v>
                </c:pt>
                <c:pt idx="6">
                  <c:v>180</c:v>
                </c:pt>
                <c:pt idx="7">
                  <c:v>160</c:v>
                </c:pt>
                <c:pt idx="8">
                  <c:v>140</c:v>
                </c:pt>
                <c:pt idx="9">
                  <c:v>120</c:v>
                </c:pt>
                <c:pt idx="10">
                  <c:v>100</c:v>
                </c:pt>
                <c:pt idx="11">
                  <c:v>80</c:v>
                </c:pt>
                <c:pt idx="12">
                  <c:v>60</c:v>
                </c:pt>
                <c:pt idx="13">
                  <c:v>40</c:v>
                </c:pt>
                <c:pt idx="14">
                  <c:v>20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04-45FF-9E06-E30AA8CDCC25}"/>
            </c:ext>
          </c:extLst>
        </c:ser>
        <c:ser>
          <c:idx val="5"/>
          <c:order val="5"/>
          <c:tx>
            <c:strRef>
              <c:f>'Объемы на смету'!$K$36</c:f>
              <c:strCache>
                <c:ptCount val="1"/>
                <c:pt idx="0">
                  <c:v>250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'Объемы на смету'!$L$30:$AF$30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'Объемы на смету'!$L$36:$AF$36</c:f>
              <c:numCache>
                <c:formatCode>General</c:formatCode>
                <c:ptCount val="21"/>
                <c:pt idx="0">
                  <c:v>400</c:v>
                </c:pt>
                <c:pt idx="1">
                  <c:v>375</c:v>
                </c:pt>
                <c:pt idx="2">
                  <c:v>350</c:v>
                </c:pt>
                <c:pt idx="3">
                  <c:v>325</c:v>
                </c:pt>
                <c:pt idx="4">
                  <c:v>300</c:v>
                </c:pt>
                <c:pt idx="5">
                  <c:v>275</c:v>
                </c:pt>
                <c:pt idx="6">
                  <c:v>250</c:v>
                </c:pt>
                <c:pt idx="7">
                  <c:v>225</c:v>
                </c:pt>
                <c:pt idx="8">
                  <c:v>200</c:v>
                </c:pt>
                <c:pt idx="9">
                  <c:v>175</c:v>
                </c:pt>
                <c:pt idx="10">
                  <c:v>150</c:v>
                </c:pt>
                <c:pt idx="11">
                  <c:v>125</c:v>
                </c:pt>
                <c:pt idx="12">
                  <c:v>100</c:v>
                </c:pt>
                <c:pt idx="13">
                  <c:v>75</c:v>
                </c:pt>
                <c:pt idx="14">
                  <c:v>50</c:v>
                </c:pt>
                <c:pt idx="15">
                  <c:v>25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404-45FF-9E06-E30AA8CDCC25}"/>
            </c:ext>
          </c:extLst>
        </c:ser>
        <c:ser>
          <c:idx val="6"/>
          <c:order val="6"/>
          <c:tx>
            <c:strRef>
              <c:f>'Объемы на смету'!$K$37</c:f>
              <c:strCache>
                <c:ptCount val="1"/>
                <c:pt idx="0">
                  <c:v>300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'Объемы на смету'!$L$30:$AF$30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'Объемы на смету'!$L$37:$AF$37</c:f>
              <c:numCache>
                <c:formatCode>General</c:formatCode>
                <c:ptCount val="21"/>
                <c:pt idx="0">
                  <c:v>500</c:v>
                </c:pt>
                <c:pt idx="1">
                  <c:v>470</c:v>
                </c:pt>
                <c:pt idx="2">
                  <c:v>440</c:v>
                </c:pt>
                <c:pt idx="3">
                  <c:v>410</c:v>
                </c:pt>
                <c:pt idx="4">
                  <c:v>380</c:v>
                </c:pt>
                <c:pt idx="5">
                  <c:v>350</c:v>
                </c:pt>
                <c:pt idx="6">
                  <c:v>320</c:v>
                </c:pt>
                <c:pt idx="7">
                  <c:v>290</c:v>
                </c:pt>
                <c:pt idx="8">
                  <c:v>260</c:v>
                </c:pt>
                <c:pt idx="9">
                  <c:v>230</c:v>
                </c:pt>
                <c:pt idx="10">
                  <c:v>200</c:v>
                </c:pt>
                <c:pt idx="11">
                  <c:v>170</c:v>
                </c:pt>
                <c:pt idx="12">
                  <c:v>140</c:v>
                </c:pt>
                <c:pt idx="13">
                  <c:v>110</c:v>
                </c:pt>
                <c:pt idx="14">
                  <c:v>80</c:v>
                </c:pt>
                <c:pt idx="15">
                  <c:v>50</c:v>
                </c:pt>
                <c:pt idx="16">
                  <c:v>20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404-45FF-9E06-E30AA8CDCC25}"/>
            </c:ext>
          </c:extLst>
        </c:ser>
        <c:ser>
          <c:idx val="7"/>
          <c:order val="7"/>
          <c:tx>
            <c:strRef>
              <c:f>'Объемы на смету'!$K$38</c:f>
              <c:strCache>
                <c:ptCount val="1"/>
                <c:pt idx="0">
                  <c:v>350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'Объемы на смету'!$L$30:$AF$30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'Объемы на смету'!$L$38:$AF$38</c:f>
              <c:numCache>
                <c:formatCode>General</c:formatCode>
                <c:ptCount val="21"/>
                <c:pt idx="0">
                  <c:v>600</c:v>
                </c:pt>
                <c:pt idx="1">
                  <c:v>565</c:v>
                </c:pt>
                <c:pt idx="2">
                  <c:v>530</c:v>
                </c:pt>
                <c:pt idx="3">
                  <c:v>495</c:v>
                </c:pt>
                <c:pt idx="4">
                  <c:v>460</c:v>
                </c:pt>
                <c:pt idx="5">
                  <c:v>425</c:v>
                </c:pt>
                <c:pt idx="6">
                  <c:v>390</c:v>
                </c:pt>
                <c:pt idx="7">
                  <c:v>355</c:v>
                </c:pt>
                <c:pt idx="8">
                  <c:v>320</c:v>
                </c:pt>
                <c:pt idx="9">
                  <c:v>285</c:v>
                </c:pt>
                <c:pt idx="10">
                  <c:v>250</c:v>
                </c:pt>
                <c:pt idx="11">
                  <c:v>215</c:v>
                </c:pt>
                <c:pt idx="12">
                  <c:v>180</c:v>
                </c:pt>
                <c:pt idx="13">
                  <c:v>145</c:v>
                </c:pt>
                <c:pt idx="14">
                  <c:v>110</c:v>
                </c:pt>
                <c:pt idx="15">
                  <c:v>75</c:v>
                </c:pt>
                <c:pt idx="16">
                  <c:v>40</c:v>
                </c:pt>
                <c:pt idx="17">
                  <c:v>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404-45FF-9E06-E30AA8CDCC25}"/>
            </c:ext>
          </c:extLst>
        </c:ser>
        <c:ser>
          <c:idx val="8"/>
          <c:order val="8"/>
          <c:tx>
            <c:strRef>
              <c:f>'Объемы на смету'!$K$39</c:f>
              <c:strCache>
                <c:ptCount val="1"/>
                <c:pt idx="0">
                  <c:v>400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'Объемы на смету'!$L$30:$AF$30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'Объемы на смету'!$L$39:$AF$39</c:f>
              <c:numCache>
                <c:formatCode>General</c:formatCode>
                <c:ptCount val="21"/>
                <c:pt idx="0">
                  <c:v>700</c:v>
                </c:pt>
                <c:pt idx="1">
                  <c:v>660</c:v>
                </c:pt>
                <c:pt idx="2">
                  <c:v>620</c:v>
                </c:pt>
                <c:pt idx="3">
                  <c:v>580</c:v>
                </c:pt>
                <c:pt idx="4">
                  <c:v>540</c:v>
                </c:pt>
                <c:pt idx="5">
                  <c:v>500</c:v>
                </c:pt>
                <c:pt idx="6">
                  <c:v>460</c:v>
                </c:pt>
                <c:pt idx="7">
                  <c:v>420</c:v>
                </c:pt>
                <c:pt idx="8">
                  <c:v>380</c:v>
                </c:pt>
                <c:pt idx="9">
                  <c:v>340</c:v>
                </c:pt>
                <c:pt idx="10">
                  <c:v>300</c:v>
                </c:pt>
                <c:pt idx="11">
                  <c:v>260</c:v>
                </c:pt>
                <c:pt idx="12">
                  <c:v>220</c:v>
                </c:pt>
                <c:pt idx="13">
                  <c:v>180</c:v>
                </c:pt>
                <c:pt idx="14">
                  <c:v>140</c:v>
                </c:pt>
                <c:pt idx="15">
                  <c:v>100</c:v>
                </c:pt>
                <c:pt idx="16">
                  <c:v>60</c:v>
                </c:pt>
                <c:pt idx="17">
                  <c:v>20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404-45FF-9E06-E30AA8CDCC25}"/>
            </c:ext>
          </c:extLst>
        </c:ser>
        <c:ser>
          <c:idx val="9"/>
          <c:order val="9"/>
          <c:tx>
            <c:strRef>
              <c:f>'Объемы на смету'!$K$40</c:f>
              <c:strCache>
                <c:ptCount val="1"/>
                <c:pt idx="0">
                  <c:v>450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'Объемы на смету'!$L$30:$AF$30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'Объемы на смету'!$L$40:$AF$40</c:f>
              <c:numCache>
                <c:formatCode>General</c:formatCode>
                <c:ptCount val="21"/>
                <c:pt idx="0">
                  <c:v>800</c:v>
                </c:pt>
                <c:pt idx="1">
                  <c:v>755</c:v>
                </c:pt>
                <c:pt idx="2">
                  <c:v>710</c:v>
                </c:pt>
                <c:pt idx="3">
                  <c:v>665</c:v>
                </c:pt>
                <c:pt idx="4">
                  <c:v>620</c:v>
                </c:pt>
                <c:pt idx="5">
                  <c:v>575</c:v>
                </c:pt>
                <c:pt idx="6">
                  <c:v>530</c:v>
                </c:pt>
                <c:pt idx="7">
                  <c:v>485</c:v>
                </c:pt>
                <c:pt idx="8">
                  <c:v>440</c:v>
                </c:pt>
                <c:pt idx="9">
                  <c:v>395</c:v>
                </c:pt>
                <c:pt idx="10">
                  <c:v>350</c:v>
                </c:pt>
                <c:pt idx="11">
                  <c:v>305</c:v>
                </c:pt>
                <c:pt idx="12">
                  <c:v>260</c:v>
                </c:pt>
                <c:pt idx="13">
                  <c:v>215</c:v>
                </c:pt>
                <c:pt idx="14">
                  <c:v>170</c:v>
                </c:pt>
                <c:pt idx="15">
                  <c:v>125</c:v>
                </c:pt>
                <c:pt idx="16">
                  <c:v>80</c:v>
                </c:pt>
                <c:pt idx="17">
                  <c:v>35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404-45FF-9E06-E30AA8CDCC25}"/>
            </c:ext>
          </c:extLst>
        </c:ser>
        <c:ser>
          <c:idx val="10"/>
          <c:order val="10"/>
          <c:tx>
            <c:strRef>
              <c:f>'Объемы на смету'!$K$41</c:f>
              <c:strCache>
                <c:ptCount val="1"/>
                <c:pt idx="0">
                  <c:v>500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'Объемы на смету'!$L$30:$AF$30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'Объемы на смету'!$L$41:$AF$41</c:f>
              <c:numCache>
                <c:formatCode>General</c:formatCode>
                <c:ptCount val="21"/>
                <c:pt idx="0">
                  <c:v>900</c:v>
                </c:pt>
                <c:pt idx="1">
                  <c:v>850</c:v>
                </c:pt>
                <c:pt idx="2">
                  <c:v>800</c:v>
                </c:pt>
                <c:pt idx="3">
                  <c:v>750</c:v>
                </c:pt>
                <c:pt idx="4">
                  <c:v>700</c:v>
                </c:pt>
                <c:pt idx="5">
                  <c:v>650</c:v>
                </c:pt>
                <c:pt idx="6">
                  <c:v>600</c:v>
                </c:pt>
                <c:pt idx="7">
                  <c:v>550</c:v>
                </c:pt>
                <c:pt idx="8">
                  <c:v>500</c:v>
                </c:pt>
                <c:pt idx="9">
                  <c:v>450</c:v>
                </c:pt>
                <c:pt idx="10">
                  <c:v>400</c:v>
                </c:pt>
                <c:pt idx="11">
                  <c:v>350</c:v>
                </c:pt>
                <c:pt idx="12">
                  <c:v>300</c:v>
                </c:pt>
                <c:pt idx="13">
                  <c:v>250</c:v>
                </c:pt>
                <c:pt idx="14">
                  <c:v>200</c:v>
                </c:pt>
                <c:pt idx="15">
                  <c:v>150</c:v>
                </c:pt>
                <c:pt idx="16">
                  <c:v>100</c:v>
                </c:pt>
                <c:pt idx="17">
                  <c:v>50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404-45FF-9E06-E30AA8CDCC25}"/>
            </c:ext>
          </c:extLst>
        </c:ser>
        <c:bandFmts>
          <c:bandFmt>
            <c:idx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  <c:bandFmt>
            <c:idx val="1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  <c:bandFmt>
            <c:idx val="2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  <c:bandFmt>
            <c:idx val="3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  <c:bandFmt>
            <c:idx val="4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  <c:bandFmt>
            <c:idx val="5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  <c:bandFmt>
            <c:idx val="6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  <c:bandFmt>
            <c:idx val="7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  <c:bandFmt>
            <c:idx val="8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</c:bandFmts>
        <c:axId val="135319936"/>
        <c:axId val="135321472"/>
        <c:axId val="135299968"/>
      </c:surface3DChart>
      <c:catAx>
        <c:axId val="135319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50" b="0" i="0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35321472"/>
        <c:crosses val="autoZero"/>
        <c:auto val="1"/>
        <c:lblAlgn val="ctr"/>
        <c:lblOffset val="100"/>
        <c:tickLblSkip val="2"/>
        <c:tickMarkSkip val="1"/>
        <c:noMultiLvlLbl val="1"/>
      </c:catAx>
      <c:valAx>
        <c:axId val="135321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35319936"/>
        <c:crosses val="autoZero"/>
        <c:crossBetween val="between"/>
      </c:valAx>
      <c:serAx>
        <c:axId val="135299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35321472"/>
        <c:crosses val="autoZero"/>
        <c:tickLblSkip val="4"/>
        <c:tickMarkSkip val="1"/>
      </c:ser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397452</xdr:colOff>
      <xdr:row>24</xdr:row>
      <xdr:rowOff>297007</xdr:rowOff>
    </xdr:from>
    <xdr:to>
      <xdr:col>8</xdr:col>
      <xdr:colOff>251963</xdr:colOff>
      <xdr:row>29</xdr:row>
      <xdr:rowOff>57150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545" t="8707"/>
        <a:stretch>
          <a:fillRect/>
        </a:stretch>
      </xdr:blipFill>
      <xdr:spPr>
        <a:xfrm>
          <a:off x="4969452" y="6354907"/>
          <a:ext cx="2073836" cy="922193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114300</xdr:colOff>
      <xdr:row>12</xdr:row>
      <xdr:rowOff>104775</xdr:rowOff>
    </xdr:from>
    <xdr:to>
      <xdr:col>26</xdr:col>
      <xdr:colOff>323850</xdr:colOff>
      <xdr:row>29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A287"/>
  <sheetViews>
    <sheetView showZeros="0" tabSelected="1" showOutlineSymbols="0" view="pageBreakPreview" zoomScaleNormal="100" zoomScaleSheetLayoutView="100" workbookViewId="0">
      <selection activeCell="H24" sqref="H24"/>
    </sheetView>
  </sheetViews>
  <sheetFormatPr defaultColWidth="9.140625" defaultRowHeight="15.75"/>
  <cols>
    <col min="1" max="1" width="5.28515625" style="3" customWidth="1"/>
    <col min="2" max="2" width="29.140625" style="17" customWidth="1"/>
    <col min="3" max="3" width="7.7109375" style="1" customWidth="1"/>
    <col min="4" max="4" width="6.7109375" style="1" customWidth="1"/>
    <col min="5" max="5" width="7.85546875" style="3" customWidth="1"/>
    <col min="6" max="6" width="11.85546875" style="3" customWidth="1"/>
    <col min="7" max="7" width="8" style="3" customWidth="1"/>
    <col min="8" max="8" width="25.28515625" style="2" customWidth="1"/>
    <col min="9" max="9" width="12.28515625" style="18" customWidth="1"/>
    <col min="10" max="10" width="14" style="180" customWidth="1"/>
    <col min="11" max="11" width="19.28515625" style="19" customWidth="1"/>
    <col min="12" max="12" width="4.85546875" style="17" hidden="1" customWidth="1"/>
    <col min="13" max="13" width="4.42578125" style="17" hidden="1" customWidth="1"/>
    <col min="14" max="14" width="8.28515625" style="17" hidden="1" customWidth="1"/>
    <col min="15" max="15" width="13" style="17" hidden="1" customWidth="1"/>
    <col min="16" max="16" width="12.140625" style="17" customWidth="1"/>
    <col min="17" max="25" width="9.140625" style="17" customWidth="1"/>
    <col min="26" max="26" width="1" style="17" customWidth="1"/>
    <col min="27" max="27" width="15.28515625" style="17" customWidth="1"/>
    <col min="28" max="28" width="9.140625" style="17" customWidth="1"/>
    <col min="29" max="29" width="2.85546875" style="17" customWidth="1"/>
    <col min="30" max="35" width="9.140625" style="17" customWidth="1"/>
    <col min="36" max="16384" width="9.140625" style="17"/>
  </cols>
  <sheetData>
    <row r="1" spans="1:27" s="209" customFormat="1" ht="15.75" customHeight="1">
      <c r="A1" s="66"/>
      <c r="B1" s="67"/>
      <c r="C1" s="66"/>
      <c r="D1" s="68" t="s">
        <v>0</v>
      </c>
      <c r="E1" s="69"/>
      <c r="F1" s="70"/>
      <c r="G1" s="69"/>
      <c r="H1" s="71"/>
      <c r="I1" s="70"/>
      <c r="J1" s="177"/>
      <c r="K1" s="72"/>
      <c r="M1" s="86" t="s">
        <v>1</v>
      </c>
      <c r="N1" s="87" t="s">
        <v>2</v>
      </c>
    </row>
    <row r="2" spans="1:27" s="209" customFormat="1" ht="20.25" customHeight="1" thickBot="1">
      <c r="A2" s="216" t="s">
        <v>3</v>
      </c>
      <c r="B2" s="215"/>
      <c r="C2" s="215"/>
      <c r="D2" s="215"/>
      <c r="E2" s="215"/>
      <c r="F2" s="215"/>
      <c r="G2" s="215"/>
      <c r="H2" s="215"/>
      <c r="I2" s="215"/>
      <c r="J2" s="215"/>
      <c r="K2" s="215"/>
    </row>
    <row r="3" spans="1:27" s="209" customFormat="1" ht="33.75" customHeight="1" thickTop="1" thickBot="1">
      <c r="A3" s="66"/>
      <c r="B3" s="225" t="s">
        <v>4</v>
      </c>
      <c r="C3" s="218"/>
      <c r="D3" s="218"/>
      <c r="E3" s="104">
        <v>1</v>
      </c>
      <c r="F3" s="217" t="s">
        <v>5</v>
      </c>
      <c r="G3" s="218"/>
      <c r="H3" s="105">
        <v>1</v>
      </c>
      <c r="I3" s="221" t="s">
        <v>6</v>
      </c>
      <c r="J3" s="218"/>
      <c r="K3" s="205"/>
      <c r="L3" s="172">
        <v>2</v>
      </c>
      <c r="M3" s="214" t="s">
        <v>7</v>
      </c>
      <c r="N3" s="215"/>
      <c r="AA3" s="171" t="s">
        <v>7</v>
      </c>
    </row>
    <row r="4" spans="1:27" s="209" customFormat="1" ht="32.25" customHeight="1" thickBot="1">
      <c r="A4" s="66"/>
      <c r="B4" s="219" t="s">
        <v>8</v>
      </c>
      <c r="C4" s="220"/>
      <c r="D4" s="220"/>
      <c r="E4" s="106">
        <v>1.5</v>
      </c>
      <c r="F4" s="219" t="s">
        <v>9</v>
      </c>
      <c r="G4" s="220"/>
      <c r="H4" s="107">
        <v>2</v>
      </c>
      <c r="I4" s="222" t="s">
        <v>10</v>
      </c>
      <c r="J4" s="220"/>
      <c r="K4" s="206"/>
      <c r="O4" s="209" t="e">
        <f ca="1">GetKom(#REF!,#REF!,#REF!,#REF!)</f>
        <v>#NAME?</v>
      </c>
    </row>
    <row r="5" spans="1:27" s="61" customFormat="1" ht="21" customHeight="1" thickTop="1">
      <c r="A5" s="47" t="s">
        <v>11</v>
      </c>
      <c r="B5" s="99" t="s">
        <v>12</v>
      </c>
      <c r="C5" s="223" t="s">
        <v>13</v>
      </c>
      <c r="D5" s="224"/>
      <c r="E5" s="112" t="s">
        <v>14</v>
      </c>
      <c r="F5" s="100" t="s">
        <v>15</v>
      </c>
      <c r="G5" s="101" t="s">
        <v>16</v>
      </c>
      <c r="H5" s="102" t="s">
        <v>17</v>
      </c>
      <c r="I5" s="110" t="s">
        <v>18</v>
      </c>
      <c r="J5" s="103" t="s">
        <v>19</v>
      </c>
      <c r="K5" s="111" t="s">
        <v>20</v>
      </c>
      <c r="L5" s="165"/>
      <c r="N5" s="62"/>
      <c r="AA5" s="122" t="s">
        <v>21</v>
      </c>
    </row>
    <row r="6" spans="1:27" s="61" customFormat="1" ht="27" customHeight="1">
      <c r="A6" s="48" t="s">
        <v>22</v>
      </c>
      <c r="B6" s="99" t="s">
        <v>23</v>
      </c>
      <c r="C6" s="91" t="s">
        <v>24</v>
      </c>
      <c r="D6" s="92" t="s">
        <v>25</v>
      </c>
      <c r="E6" s="90" t="s">
        <v>26</v>
      </c>
      <c r="F6" s="90" t="s">
        <v>27</v>
      </c>
      <c r="G6" s="90" t="s">
        <v>28</v>
      </c>
      <c r="H6" s="49" t="s">
        <v>29</v>
      </c>
      <c r="I6" s="48" t="s">
        <v>30</v>
      </c>
      <c r="J6" s="82" t="s">
        <v>31</v>
      </c>
      <c r="K6" s="50"/>
      <c r="L6" s="166"/>
      <c r="M6" s="54" t="s">
        <v>32</v>
      </c>
      <c r="N6" s="53" t="s">
        <v>33</v>
      </c>
      <c r="O6" s="73"/>
      <c r="P6" s="73"/>
      <c r="Q6" s="73"/>
      <c r="R6" s="73"/>
      <c r="S6" s="73"/>
      <c r="AA6" s="123" t="s">
        <v>34</v>
      </c>
    </row>
    <row r="7" spans="1:27" ht="0.75" customHeight="1">
      <c r="A7" s="98"/>
      <c r="B7" s="108"/>
      <c r="C7" s="97"/>
      <c r="D7" s="109"/>
      <c r="E7" s="74"/>
      <c r="F7" s="74"/>
      <c r="G7" s="74"/>
      <c r="H7" s="94"/>
      <c r="I7" s="95"/>
      <c r="J7" s="178">
        <f>IF(OR(K7=Списки!$K$2,K7=Списки!$K$3,K7=Списки!$K$4,K7=Списки!$K$7,K7=Списки!$K$9,K7=Списки!$K$8,K7=Списки!$K$6),Списки!$J$2,PRODUCT(IF(Списки!$I$4=I7,1,0),$E$3,$H$3,IF(SUM(C7:D7)&lt;&gt;0,SUM(C7:D7),0),IF(C7&gt;0,SUMIF(Списки!$B$2:$B$77,B7,Списки!$D$2:D$77),Списки!$D$74)))</f>
        <v>0</v>
      </c>
      <c r="K7" s="95"/>
      <c r="L7" s="167"/>
      <c r="M7" s="75">
        <f>IF(J7&gt;0,1,0)*C7*IF(J7="Без компенсац.",0,1)</f>
        <v>0</v>
      </c>
      <c r="N7" s="75" t="e">
        <f>VLOOKUP(B7,Списки!$B$2:$C$77,2,FALSE)</f>
        <v>#N/A</v>
      </c>
    </row>
    <row r="8" spans="1:27" ht="0.75" customHeight="1">
      <c r="A8" s="98"/>
      <c r="B8" s="108"/>
      <c r="C8" s="97"/>
      <c r="D8" s="109"/>
      <c r="E8" s="74"/>
      <c r="F8" s="74"/>
      <c r="G8" s="74"/>
      <c r="H8" s="94"/>
      <c r="I8" s="95"/>
      <c r="J8" s="178"/>
      <c r="K8" s="95"/>
      <c r="L8" s="167"/>
      <c r="M8" s="75"/>
      <c r="N8" s="75"/>
    </row>
    <row r="9" spans="1:27" ht="59.25" customHeight="1">
      <c r="A9" s="203" t="s">
        <v>35</v>
      </c>
      <c r="B9" s="200" t="s">
        <v>36</v>
      </c>
      <c r="C9" s="198" t="s">
        <v>35</v>
      </c>
      <c r="D9" s="109"/>
      <c r="E9" s="203" t="s">
        <v>37</v>
      </c>
      <c r="F9" s="203" t="s">
        <v>38</v>
      </c>
      <c r="G9" s="208" t="s">
        <v>39</v>
      </c>
      <c r="H9" s="191"/>
      <c r="I9" s="199" t="s">
        <v>40</v>
      </c>
      <c r="J9" s="178"/>
      <c r="K9" s="199"/>
      <c r="L9" s="167"/>
      <c r="M9" s="75">
        <f>IF(J9&gt;0,1,0)*C9*IF(J9="Без компенсац.",0,1)</f>
        <v>0</v>
      </c>
      <c r="N9" s="75">
        <f>VLOOKUP(B9,Списки!$B$2:$C$77,2,FALSE)</f>
        <v>2</v>
      </c>
    </row>
    <row r="10" spans="1:27" ht="39.6" customHeight="1" thickBot="1">
      <c r="A10" s="182"/>
      <c r="B10" s="183" t="s">
        <v>41</v>
      </c>
      <c r="C10" s="195" t="s">
        <v>35</v>
      </c>
      <c r="D10" s="184">
        <f>SUM(D7:D9)</f>
        <v>0</v>
      </c>
      <c r="E10" s="185"/>
      <c r="F10" s="212" t="s">
        <v>42</v>
      </c>
      <c r="G10" s="213"/>
      <c r="H10" s="186"/>
      <c r="I10" s="187" t="s">
        <v>43</v>
      </c>
      <c r="J10" s="188">
        <v>0</v>
      </c>
      <c r="K10" s="189"/>
      <c r="L10" s="170"/>
      <c r="M10" s="75"/>
      <c r="N10" s="75"/>
      <c r="AA10" s="115"/>
    </row>
    <row r="11" spans="1:27" ht="26.45" customHeight="1" thickTop="1" thickBot="1">
      <c r="A11" s="4"/>
      <c r="B11" s="42" t="s">
        <v>44</v>
      </c>
      <c r="C11" s="196">
        <f>SUMIF($I$7:$I$9,B11,$C$7:$C$9)</f>
        <v>0</v>
      </c>
      <c r="D11" s="93">
        <f>SUMIF($I$7:$I$9,B11,$D$7:$D$9)</f>
        <v>0</v>
      </c>
      <c r="E11" s="5"/>
      <c r="F11" s="227" t="s">
        <v>45</v>
      </c>
      <c r="G11" s="228"/>
      <c r="H11" s="125">
        <v>0</v>
      </c>
      <c r="I11" s="126" t="s">
        <v>43</v>
      </c>
      <c r="J11" s="127"/>
      <c r="K11" s="96"/>
      <c r="L11" s="170"/>
      <c r="M11" s="75"/>
      <c r="N11" s="75"/>
      <c r="AA11" s="115"/>
    </row>
    <row r="12" spans="1:27" ht="16.5" customHeight="1" thickTop="1">
      <c r="A12" s="4"/>
      <c r="B12" s="21" t="s">
        <v>46</v>
      </c>
      <c r="C12"/>
      <c r="D12" s="93">
        <f>SUMIF($I$7:$I$9,B12,$D$7:$D$9)</f>
        <v>0</v>
      </c>
      <c r="E12" s="197"/>
      <c r="G12" s="192"/>
      <c r="H12" s="193" t="s">
        <v>47</v>
      </c>
      <c r="I12" s="96" t="s">
        <v>48</v>
      </c>
      <c r="J12" s="174">
        <f>SUMIF($C$7:$C$9,"&gt;0",$J$7:$J$9)</f>
        <v>0</v>
      </c>
      <c r="K12" s="128" t="s">
        <v>49</v>
      </c>
      <c r="L12" s="170"/>
      <c r="M12" s="75"/>
      <c r="N12" s="75"/>
      <c r="AA12" s="115"/>
    </row>
    <row r="13" spans="1:27">
      <c r="A13" s="4"/>
      <c r="B13" s="21" t="s">
        <v>40</v>
      </c>
      <c r="C13" s="93" t="s">
        <v>35</v>
      </c>
      <c r="D13" s="93">
        <f>SUMIF($I$7:$I$9,B13,$D$7:$D$9)</f>
        <v>0</v>
      </c>
      <c r="E13" s="6"/>
      <c r="F13" s="232" t="s">
        <v>50</v>
      </c>
      <c r="G13" s="215"/>
      <c r="H13" s="233"/>
      <c r="I13" s="129" t="s">
        <v>51</v>
      </c>
      <c r="J13" s="174">
        <f>SUMIF($D$7:$D$9,"&gt;0",$J$7:$J$9)</f>
        <v>0</v>
      </c>
      <c r="K13" s="128" t="s">
        <v>49</v>
      </c>
      <c r="L13" s="170"/>
      <c r="M13" s="75"/>
      <c r="N13" s="75"/>
      <c r="AA13" s="115"/>
    </row>
    <row r="14" spans="1:27">
      <c r="A14" s="39" t="s">
        <v>52</v>
      </c>
      <c r="B14" s="21" t="s">
        <v>53</v>
      </c>
      <c r="C14" s="93"/>
      <c r="D14" s="93"/>
      <c r="E14" s="6"/>
      <c r="G14" s="201"/>
      <c r="H14" s="204" t="s">
        <v>54</v>
      </c>
      <c r="I14" s="129" t="s">
        <v>55</v>
      </c>
      <c r="J14" s="174">
        <f>PRODUCT(IF($H$11&gt;0,$H$11,0),Списки!$D$15,$E$3,$H$3)</f>
        <v>0</v>
      </c>
      <c r="K14" s="128" t="s">
        <v>49</v>
      </c>
      <c r="L14" s="170"/>
      <c r="M14" s="75"/>
      <c r="N14" s="75"/>
      <c r="AA14" s="115"/>
    </row>
    <row r="15" spans="1:27">
      <c r="A15" s="4"/>
      <c r="B15" s="21" t="s">
        <v>56</v>
      </c>
      <c r="C15" s="162">
        <f>SUMIF($J$7:$J$9,"&gt;0",$C$7:$C$9)</f>
        <v>0</v>
      </c>
      <c r="D15" s="93">
        <f>SUMIF($J$7:$J$9,"&gt;0",$D$7:$D$9)</f>
        <v>0</v>
      </c>
      <c r="E15" s="6"/>
      <c r="F15" s="130"/>
      <c r="G15" s="131"/>
      <c r="H15" s="132"/>
      <c r="I15" s="96" t="s">
        <v>57</v>
      </c>
      <c r="J15" s="174">
        <f>SUM(J12:J14)</f>
        <v>0</v>
      </c>
      <c r="K15" s="128" t="s">
        <v>49</v>
      </c>
      <c r="L15" s="170"/>
      <c r="M15" s="75"/>
      <c r="N15" s="75"/>
      <c r="AA15" s="115"/>
    </row>
    <row r="16" spans="1:27" s="159" customFormat="1" ht="13.5" customHeight="1">
      <c r="A16" s="4"/>
      <c r="B16" s="76" t="s">
        <v>58</v>
      </c>
      <c r="C16" s="97">
        <f>SUMIF($N$7:$N$246,"=1",$M$7:$M$246)</f>
        <v>0</v>
      </c>
      <c r="D16" s="93"/>
      <c r="E16" s="6"/>
      <c r="F16" s="115"/>
      <c r="G16" s="115"/>
      <c r="H16" s="115"/>
      <c r="I16" s="115"/>
      <c r="J16" s="175"/>
      <c r="K16" s="133"/>
      <c r="L16" s="170"/>
      <c r="M16" s="158"/>
      <c r="N16" s="158"/>
      <c r="AA16" s="115"/>
    </row>
    <row r="17" spans="1:27">
      <c r="A17" s="4"/>
      <c r="B17" s="77" t="s">
        <v>59</v>
      </c>
      <c r="C17" s="97">
        <f>SUMIF($N$7:$N$246,"=2",$M$7:$M$246)</f>
        <v>0</v>
      </c>
      <c r="D17" s="93"/>
      <c r="E17" s="8"/>
      <c r="F17" s="229" t="s">
        <v>60</v>
      </c>
      <c r="G17" s="230"/>
      <c r="H17" s="231"/>
      <c r="I17" s="134" t="s">
        <v>61</v>
      </c>
      <c r="J17" s="174">
        <f>IF(P17&lt;0,"",P17)</f>
        <v>0</v>
      </c>
      <c r="K17" s="128" t="s">
        <v>49</v>
      </c>
      <c r="L17" s="170"/>
      <c r="M17" s="75"/>
      <c r="N17" s="75"/>
      <c r="P17" s="115">
        <f>(PRODUCT(IF($C$15&gt;0,$C$15,0),Списки!$D$80,$E$4,$H$4))-L3*(PRODUCT(IF($J$21&gt;0,$J$21,0),Списки!$D$80,$E$4,$H$4))</f>
        <v>0</v>
      </c>
      <c r="AA17" s="115"/>
    </row>
    <row r="18" spans="1:27">
      <c r="A18" s="4"/>
      <c r="B18" s="77" t="s">
        <v>62</v>
      </c>
      <c r="C18" s="97">
        <f>SUMIF($N$7:$N$246,"=3",$M$7:$M$246)</f>
        <v>0</v>
      </c>
      <c r="D18" s="93"/>
      <c r="E18" s="8"/>
      <c r="F18" s="135"/>
      <c r="G18" s="136"/>
      <c r="H18" s="137"/>
      <c r="I18" s="134" t="s">
        <v>63</v>
      </c>
      <c r="J18" s="174">
        <f>IF(P18&lt;0,"",P18)</f>
        <v>0</v>
      </c>
      <c r="K18" s="128" t="s">
        <v>49</v>
      </c>
      <c r="L18" s="170"/>
      <c r="M18" s="75"/>
      <c r="N18" s="75"/>
      <c r="P18" s="115">
        <f>(PRODUCT(IF(D15&gt;0,D15,0),Списки!$D$78,$E$4,$H$4))-L3*(PRODUCT(IF($J$22&gt;0,$J$22,0),Списки!$D$78,$E$4,$H$4))</f>
        <v>0</v>
      </c>
      <c r="AA18" s="115"/>
    </row>
    <row r="19" spans="1:27">
      <c r="A19" s="4" t="s">
        <v>52</v>
      </c>
      <c r="B19" s="77" t="s">
        <v>64</v>
      </c>
      <c r="C19" s="97">
        <f>SUMIF($N$7:$N$246,"=4",$M$7:$M$246)</f>
        <v>0</v>
      </c>
      <c r="D19" s="93"/>
      <c r="E19" s="8"/>
      <c r="F19" s="135"/>
      <c r="G19" s="136"/>
      <c r="H19" s="137"/>
      <c r="I19" s="138" t="s">
        <v>65</v>
      </c>
      <c r="J19" s="174">
        <f>IF(P19&lt;0,"",P19)</f>
        <v>0</v>
      </c>
      <c r="K19" s="128" t="s">
        <v>49</v>
      </c>
      <c r="L19" s="170"/>
      <c r="M19" s="75"/>
      <c r="N19" s="75"/>
      <c r="P19" s="115">
        <f>(PRODUCT(IF($H$11&gt;0,$H$11,0),Списки!$D$79,$E$4,$H$4))-L3*(PRODUCT(IF($J$23&gt;0,$J$23,0),Списки!$D$79,$E$4,$H$4))</f>
        <v>0</v>
      </c>
      <c r="AA19" s="115"/>
    </row>
    <row r="20" spans="1:27">
      <c r="A20" s="4"/>
      <c r="B20" s="23" t="s">
        <v>66</v>
      </c>
      <c r="C20" s="93">
        <f>SUMIF($J$7:$J$9,Списки!$J$2,$C$7:$C$9)</f>
        <v>0</v>
      </c>
      <c r="D20" s="93">
        <f>SUMIF($J$7:$J$9,B20,$D$7:$D$9)</f>
        <v>0</v>
      </c>
      <c r="E20" s="8"/>
      <c r="F20" s="139"/>
      <c r="G20" s="140"/>
      <c r="H20" s="141"/>
      <c r="I20" s="134" t="s">
        <v>57</v>
      </c>
      <c r="J20" s="174">
        <f>SUM(J17:J19)</f>
        <v>0</v>
      </c>
      <c r="K20" s="128" t="s">
        <v>49</v>
      </c>
      <c r="L20" s="170"/>
      <c r="M20" s="75"/>
      <c r="N20" s="75"/>
      <c r="AA20" s="115"/>
    </row>
    <row r="21" spans="1:27">
      <c r="A21" s="4"/>
      <c r="B21" s="21" t="s">
        <v>67</v>
      </c>
      <c r="C21" s="97">
        <f>SUMIF($K$7:$K$9,Списки!$K$2,$C$7:$C$9)</f>
        <v>0</v>
      </c>
      <c r="D21" s="97">
        <f>SUMIF($K$7:$K$9,Списки!$K$2,$D$7:$D$9)</f>
        <v>0</v>
      </c>
      <c r="E21" s="115"/>
      <c r="F21" s="142" t="s">
        <v>68</v>
      </c>
      <c r="G21" s="143"/>
      <c r="H21" s="144"/>
      <c r="I21" s="96" t="s">
        <v>48</v>
      </c>
      <c r="J21" s="124"/>
      <c r="K21" s="96" t="s">
        <v>34</v>
      </c>
      <c r="L21" s="170"/>
      <c r="M21" s="75"/>
      <c r="N21" s="75"/>
      <c r="AA21" s="115"/>
    </row>
    <row r="22" spans="1:27">
      <c r="A22" s="4"/>
      <c r="B22" s="21" t="s">
        <v>69</v>
      </c>
      <c r="C22" s="202" t="s">
        <v>35</v>
      </c>
      <c r="D22" s="97">
        <f>SUMIF($K$7:$K$9,Списки!$K$3,$D$7:$D$9)</f>
        <v>0</v>
      </c>
      <c r="E22" s="9"/>
      <c r="F22" s="145"/>
      <c r="G22" s="146"/>
      <c r="H22" s="147"/>
      <c r="I22" s="129" t="s">
        <v>51</v>
      </c>
      <c r="J22" s="124"/>
      <c r="K22" s="96" t="s">
        <v>34</v>
      </c>
      <c r="L22" s="170"/>
      <c r="M22" s="75"/>
      <c r="N22" s="75"/>
      <c r="AA22" s="115"/>
    </row>
    <row r="23" spans="1:27">
      <c r="A23" s="4"/>
      <c r="B23" s="21" t="s">
        <v>70</v>
      </c>
      <c r="C23" s="97"/>
      <c r="D23" s="97">
        <f>SUMIF($K$7:$K$9,Списки!$K$4,$D$7:$D$9)</f>
        <v>0</v>
      </c>
      <c r="E23" s="9"/>
      <c r="F23" s="148" t="s">
        <v>71</v>
      </c>
      <c r="G23" s="149"/>
      <c r="H23" s="150"/>
      <c r="I23" s="151" t="s">
        <v>72</v>
      </c>
      <c r="J23" s="124"/>
      <c r="K23" s="96" t="s">
        <v>73</v>
      </c>
      <c r="L23" s="170"/>
      <c r="M23" s="75"/>
      <c r="N23" s="75"/>
      <c r="AA23" s="115"/>
    </row>
    <row r="24" spans="1:27" ht="13.5" customHeight="1">
      <c r="A24" s="4"/>
      <c r="B24" s="42" t="s">
        <v>74</v>
      </c>
      <c r="C24" s="97" t="s">
        <v>35</v>
      </c>
      <c r="D24" s="97">
        <f>SUMIF($K$7:$K$9,Списки!$K$5,$D$7:$D$9)</f>
        <v>0</v>
      </c>
      <c r="E24" s="30"/>
      <c r="F24" s="31"/>
      <c r="G24" s="31"/>
      <c r="H24" s="32"/>
      <c r="I24" s="33"/>
      <c r="J24" s="83"/>
      <c r="K24" s="34"/>
      <c r="L24" s="170"/>
      <c r="M24" s="75"/>
      <c r="N24" s="75"/>
      <c r="AA24" s="115"/>
    </row>
    <row r="25" spans="1:27" ht="30.75" customHeight="1">
      <c r="A25" s="42"/>
      <c r="B25" s="25" t="s">
        <v>75</v>
      </c>
      <c r="C25" s="97">
        <f>PRODUCT(SUM((SUMIF($K$7:$K$9,Списки!$K$6,$C$7:$C$9)),(SUMIF($K$7:$K$9,Списки!$K$7,$C$7:$C$9))))</f>
        <v>0</v>
      </c>
      <c r="D25" s="97">
        <f>PRODUCT(SUM((SUMIF($K$7:$K$9,Списки!$K$6,$D$7:$D$9)),(SUMIF($K$7:$K$9,Списки!$K$7,$D$7:$D$9))))</f>
        <v>0</v>
      </c>
      <c r="E25" s="9"/>
      <c r="F25" s="163" t="s">
        <v>76</v>
      </c>
      <c r="G25" s="160">
        <f>SUMIF(B7:B9,F25,H7:H9)</f>
        <v>0</v>
      </c>
      <c r="H25" s="10"/>
      <c r="I25" s="7"/>
      <c r="K25" s="35"/>
      <c r="L25" s="170"/>
      <c r="M25" s="75"/>
      <c r="N25" s="75"/>
      <c r="AA25" s="22"/>
    </row>
    <row r="26" spans="1:27" ht="13.5" customHeight="1">
      <c r="A26" s="190"/>
      <c r="B26" s="96" t="s">
        <v>77</v>
      </c>
      <c r="C26" s="97">
        <f>SUMIF($K$7:$K$9,Списки!$K$8,$C$7:$C$9)</f>
        <v>0</v>
      </c>
      <c r="D26" s="97">
        <f>SUMIF($K$7:$K$9,Списки!$K$8,$D$7:$D$9)</f>
        <v>0</v>
      </c>
      <c r="E26" s="9"/>
      <c r="F26" s="164" t="s">
        <v>78</v>
      </c>
      <c r="G26" s="161">
        <f>SUMIF(B7:B9,F26,H7:H9)</f>
        <v>0</v>
      </c>
      <c r="H26" s="36"/>
      <c r="I26" s="37"/>
      <c r="J26" s="84"/>
      <c r="K26" s="38"/>
      <c r="L26" s="170"/>
      <c r="M26" s="75"/>
      <c r="N26" s="75"/>
      <c r="AA26" s="22"/>
    </row>
    <row r="27" spans="1:27">
      <c r="A27" s="22"/>
      <c r="B27" s="22"/>
      <c r="C27" s="22"/>
      <c r="D27" s="194" t="s">
        <v>79</v>
      </c>
      <c r="E27" s="194"/>
      <c r="F27" s="194"/>
      <c r="G27" s="194"/>
      <c r="H27" s="235" t="s">
        <v>80</v>
      </c>
      <c r="I27" s="236"/>
      <c r="J27" s="65"/>
      <c r="K27" s="15"/>
      <c r="L27" s="170"/>
      <c r="M27" s="75"/>
      <c r="N27" s="75"/>
      <c r="AA27" s="22"/>
    </row>
    <row r="28" spans="1:27">
      <c r="A28" s="22"/>
      <c r="B28" s="22"/>
      <c r="C28" s="22"/>
      <c r="D28" s="237" t="s">
        <v>81</v>
      </c>
      <c r="E28" s="215"/>
      <c r="F28" s="215"/>
      <c r="G28" s="215"/>
      <c r="H28" s="234" t="s">
        <v>82</v>
      </c>
      <c r="I28" s="228"/>
      <c r="J28" s="65"/>
      <c r="K28" s="15"/>
      <c r="L28" s="170"/>
      <c r="M28" s="75"/>
      <c r="N28" s="75"/>
      <c r="AA28" s="22"/>
    </row>
    <row r="29" spans="1:27">
      <c r="A29" s="11"/>
      <c r="B29" s="22"/>
      <c r="C29" s="78"/>
      <c r="D29" s="226" t="s">
        <v>83</v>
      </c>
      <c r="E29" s="215"/>
      <c r="F29" s="215"/>
      <c r="G29" s="181"/>
      <c r="H29" s="12"/>
      <c r="I29" s="79"/>
      <c r="J29" s="85"/>
      <c r="K29" s="15"/>
      <c r="L29" s="170"/>
      <c r="M29" s="75"/>
      <c r="N29" s="75"/>
    </row>
    <row r="30" spans="1:27">
      <c r="A30" s="11"/>
      <c r="B30" s="22"/>
      <c r="C30" s="22"/>
      <c r="D30" s="22"/>
      <c r="E30" s="22"/>
      <c r="F30" s="22"/>
      <c r="G30" s="22"/>
      <c r="H30" s="22"/>
      <c r="I30" s="22"/>
      <c r="J30" s="179"/>
      <c r="K30" s="15"/>
      <c r="L30" s="170"/>
      <c r="M30" s="75"/>
      <c r="N30" s="75"/>
    </row>
    <row r="31" spans="1:27">
      <c r="A31" s="11"/>
      <c r="B31" s="22"/>
      <c r="C31" s="11"/>
      <c r="D31" s="22"/>
      <c r="E31" s="22"/>
      <c r="F31" s="22"/>
      <c r="G31" s="22"/>
      <c r="H31" s="22"/>
      <c r="I31" s="22"/>
      <c r="J31" s="179"/>
      <c r="K31" s="15"/>
      <c r="L31" s="170"/>
      <c r="M31" s="75"/>
      <c r="N31" s="75"/>
    </row>
    <row r="32" spans="1:27" ht="25.5" customHeight="1">
      <c r="A32" s="11"/>
      <c r="B32" s="80" t="s">
        <v>84</v>
      </c>
      <c r="C32" s="80" t="s">
        <v>85</v>
      </c>
      <c r="D32" s="80" t="s">
        <v>86</v>
      </c>
      <c r="E32" s="13"/>
      <c r="F32" s="22"/>
      <c r="G32" s="14"/>
      <c r="H32" s="12"/>
      <c r="I32" s="16"/>
      <c r="J32" s="179"/>
      <c r="K32" s="15"/>
      <c r="L32" s="170"/>
      <c r="M32" s="75"/>
      <c r="N32" s="75"/>
    </row>
    <row r="33" spans="1:14">
      <c r="A33" s="11"/>
      <c r="B33" s="167" t="s">
        <v>87</v>
      </c>
      <c r="C33" s="81">
        <f>SUMIF($K$7:$K$9,"0,5х0,5х0,4",$C$7:$C$9)</f>
        <v>0</v>
      </c>
      <c r="D33" s="81">
        <f>SUMIF($K$7:$K$9,"0,5х0,5х0,4",$D$7:$D$9)</f>
        <v>0</v>
      </c>
      <c r="E33" s="13"/>
      <c r="H33" s="28"/>
      <c r="L33" s="170"/>
      <c r="M33" s="75"/>
      <c r="N33" s="75"/>
    </row>
    <row r="34" spans="1:14">
      <c r="A34" s="11"/>
      <c r="B34" s="167" t="s">
        <v>88</v>
      </c>
      <c r="C34" s="81">
        <f>SUMIF($K$7:$K$9,"0,8х0,8х0,6",$C$7:$C$9)</f>
        <v>0</v>
      </c>
      <c r="D34" s="81">
        <f>SUMIF($K$7:$K$9,"0,8х0,8х0,6",$D$7:$D$9)</f>
        <v>0</v>
      </c>
      <c r="H34" s="28"/>
      <c r="L34" s="170"/>
      <c r="M34" s="75"/>
      <c r="N34" s="75"/>
    </row>
    <row r="35" spans="1:14">
      <c r="A35" s="11"/>
      <c r="B35" s="167" t="s">
        <v>89</v>
      </c>
      <c r="C35" s="81">
        <f>SUMIF($K$7:$K$9,"1,0х1,0х0,6",$C$7:$C$9)</f>
        <v>0</v>
      </c>
      <c r="D35" s="81">
        <f>SUMIF($K$7:$K$9,"1,0х1,0х0,6",$D$7:$D$9)</f>
        <v>0</v>
      </c>
      <c r="L35" s="170"/>
      <c r="M35" s="75"/>
      <c r="N35" s="75"/>
    </row>
    <row r="36" spans="1:14">
      <c r="A36" s="11"/>
      <c r="B36" s="167" t="s">
        <v>90</v>
      </c>
      <c r="C36" s="81">
        <f>SUMIF($K$7:$K$9,"1,3х1,3х0,6",$C$7:$C$9)</f>
        <v>0</v>
      </c>
      <c r="D36" s="81">
        <f>SUMIF($K$7:$K$9,"1,3х1,3х0,6",$D$7:$D$9)</f>
        <v>0</v>
      </c>
      <c r="L36" s="170"/>
      <c r="M36" s="75"/>
      <c r="N36" s="75"/>
    </row>
    <row r="37" spans="1:14">
      <c r="B37" s="167" t="s">
        <v>91</v>
      </c>
      <c r="C37" s="81">
        <f>SUMIF($K$7:$K$9,"1,5х1,5х0,65",$C$7:$C$9)</f>
        <v>0</v>
      </c>
      <c r="D37" s="81">
        <f>SUMIF($K$7:$K$9,"1,5х1,5х0,65",$D$7:$D$9)</f>
        <v>0</v>
      </c>
      <c r="L37" s="170"/>
      <c r="M37" s="75"/>
      <c r="N37" s="75"/>
    </row>
    <row r="38" spans="1:14">
      <c r="B38" s="167" t="s">
        <v>92</v>
      </c>
      <c r="C38" s="81">
        <f>SUMIF($K$7:$K$9,"1,7х1,7х0,65",$C$7:$C$9)</f>
        <v>0</v>
      </c>
      <c r="D38" s="81">
        <f>SUMIF($K$7:$K$9,"1,7х1,7х0,65",$D$7:$D$9)</f>
        <v>0</v>
      </c>
      <c r="L38" s="170"/>
      <c r="M38" s="75"/>
      <c r="N38" s="75"/>
    </row>
    <row r="39" spans="1:14">
      <c r="B39" s="167" t="s">
        <v>93</v>
      </c>
      <c r="C39" s="81">
        <f>SUMIF($K$7:$K$9,"2,0х2,0х0,8",$C$7:$C$9)</f>
        <v>0</v>
      </c>
      <c r="D39" s="81">
        <f>SUMIF($K$7:$K$9,"2,0х2,0х0,8",$D$7:$D$9)</f>
        <v>0</v>
      </c>
      <c r="L39" s="170"/>
      <c r="M39" s="75"/>
      <c r="N39" s="75"/>
    </row>
    <row r="40" spans="1:14">
      <c r="B40" s="167" t="s">
        <v>94</v>
      </c>
      <c r="C40" s="81">
        <f>SUMIF($K$7:$K$9,"2,4х2,4х0,95",$C$7:$C$9)</f>
        <v>0</v>
      </c>
      <c r="D40" s="81">
        <f>SUMIF($K$7:$K$9,"2,4х2,4х0,95",$D$7:$D$42)</f>
        <v>0</v>
      </c>
      <c r="L40" s="170"/>
      <c r="M40" s="75"/>
      <c r="N40" s="75"/>
    </row>
    <row r="41" spans="1:14">
      <c r="B41" s="80" t="s">
        <v>41</v>
      </c>
      <c r="C41" s="81">
        <f>SUM(C33:C40)</f>
        <v>0</v>
      </c>
      <c r="D41" s="81">
        <f>SUM(D33:D40)</f>
        <v>0</v>
      </c>
      <c r="L41" s="170"/>
      <c r="M41" s="75"/>
      <c r="N41" s="75"/>
    </row>
    <row r="42" spans="1:14">
      <c r="L42" s="170"/>
      <c r="M42" s="75"/>
      <c r="N42" s="75"/>
    </row>
    <row r="43" spans="1:14">
      <c r="L43" s="170"/>
      <c r="M43" s="75"/>
      <c r="N43" s="75"/>
    </row>
    <row r="44" spans="1:14">
      <c r="L44" s="170"/>
      <c r="M44" s="75"/>
      <c r="N44" s="75"/>
    </row>
    <row r="45" spans="1:14">
      <c r="L45" s="170"/>
      <c r="M45" s="75"/>
      <c r="N45" s="75"/>
    </row>
    <row r="46" spans="1:14">
      <c r="L46" s="170"/>
      <c r="M46" s="75"/>
      <c r="N46" s="75"/>
    </row>
    <row r="47" spans="1:14">
      <c r="B47" s="75"/>
      <c r="L47" s="170"/>
      <c r="M47" s="75"/>
      <c r="N47" s="75"/>
    </row>
    <row r="48" spans="1:14">
      <c r="L48" s="170"/>
      <c r="M48" s="75"/>
      <c r="N48" s="75"/>
    </row>
    <row r="49" spans="12:14">
      <c r="L49" s="170"/>
      <c r="M49" s="75"/>
      <c r="N49" s="75"/>
    </row>
    <row r="50" spans="12:14">
      <c r="L50" s="170"/>
      <c r="M50" s="75"/>
      <c r="N50" s="75"/>
    </row>
    <row r="51" spans="12:14">
      <c r="L51" s="170"/>
      <c r="M51" s="75"/>
      <c r="N51" s="75"/>
    </row>
    <row r="52" spans="12:14">
      <c r="L52" s="170"/>
      <c r="M52" s="75"/>
      <c r="N52" s="75"/>
    </row>
    <row r="53" spans="12:14">
      <c r="L53" s="170"/>
      <c r="M53" s="75"/>
      <c r="N53" s="75"/>
    </row>
    <row r="54" spans="12:14">
      <c r="L54" s="170"/>
      <c r="M54" s="75"/>
      <c r="N54" s="75"/>
    </row>
    <row r="55" spans="12:14">
      <c r="L55" s="170"/>
      <c r="M55" s="75"/>
      <c r="N55" s="75"/>
    </row>
    <row r="56" spans="12:14">
      <c r="L56" s="170"/>
      <c r="M56" s="75"/>
      <c r="N56" s="75"/>
    </row>
    <row r="57" spans="12:14">
      <c r="L57" s="170"/>
      <c r="M57" s="75"/>
      <c r="N57" s="75"/>
    </row>
    <row r="58" spans="12:14">
      <c r="L58" s="170"/>
      <c r="M58" s="75"/>
      <c r="N58" s="75"/>
    </row>
    <row r="59" spans="12:14">
      <c r="L59" s="170"/>
      <c r="M59" s="75"/>
      <c r="N59" s="75"/>
    </row>
    <row r="60" spans="12:14">
      <c r="L60" s="170"/>
      <c r="M60" s="75"/>
      <c r="N60" s="75"/>
    </row>
    <row r="61" spans="12:14">
      <c r="L61" s="170"/>
      <c r="M61" s="75"/>
      <c r="N61" s="75"/>
    </row>
    <row r="62" spans="12:14">
      <c r="L62" s="170"/>
      <c r="M62" s="75"/>
      <c r="N62" s="75"/>
    </row>
    <row r="63" spans="12:14">
      <c r="L63" s="170"/>
      <c r="M63" s="75"/>
      <c r="N63" s="75"/>
    </row>
    <row r="64" spans="12:14">
      <c r="L64" s="170"/>
      <c r="M64" s="75"/>
      <c r="N64" s="75"/>
    </row>
    <row r="65" spans="12:14">
      <c r="L65" s="170"/>
      <c r="M65" s="75"/>
      <c r="N65" s="75"/>
    </row>
    <row r="66" spans="12:14">
      <c r="L66" s="170"/>
      <c r="M66" s="75"/>
      <c r="N66" s="75"/>
    </row>
    <row r="67" spans="12:14">
      <c r="L67" s="170"/>
      <c r="M67" s="75"/>
      <c r="N67" s="75"/>
    </row>
    <row r="68" spans="12:14">
      <c r="L68" s="170"/>
      <c r="M68" s="75"/>
      <c r="N68" s="75"/>
    </row>
    <row r="69" spans="12:14">
      <c r="L69" s="170"/>
      <c r="M69" s="75"/>
      <c r="N69" s="75"/>
    </row>
    <row r="70" spans="12:14">
      <c r="L70" s="170"/>
      <c r="M70" s="75"/>
      <c r="N70" s="75"/>
    </row>
    <row r="71" spans="12:14">
      <c r="L71" s="170"/>
      <c r="M71" s="75"/>
      <c r="N71" s="75"/>
    </row>
    <row r="72" spans="12:14">
      <c r="L72" s="170"/>
      <c r="M72" s="75"/>
      <c r="N72" s="75"/>
    </row>
    <row r="73" spans="12:14">
      <c r="L73" s="170"/>
      <c r="M73" s="75"/>
      <c r="N73" s="75"/>
    </row>
    <row r="74" spans="12:14">
      <c r="L74" s="170"/>
      <c r="M74" s="75"/>
      <c r="N74" s="75"/>
    </row>
    <row r="75" spans="12:14">
      <c r="L75" s="170"/>
      <c r="M75" s="75"/>
      <c r="N75" s="75"/>
    </row>
    <row r="76" spans="12:14">
      <c r="L76" s="170"/>
      <c r="M76" s="75"/>
      <c r="N76" s="75"/>
    </row>
    <row r="77" spans="12:14">
      <c r="L77" s="170"/>
      <c r="M77" s="75"/>
      <c r="N77" s="75"/>
    </row>
    <row r="78" spans="12:14">
      <c r="L78" s="170"/>
      <c r="M78" s="75"/>
      <c r="N78" s="75"/>
    </row>
    <row r="79" spans="12:14">
      <c r="L79" s="170"/>
      <c r="M79" s="75"/>
      <c r="N79" s="75"/>
    </row>
    <row r="80" spans="12:14">
      <c r="L80" s="170"/>
      <c r="M80" s="75"/>
      <c r="N80" s="75"/>
    </row>
    <row r="81" spans="12:14">
      <c r="L81" s="170"/>
      <c r="M81" s="75"/>
      <c r="N81" s="75"/>
    </row>
    <row r="82" spans="12:14">
      <c r="L82" s="170"/>
      <c r="M82" s="75"/>
      <c r="N82" s="75"/>
    </row>
    <row r="83" spans="12:14">
      <c r="L83" s="170"/>
      <c r="M83" s="75"/>
      <c r="N83" s="75"/>
    </row>
    <row r="84" spans="12:14">
      <c r="L84" s="170"/>
      <c r="M84" s="75"/>
      <c r="N84" s="75"/>
    </row>
    <row r="85" spans="12:14">
      <c r="L85" s="170"/>
      <c r="M85" s="75"/>
      <c r="N85" s="75"/>
    </row>
    <row r="86" spans="12:14">
      <c r="L86" s="170"/>
      <c r="M86" s="75"/>
      <c r="N86" s="75"/>
    </row>
    <row r="87" spans="12:14">
      <c r="L87" s="170"/>
      <c r="M87" s="75"/>
      <c r="N87" s="75"/>
    </row>
    <row r="88" spans="12:14">
      <c r="L88" s="170"/>
      <c r="M88" s="75"/>
      <c r="N88" s="75"/>
    </row>
    <row r="89" spans="12:14">
      <c r="L89" s="170"/>
      <c r="M89" s="75"/>
      <c r="N89" s="75"/>
    </row>
    <row r="90" spans="12:14">
      <c r="L90" s="170"/>
      <c r="M90" s="75"/>
      <c r="N90" s="75"/>
    </row>
    <row r="91" spans="12:14">
      <c r="L91" s="170"/>
      <c r="M91" s="75"/>
      <c r="N91" s="75"/>
    </row>
    <row r="92" spans="12:14">
      <c r="L92" s="170"/>
      <c r="M92" s="75"/>
      <c r="N92" s="75"/>
    </row>
    <row r="93" spans="12:14">
      <c r="L93" s="170"/>
      <c r="M93" s="75"/>
      <c r="N93" s="75"/>
    </row>
    <row r="94" spans="12:14">
      <c r="L94" s="170"/>
      <c r="M94" s="75"/>
      <c r="N94" s="75"/>
    </row>
    <row r="95" spans="12:14">
      <c r="L95" s="170"/>
      <c r="M95" s="75"/>
      <c r="N95" s="75"/>
    </row>
    <row r="96" spans="12:14">
      <c r="L96" s="170"/>
      <c r="M96" s="75"/>
      <c r="N96" s="75"/>
    </row>
    <row r="97" spans="12:14">
      <c r="L97" s="170"/>
      <c r="M97" s="75"/>
      <c r="N97" s="75"/>
    </row>
    <row r="98" spans="12:14">
      <c r="L98" s="170"/>
      <c r="M98" s="75"/>
      <c r="N98" s="75"/>
    </row>
    <row r="99" spans="12:14">
      <c r="L99" s="170"/>
      <c r="M99" s="75"/>
      <c r="N99" s="75"/>
    </row>
    <row r="100" spans="12:14">
      <c r="L100" s="170"/>
      <c r="M100" s="75"/>
      <c r="N100" s="75"/>
    </row>
    <row r="101" spans="12:14">
      <c r="L101" s="170"/>
      <c r="M101" s="75"/>
      <c r="N101" s="75"/>
    </row>
    <row r="102" spans="12:14">
      <c r="L102" s="170"/>
      <c r="M102" s="75"/>
      <c r="N102" s="75"/>
    </row>
    <row r="103" spans="12:14">
      <c r="L103" s="170"/>
      <c r="M103" s="75"/>
      <c r="N103" s="75"/>
    </row>
    <row r="104" spans="12:14">
      <c r="L104" s="170"/>
      <c r="M104" s="75"/>
      <c r="N104" s="75"/>
    </row>
    <row r="105" spans="12:14">
      <c r="L105" s="170"/>
      <c r="M105" s="75"/>
      <c r="N105" s="75"/>
    </row>
    <row r="106" spans="12:14">
      <c r="L106" s="170"/>
      <c r="M106" s="75"/>
      <c r="N106" s="75"/>
    </row>
    <row r="107" spans="12:14">
      <c r="L107" s="170"/>
      <c r="M107" s="75"/>
      <c r="N107" s="75"/>
    </row>
    <row r="108" spans="12:14">
      <c r="L108" s="170"/>
      <c r="M108" s="75"/>
      <c r="N108" s="75"/>
    </row>
    <row r="109" spans="12:14">
      <c r="L109" s="170"/>
      <c r="M109" s="75"/>
      <c r="N109" s="75"/>
    </row>
    <row r="110" spans="12:14">
      <c r="L110" s="170"/>
      <c r="M110" s="75"/>
      <c r="N110" s="75"/>
    </row>
    <row r="111" spans="12:14">
      <c r="L111" s="170"/>
      <c r="M111" s="75"/>
      <c r="N111" s="75"/>
    </row>
    <row r="112" spans="12:14">
      <c r="L112" s="170"/>
      <c r="M112" s="75"/>
      <c r="N112" s="75"/>
    </row>
    <row r="113" spans="12:14">
      <c r="L113" s="170"/>
      <c r="M113" s="75"/>
      <c r="N113" s="75"/>
    </row>
    <row r="114" spans="12:14">
      <c r="L114" s="170"/>
      <c r="M114" s="75"/>
      <c r="N114" s="75"/>
    </row>
    <row r="115" spans="12:14">
      <c r="L115" s="170"/>
      <c r="M115" s="75"/>
      <c r="N115" s="75"/>
    </row>
    <row r="116" spans="12:14">
      <c r="L116" s="170"/>
      <c r="M116" s="75"/>
      <c r="N116" s="75"/>
    </row>
    <row r="117" spans="12:14">
      <c r="L117" s="170"/>
      <c r="M117" s="75"/>
      <c r="N117" s="75"/>
    </row>
    <row r="118" spans="12:14">
      <c r="L118" s="170"/>
      <c r="M118" s="75"/>
      <c r="N118" s="75"/>
    </row>
    <row r="119" spans="12:14">
      <c r="L119" s="170"/>
      <c r="M119" s="75"/>
      <c r="N119" s="75"/>
    </row>
    <row r="120" spans="12:14">
      <c r="L120" s="170"/>
      <c r="M120" s="75"/>
      <c r="N120" s="75"/>
    </row>
    <row r="121" spans="12:14">
      <c r="L121" s="170"/>
      <c r="M121" s="75"/>
      <c r="N121" s="75"/>
    </row>
    <row r="122" spans="12:14">
      <c r="L122" s="170"/>
      <c r="M122" s="75"/>
      <c r="N122" s="75"/>
    </row>
    <row r="123" spans="12:14">
      <c r="L123" s="170"/>
      <c r="M123" s="75"/>
      <c r="N123" s="75"/>
    </row>
    <row r="124" spans="12:14">
      <c r="L124" s="170"/>
      <c r="M124" s="75"/>
      <c r="N124" s="75"/>
    </row>
    <row r="125" spans="12:14">
      <c r="L125" s="170"/>
      <c r="M125" s="75"/>
      <c r="N125" s="75"/>
    </row>
    <row r="126" spans="12:14">
      <c r="L126" s="170"/>
      <c r="M126" s="75"/>
      <c r="N126" s="75"/>
    </row>
    <row r="127" spans="12:14">
      <c r="L127" s="170"/>
      <c r="M127" s="75"/>
      <c r="N127" s="75"/>
    </row>
    <row r="128" spans="12:14">
      <c r="L128" s="170"/>
      <c r="M128" s="75"/>
      <c r="N128" s="75"/>
    </row>
    <row r="129" spans="12:14">
      <c r="L129" s="170"/>
      <c r="M129" s="75"/>
      <c r="N129" s="75"/>
    </row>
    <row r="130" spans="12:14">
      <c r="L130" s="170"/>
      <c r="M130" s="75"/>
      <c r="N130" s="75"/>
    </row>
    <row r="131" spans="12:14">
      <c r="L131" s="170"/>
      <c r="M131" s="75"/>
      <c r="N131" s="75"/>
    </row>
    <row r="132" spans="12:14">
      <c r="L132" s="170"/>
      <c r="M132" s="75"/>
      <c r="N132" s="75"/>
    </row>
    <row r="133" spans="12:14">
      <c r="L133" s="170"/>
      <c r="M133" s="75"/>
      <c r="N133" s="75"/>
    </row>
    <row r="134" spans="12:14">
      <c r="L134" s="170"/>
      <c r="M134" s="75"/>
      <c r="N134" s="75"/>
    </row>
    <row r="135" spans="12:14">
      <c r="L135" s="170"/>
      <c r="M135" s="75"/>
      <c r="N135" s="75"/>
    </row>
    <row r="136" spans="12:14">
      <c r="L136" s="170"/>
      <c r="M136" s="75"/>
      <c r="N136" s="75"/>
    </row>
    <row r="137" spans="12:14">
      <c r="L137" s="170"/>
      <c r="M137" s="75"/>
      <c r="N137" s="75"/>
    </row>
    <row r="138" spans="12:14">
      <c r="L138" s="170"/>
      <c r="M138" s="75"/>
      <c r="N138" s="75"/>
    </row>
    <row r="139" spans="12:14">
      <c r="L139" s="170"/>
      <c r="M139" s="75"/>
      <c r="N139" s="75"/>
    </row>
    <row r="140" spans="12:14">
      <c r="L140" s="170"/>
      <c r="M140" s="75"/>
      <c r="N140" s="75"/>
    </row>
    <row r="141" spans="12:14">
      <c r="L141" s="170"/>
      <c r="M141" s="75"/>
      <c r="N141" s="75"/>
    </row>
    <row r="142" spans="12:14">
      <c r="L142" s="170"/>
      <c r="M142" s="75"/>
      <c r="N142" s="75"/>
    </row>
    <row r="143" spans="12:14">
      <c r="L143" s="170"/>
      <c r="M143" s="75"/>
      <c r="N143" s="75"/>
    </row>
    <row r="144" spans="12:14">
      <c r="L144" s="170"/>
      <c r="M144" s="75"/>
      <c r="N144" s="75"/>
    </row>
    <row r="145" spans="12:14">
      <c r="L145" s="170"/>
      <c r="M145" s="75"/>
      <c r="N145" s="75"/>
    </row>
    <row r="146" spans="12:14">
      <c r="L146" s="170"/>
      <c r="M146" s="75"/>
      <c r="N146" s="75"/>
    </row>
    <row r="147" spans="12:14">
      <c r="L147" s="170"/>
      <c r="M147" s="75"/>
      <c r="N147" s="75"/>
    </row>
    <row r="148" spans="12:14">
      <c r="L148" s="170"/>
      <c r="M148" s="75"/>
      <c r="N148" s="75"/>
    </row>
    <row r="149" spans="12:14">
      <c r="L149" s="170"/>
      <c r="M149" s="75"/>
      <c r="N149" s="75"/>
    </row>
    <row r="150" spans="12:14">
      <c r="L150" s="170"/>
      <c r="M150" s="75"/>
      <c r="N150" s="75"/>
    </row>
    <row r="151" spans="12:14">
      <c r="L151" s="170"/>
      <c r="M151" s="75"/>
      <c r="N151" s="75"/>
    </row>
    <row r="152" spans="12:14">
      <c r="L152" s="170"/>
      <c r="M152" s="75"/>
      <c r="N152" s="75"/>
    </row>
    <row r="153" spans="12:14">
      <c r="L153" s="170"/>
      <c r="M153" s="75"/>
      <c r="N153" s="75"/>
    </row>
    <row r="154" spans="12:14">
      <c r="L154" s="170"/>
      <c r="M154" s="75"/>
      <c r="N154" s="75"/>
    </row>
    <row r="155" spans="12:14">
      <c r="L155" s="170"/>
      <c r="M155" s="75"/>
      <c r="N155" s="75"/>
    </row>
    <row r="156" spans="12:14">
      <c r="L156" s="170"/>
      <c r="M156" s="75"/>
      <c r="N156" s="75"/>
    </row>
    <row r="157" spans="12:14">
      <c r="L157" s="170"/>
      <c r="M157" s="75"/>
      <c r="N157" s="75"/>
    </row>
    <row r="158" spans="12:14">
      <c r="L158" s="170"/>
      <c r="M158" s="75"/>
      <c r="N158" s="75"/>
    </row>
    <row r="159" spans="12:14">
      <c r="L159" s="170"/>
      <c r="M159" s="75"/>
      <c r="N159" s="75"/>
    </row>
    <row r="160" spans="12:14">
      <c r="L160" s="170"/>
      <c r="M160" s="75"/>
      <c r="N160" s="75"/>
    </row>
    <row r="161" spans="12:14">
      <c r="L161" s="170"/>
      <c r="M161" s="75"/>
      <c r="N161" s="75"/>
    </row>
    <row r="162" spans="12:14">
      <c r="L162" s="170"/>
      <c r="M162" s="75"/>
      <c r="N162" s="75"/>
    </row>
    <row r="163" spans="12:14">
      <c r="L163" s="170"/>
      <c r="M163" s="75"/>
      <c r="N163" s="75"/>
    </row>
    <row r="164" spans="12:14">
      <c r="L164" s="170"/>
      <c r="M164" s="75"/>
      <c r="N164" s="75"/>
    </row>
    <row r="165" spans="12:14">
      <c r="L165" s="170"/>
      <c r="M165" s="75"/>
      <c r="N165" s="75"/>
    </row>
    <row r="166" spans="12:14">
      <c r="L166" s="170"/>
      <c r="M166" s="75"/>
      <c r="N166" s="75"/>
    </row>
    <row r="167" spans="12:14">
      <c r="L167" s="170"/>
      <c r="M167" s="75"/>
      <c r="N167" s="75"/>
    </row>
    <row r="168" spans="12:14">
      <c r="L168" s="170"/>
      <c r="M168" s="75"/>
      <c r="N168" s="75"/>
    </row>
    <row r="169" spans="12:14">
      <c r="L169" s="170"/>
      <c r="M169" s="75"/>
      <c r="N169" s="75"/>
    </row>
    <row r="170" spans="12:14">
      <c r="L170" s="170"/>
      <c r="M170" s="75"/>
      <c r="N170" s="75"/>
    </row>
    <row r="171" spans="12:14">
      <c r="L171" s="170"/>
      <c r="M171" s="75"/>
      <c r="N171" s="75"/>
    </row>
    <row r="172" spans="12:14">
      <c r="L172" s="170"/>
      <c r="M172" s="75"/>
      <c r="N172" s="75"/>
    </row>
    <row r="173" spans="12:14">
      <c r="L173" s="170"/>
      <c r="M173" s="75"/>
      <c r="N173" s="75"/>
    </row>
    <row r="174" spans="12:14">
      <c r="L174" s="170"/>
      <c r="M174" s="75"/>
      <c r="N174" s="75"/>
    </row>
    <row r="175" spans="12:14">
      <c r="L175" s="170"/>
      <c r="M175" s="75"/>
      <c r="N175" s="75"/>
    </row>
    <row r="176" spans="12:14">
      <c r="L176" s="170"/>
      <c r="M176" s="75"/>
      <c r="N176" s="75"/>
    </row>
    <row r="177" spans="12:14">
      <c r="L177" s="170"/>
      <c r="M177" s="75"/>
      <c r="N177" s="75"/>
    </row>
    <row r="178" spans="12:14">
      <c r="L178" s="170"/>
      <c r="M178" s="75"/>
      <c r="N178" s="75"/>
    </row>
    <row r="179" spans="12:14">
      <c r="L179" s="170"/>
      <c r="M179" s="75"/>
      <c r="N179" s="75"/>
    </row>
    <row r="180" spans="12:14">
      <c r="L180" s="170"/>
      <c r="M180" s="75"/>
      <c r="N180" s="75"/>
    </row>
    <row r="181" spans="12:14">
      <c r="L181" s="170"/>
      <c r="M181" s="75"/>
      <c r="N181" s="75"/>
    </row>
    <row r="182" spans="12:14">
      <c r="L182" s="170"/>
      <c r="M182" s="75"/>
      <c r="N182" s="75"/>
    </row>
    <row r="183" spans="12:14">
      <c r="L183" s="170"/>
      <c r="M183" s="75"/>
      <c r="N183" s="75"/>
    </row>
    <row r="184" spans="12:14">
      <c r="L184" s="170"/>
      <c r="M184" s="75"/>
      <c r="N184" s="75"/>
    </row>
    <row r="185" spans="12:14">
      <c r="L185" s="170"/>
      <c r="M185" s="75"/>
      <c r="N185" s="75"/>
    </row>
    <row r="186" spans="12:14">
      <c r="L186" s="170"/>
      <c r="M186" s="75"/>
      <c r="N186" s="75"/>
    </row>
    <row r="187" spans="12:14">
      <c r="L187" s="170"/>
      <c r="M187" s="75"/>
      <c r="N187" s="75"/>
    </row>
    <row r="188" spans="12:14">
      <c r="L188" s="170"/>
      <c r="M188" s="75"/>
      <c r="N188" s="75"/>
    </row>
    <row r="189" spans="12:14">
      <c r="L189" s="170"/>
      <c r="M189" s="75"/>
      <c r="N189" s="75"/>
    </row>
    <row r="190" spans="12:14">
      <c r="L190" s="170"/>
      <c r="M190" s="75"/>
      <c r="N190" s="75"/>
    </row>
    <row r="191" spans="12:14">
      <c r="L191" s="170"/>
      <c r="M191" s="75"/>
      <c r="N191" s="75"/>
    </row>
    <row r="192" spans="12:14">
      <c r="L192" s="170"/>
      <c r="M192" s="75"/>
      <c r="N192" s="75"/>
    </row>
    <row r="193" spans="12:14">
      <c r="L193" s="170"/>
      <c r="M193" s="75"/>
      <c r="N193" s="75"/>
    </row>
    <row r="194" spans="12:14">
      <c r="L194" s="170"/>
      <c r="M194" s="75"/>
      <c r="N194" s="75"/>
    </row>
    <row r="195" spans="12:14">
      <c r="L195" s="170"/>
      <c r="M195" s="75"/>
      <c r="N195" s="75"/>
    </row>
    <row r="196" spans="12:14">
      <c r="L196" s="170"/>
      <c r="M196" s="75"/>
      <c r="N196" s="75"/>
    </row>
    <row r="197" spans="12:14">
      <c r="L197" s="170"/>
      <c r="M197" s="75"/>
      <c r="N197" s="75"/>
    </row>
    <row r="198" spans="12:14">
      <c r="L198" s="170"/>
      <c r="M198" s="75"/>
      <c r="N198" s="75"/>
    </row>
    <row r="199" spans="12:14">
      <c r="L199" s="170"/>
      <c r="M199" s="75"/>
      <c r="N199" s="75"/>
    </row>
    <row r="200" spans="12:14">
      <c r="L200" s="170"/>
      <c r="M200" s="75"/>
      <c r="N200" s="75"/>
    </row>
    <row r="201" spans="12:14">
      <c r="L201" s="170"/>
      <c r="M201" s="75"/>
      <c r="N201" s="75"/>
    </row>
    <row r="202" spans="12:14">
      <c r="L202" s="170"/>
      <c r="M202" s="75"/>
      <c r="N202" s="75"/>
    </row>
    <row r="203" spans="12:14">
      <c r="L203" s="170"/>
      <c r="M203" s="75"/>
      <c r="N203" s="75"/>
    </row>
    <row r="204" spans="12:14">
      <c r="L204" s="170"/>
      <c r="M204" s="75"/>
      <c r="N204" s="75"/>
    </row>
    <row r="205" spans="12:14">
      <c r="L205" s="170"/>
      <c r="M205" s="75"/>
      <c r="N205" s="75"/>
    </row>
    <row r="206" spans="12:14">
      <c r="L206" s="170"/>
      <c r="M206" s="75"/>
      <c r="N206" s="75"/>
    </row>
    <row r="207" spans="12:14">
      <c r="L207" s="170"/>
      <c r="M207" s="75"/>
      <c r="N207" s="75"/>
    </row>
    <row r="208" spans="12:14">
      <c r="L208" s="170"/>
      <c r="M208" s="75"/>
      <c r="N208" s="75"/>
    </row>
    <row r="209" spans="12:14">
      <c r="L209" s="170"/>
      <c r="M209" s="75"/>
      <c r="N209" s="75"/>
    </row>
    <row r="210" spans="12:14">
      <c r="L210" s="170"/>
      <c r="M210" s="75"/>
      <c r="N210" s="75"/>
    </row>
    <row r="211" spans="12:14">
      <c r="L211" s="170"/>
      <c r="M211" s="75"/>
      <c r="N211" s="75"/>
    </row>
    <row r="212" spans="12:14">
      <c r="L212" s="170"/>
      <c r="M212" s="75"/>
      <c r="N212" s="75"/>
    </row>
    <row r="213" spans="12:14">
      <c r="L213" s="170"/>
      <c r="M213" s="75"/>
      <c r="N213" s="75"/>
    </row>
    <row r="214" spans="12:14">
      <c r="L214" s="170"/>
      <c r="M214" s="75"/>
      <c r="N214" s="75"/>
    </row>
    <row r="215" spans="12:14">
      <c r="L215" s="170"/>
      <c r="M215" s="75"/>
      <c r="N215" s="75"/>
    </row>
    <row r="216" spans="12:14">
      <c r="L216" s="170"/>
      <c r="M216" s="75"/>
      <c r="N216" s="75"/>
    </row>
    <row r="217" spans="12:14">
      <c r="L217" s="170"/>
      <c r="M217" s="75"/>
      <c r="N217" s="75"/>
    </row>
    <row r="218" spans="12:14">
      <c r="L218" s="170"/>
      <c r="M218" s="75"/>
      <c r="N218" s="75"/>
    </row>
    <row r="219" spans="12:14">
      <c r="L219" s="170"/>
      <c r="M219" s="75"/>
      <c r="N219" s="75"/>
    </row>
    <row r="220" spans="12:14">
      <c r="L220" s="170"/>
      <c r="M220" s="75"/>
      <c r="N220" s="75"/>
    </row>
    <row r="221" spans="12:14">
      <c r="L221" s="170"/>
      <c r="M221" s="75"/>
      <c r="N221" s="75"/>
    </row>
    <row r="222" spans="12:14">
      <c r="L222" s="170"/>
      <c r="M222" s="75"/>
      <c r="N222" s="75"/>
    </row>
    <row r="223" spans="12:14">
      <c r="L223" s="170"/>
      <c r="M223" s="75"/>
      <c r="N223" s="75"/>
    </row>
    <row r="224" spans="12:14">
      <c r="L224" s="170"/>
      <c r="M224" s="75"/>
      <c r="N224" s="75"/>
    </row>
    <row r="225" spans="12:14">
      <c r="L225" s="170"/>
      <c r="M225" s="75"/>
      <c r="N225" s="75"/>
    </row>
    <row r="226" spans="12:14">
      <c r="L226" s="170"/>
      <c r="M226" s="75"/>
      <c r="N226" s="75"/>
    </row>
    <row r="227" spans="12:14">
      <c r="L227" s="170"/>
      <c r="M227" s="75"/>
      <c r="N227" s="75"/>
    </row>
    <row r="228" spans="12:14">
      <c r="L228" s="170"/>
      <c r="M228" s="75"/>
      <c r="N228" s="75"/>
    </row>
    <row r="229" spans="12:14">
      <c r="L229" s="170"/>
      <c r="M229" s="75"/>
      <c r="N229" s="75"/>
    </row>
    <row r="230" spans="12:14">
      <c r="L230" s="170"/>
      <c r="M230" s="75"/>
      <c r="N230" s="75"/>
    </row>
    <row r="231" spans="12:14">
      <c r="L231" s="170"/>
      <c r="M231" s="75"/>
      <c r="N231" s="75"/>
    </row>
    <row r="232" spans="12:14">
      <c r="L232" s="170"/>
      <c r="M232" s="75"/>
      <c r="N232" s="75"/>
    </row>
    <row r="233" spans="12:14">
      <c r="L233" s="170"/>
      <c r="M233" s="75"/>
      <c r="N233" s="75"/>
    </row>
    <row r="234" spans="12:14">
      <c r="L234" s="170"/>
      <c r="M234" s="75"/>
      <c r="N234" s="75"/>
    </row>
    <row r="235" spans="12:14">
      <c r="L235" s="170"/>
      <c r="M235" s="75"/>
      <c r="N235" s="75"/>
    </row>
    <row r="236" spans="12:14">
      <c r="L236" s="170"/>
      <c r="M236" s="75"/>
      <c r="N236" s="75"/>
    </row>
    <row r="237" spans="12:14">
      <c r="L237" s="170"/>
      <c r="M237" s="75"/>
      <c r="N237" s="75"/>
    </row>
    <row r="238" spans="12:14">
      <c r="L238" s="170"/>
      <c r="M238" s="75"/>
      <c r="N238" s="75"/>
    </row>
    <row r="239" spans="12:14">
      <c r="L239" s="170"/>
      <c r="M239" s="75"/>
      <c r="N239" s="75"/>
    </row>
    <row r="240" spans="12:14">
      <c r="L240" s="170"/>
      <c r="M240" s="75"/>
      <c r="N240" s="75"/>
    </row>
    <row r="241" spans="1:27">
      <c r="L241" s="170"/>
      <c r="M241" s="75"/>
      <c r="N241" s="75"/>
    </row>
    <row r="242" spans="1:27">
      <c r="L242" s="170"/>
      <c r="M242" s="75"/>
      <c r="N242" s="75"/>
    </row>
    <row r="243" spans="1:27">
      <c r="L243" s="170"/>
      <c r="M243" s="75"/>
      <c r="N243" s="75"/>
    </row>
    <row r="244" spans="1:27">
      <c r="L244" s="170"/>
      <c r="M244" s="75"/>
      <c r="N244" s="75"/>
    </row>
    <row r="245" spans="1:27">
      <c r="L245" s="170"/>
      <c r="M245" s="75"/>
      <c r="N245" s="75"/>
    </row>
    <row r="246" spans="1:27">
      <c r="L246" s="167"/>
      <c r="M246" s="75"/>
      <c r="N246" s="75"/>
    </row>
    <row r="247" spans="1:27" s="115" customFormat="1" ht="27.75" customHeight="1">
      <c r="A247" s="3"/>
      <c r="B247" s="17"/>
      <c r="C247" s="1"/>
      <c r="D247" s="1"/>
      <c r="E247" s="3"/>
      <c r="F247" s="3"/>
      <c r="G247" s="3"/>
      <c r="H247" s="2"/>
      <c r="I247" s="18"/>
      <c r="J247" s="180"/>
      <c r="K247" s="19"/>
      <c r="L247" s="168"/>
      <c r="AA247" s="17"/>
    </row>
    <row r="248" spans="1:27" s="115" customFormat="1" ht="38.25" customHeight="1">
      <c r="A248" s="3"/>
      <c r="B248" s="17"/>
      <c r="C248" s="1"/>
      <c r="D248" s="1"/>
      <c r="E248" s="3"/>
      <c r="F248" s="3"/>
      <c r="G248" s="3"/>
      <c r="H248" s="2"/>
      <c r="I248" s="18"/>
      <c r="J248" s="180"/>
      <c r="K248" s="19"/>
      <c r="AA248" s="17"/>
    </row>
    <row r="249" spans="1:27" s="115" customFormat="1" ht="15.75" customHeight="1">
      <c r="A249" s="3"/>
      <c r="B249" s="17"/>
      <c r="C249" s="1"/>
      <c r="D249" s="1"/>
      <c r="E249" s="3"/>
      <c r="F249" s="3"/>
      <c r="G249" s="3"/>
      <c r="H249" s="2"/>
      <c r="I249" s="18"/>
      <c r="J249" s="180"/>
      <c r="K249" s="19"/>
      <c r="AA249" s="17"/>
    </row>
    <row r="250" spans="1:27" s="115" customFormat="1" ht="15.75" customHeight="1">
      <c r="A250" s="3"/>
      <c r="B250" s="17"/>
      <c r="C250" s="1"/>
      <c r="D250" s="1"/>
      <c r="E250" s="3"/>
      <c r="F250" s="3"/>
      <c r="G250" s="3"/>
      <c r="H250" s="2"/>
      <c r="I250" s="18"/>
      <c r="J250" s="180"/>
      <c r="K250" s="19"/>
      <c r="O250" s="121" t="e">
        <f ca="1">GetKom(#REF!,#REF!,#REF!,#REF!)</f>
        <v>#NAME?</v>
      </c>
      <c r="AA250" s="17"/>
    </row>
    <row r="251" spans="1:27" s="115" customFormat="1" ht="15.75" customHeight="1">
      <c r="A251" s="3"/>
      <c r="B251" s="17"/>
      <c r="C251" s="1"/>
      <c r="D251" s="1"/>
      <c r="E251" s="3"/>
      <c r="F251" s="3"/>
      <c r="G251" s="3"/>
      <c r="H251" s="2"/>
      <c r="I251" s="18"/>
      <c r="J251" s="180"/>
      <c r="K251" s="19"/>
      <c r="AA251" s="17"/>
    </row>
    <row r="252" spans="1:27" s="115" customFormat="1">
      <c r="A252" s="3"/>
      <c r="B252" s="17"/>
      <c r="C252" s="1"/>
      <c r="D252" s="1"/>
      <c r="E252" s="3"/>
      <c r="F252" s="3"/>
      <c r="G252" s="3"/>
      <c r="H252" s="2"/>
      <c r="I252" s="18"/>
      <c r="J252" s="180"/>
      <c r="K252" s="19"/>
      <c r="O252" s="114"/>
      <c r="AA252" s="17"/>
    </row>
    <row r="253" spans="1:27" s="115" customFormat="1" ht="15.75" customHeight="1">
      <c r="A253" s="3"/>
      <c r="B253" s="17"/>
      <c r="C253" s="1"/>
      <c r="D253" s="1"/>
      <c r="E253" s="3"/>
      <c r="F253" s="3"/>
      <c r="G253" s="3"/>
      <c r="H253" s="2"/>
      <c r="I253" s="18"/>
      <c r="J253" s="180"/>
      <c r="K253" s="19"/>
      <c r="AA253" s="17"/>
    </row>
    <row r="254" spans="1:27" s="115" customFormat="1" ht="15.75" customHeight="1">
      <c r="A254" s="3"/>
      <c r="B254" s="17"/>
      <c r="C254" s="1"/>
      <c r="D254" s="1"/>
      <c r="E254" s="3"/>
      <c r="F254" s="3"/>
      <c r="G254" s="3"/>
      <c r="H254" s="2"/>
      <c r="I254" s="18"/>
      <c r="J254" s="180"/>
      <c r="K254" s="19"/>
      <c r="L254" s="169"/>
      <c r="AA254" s="17"/>
    </row>
    <row r="255" spans="1:27" s="115" customFormat="1">
      <c r="A255" s="3"/>
      <c r="B255" s="17"/>
      <c r="C255" s="1"/>
      <c r="D255" s="1"/>
      <c r="E255" s="3"/>
      <c r="F255" s="3"/>
      <c r="G255" s="3"/>
      <c r="H255" s="2"/>
      <c r="I255" s="18"/>
      <c r="J255" s="180"/>
      <c r="K255" s="19"/>
      <c r="L255" s="169"/>
      <c r="AA255" s="17"/>
    </row>
    <row r="256" spans="1:27" s="115" customFormat="1">
      <c r="A256" s="3"/>
      <c r="B256" s="17"/>
      <c r="C256" s="1"/>
      <c r="D256" s="1"/>
      <c r="E256" s="3"/>
      <c r="F256" s="3"/>
      <c r="G256" s="3"/>
      <c r="H256" s="2"/>
      <c r="I256" s="18"/>
      <c r="J256" s="180"/>
      <c r="K256" s="19"/>
      <c r="L256" s="169"/>
      <c r="AA256" s="17"/>
    </row>
    <row r="257" spans="1:27" s="115" customFormat="1" ht="16.5" customHeight="1">
      <c r="A257" s="3"/>
      <c r="B257" s="17"/>
      <c r="C257" s="1"/>
      <c r="D257" s="1"/>
      <c r="E257" s="3"/>
      <c r="F257" s="3"/>
      <c r="G257" s="3"/>
      <c r="H257" s="2"/>
      <c r="I257" s="18"/>
      <c r="J257" s="180"/>
      <c r="K257" s="19"/>
      <c r="L257" s="169"/>
      <c r="AA257" s="17"/>
    </row>
    <row r="258" spans="1:27" s="115" customFormat="1" ht="17.25" customHeight="1">
      <c r="A258" s="3"/>
      <c r="B258" s="17"/>
      <c r="C258" s="1"/>
      <c r="D258" s="1"/>
      <c r="E258" s="3"/>
      <c r="F258" s="3"/>
      <c r="G258" s="3"/>
      <c r="H258" s="2"/>
      <c r="I258" s="18"/>
      <c r="J258" s="180"/>
      <c r="K258" s="19"/>
      <c r="AA258" s="17"/>
    </row>
    <row r="259" spans="1:27" s="115" customFormat="1">
      <c r="A259" s="3"/>
      <c r="B259" s="17"/>
      <c r="C259" s="1"/>
      <c r="D259" s="1"/>
      <c r="E259" s="3"/>
      <c r="F259" s="3"/>
      <c r="G259" s="3"/>
      <c r="H259" s="2"/>
      <c r="I259" s="18"/>
      <c r="J259" s="180"/>
      <c r="K259" s="19"/>
      <c r="AA259" s="17"/>
    </row>
    <row r="260" spans="1:27" s="115" customFormat="1">
      <c r="A260" s="3"/>
      <c r="B260" s="17"/>
      <c r="C260" s="1"/>
      <c r="D260" s="1"/>
      <c r="E260" s="3"/>
      <c r="F260" s="3"/>
      <c r="G260" s="3"/>
      <c r="H260" s="2"/>
      <c r="I260" s="18"/>
      <c r="J260" s="180"/>
      <c r="K260" s="19"/>
      <c r="AA260" s="17"/>
    </row>
    <row r="261" spans="1:27" s="115" customFormat="1">
      <c r="A261" s="3"/>
      <c r="B261" s="17"/>
      <c r="C261" s="1"/>
      <c r="D261" s="1"/>
      <c r="E261" s="3"/>
      <c r="F261" s="3"/>
      <c r="G261" s="3"/>
      <c r="H261" s="2"/>
      <c r="I261" s="18"/>
      <c r="J261" s="180"/>
      <c r="K261" s="19"/>
      <c r="AA261" s="17"/>
    </row>
    <row r="262" spans="1:27" s="22" customFormat="1">
      <c r="A262" s="3"/>
      <c r="B262" s="17"/>
      <c r="C262" s="1"/>
      <c r="D262" s="1"/>
      <c r="E262" s="3"/>
      <c r="F262" s="3"/>
      <c r="G262" s="3"/>
      <c r="H262" s="2"/>
      <c r="I262" s="18"/>
      <c r="J262" s="180"/>
      <c r="K262" s="19"/>
      <c r="L262" s="115"/>
      <c r="M262" s="115"/>
      <c r="N262" s="115"/>
      <c r="AA262" s="17"/>
    </row>
    <row r="263" spans="1:27" s="22" customFormat="1" ht="15.75" customHeight="1">
      <c r="A263" s="3"/>
      <c r="B263" s="17"/>
      <c r="C263" s="1"/>
      <c r="D263" s="1"/>
      <c r="E263" s="3"/>
      <c r="F263" s="3"/>
      <c r="G263" s="3"/>
      <c r="H263" s="2"/>
      <c r="I263" s="18"/>
      <c r="J263" s="180"/>
      <c r="K263" s="19"/>
      <c r="AA263" s="17"/>
    </row>
    <row r="264" spans="1:27" s="22" customFormat="1" ht="15.75" customHeight="1">
      <c r="A264" s="3"/>
      <c r="B264" s="17"/>
      <c r="C264" s="1"/>
      <c r="D264" s="1"/>
      <c r="E264" s="3"/>
      <c r="F264" s="3"/>
      <c r="G264" s="3"/>
      <c r="H264" s="2"/>
      <c r="I264" s="18"/>
      <c r="J264" s="180"/>
      <c r="K264" s="19"/>
      <c r="AA264" s="17"/>
    </row>
    <row r="265" spans="1:27" s="22" customFormat="1" ht="15.75" customHeight="1">
      <c r="A265" s="3"/>
      <c r="B265" s="17"/>
      <c r="C265" s="1"/>
      <c r="D265" s="1"/>
      <c r="E265" s="3"/>
      <c r="F265" s="3"/>
      <c r="G265" s="3"/>
      <c r="H265" s="2"/>
      <c r="I265" s="18"/>
      <c r="J265" s="180"/>
      <c r="K265" s="19"/>
      <c r="AA265" s="17"/>
    </row>
    <row r="266" spans="1:27" s="22" customFormat="1" ht="15.75" customHeight="1">
      <c r="A266" s="3"/>
      <c r="B266" s="17"/>
      <c r="C266" s="1"/>
      <c r="D266" s="1"/>
      <c r="E266" s="3"/>
      <c r="F266" s="3"/>
      <c r="G266" s="3"/>
      <c r="H266" s="2"/>
      <c r="I266" s="18"/>
      <c r="J266" s="180"/>
      <c r="K266" s="19"/>
      <c r="AA266" s="17"/>
    </row>
    <row r="267" spans="1:27" s="22" customFormat="1">
      <c r="A267" s="3"/>
      <c r="B267" s="17"/>
      <c r="C267" s="1"/>
      <c r="D267" s="1"/>
      <c r="E267" s="3"/>
      <c r="F267" s="3"/>
      <c r="G267" s="3"/>
      <c r="H267" s="2"/>
      <c r="I267" s="18"/>
      <c r="J267" s="180"/>
      <c r="K267" s="19"/>
      <c r="AA267" s="17"/>
    </row>
    <row r="268" spans="1:27" s="22" customFormat="1">
      <c r="A268" s="3"/>
      <c r="B268" s="17"/>
      <c r="C268" s="1"/>
      <c r="D268" s="1"/>
      <c r="E268" s="3"/>
      <c r="F268" s="3"/>
      <c r="G268" s="3"/>
      <c r="H268" s="2"/>
      <c r="I268" s="18"/>
      <c r="J268" s="180"/>
      <c r="K268" s="19"/>
      <c r="AA268" s="17"/>
    </row>
    <row r="269" spans="1:27">
      <c r="L269" s="22"/>
      <c r="M269" s="22"/>
      <c r="N269" s="22"/>
    </row>
    <row r="272" spans="1:27" ht="36" customHeight="1"/>
    <row r="287" ht="15.75" customHeight="1"/>
  </sheetData>
  <mergeCells count="17">
    <mergeCell ref="D29:F29"/>
    <mergeCell ref="F11:G11"/>
    <mergeCell ref="F17:H17"/>
    <mergeCell ref="F13:H13"/>
    <mergeCell ref="H28:I28"/>
    <mergeCell ref="H27:I27"/>
    <mergeCell ref="D28:G28"/>
    <mergeCell ref="F10:G10"/>
    <mergeCell ref="M3:N3"/>
    <mergeCell ref="A2:K2"/>
    <mergeCell ref="F3:G3"/>
    <mergeCell ref="F4:G4"/>
    <mergeCell ref="I3:J3"/>
    <mergeCell ref="I4:J4"/>
    <mergeCell ref="C5:D5"/>
    <mergeCell ref="B3:D3"/>
    <mergeCell ref="B4:D4"/>
  </mergeCells>
  <dataValidations count="4">
    <dataValidation type="textLength" operator="greaterThan" showInputMessage="1" showErrorMessage="1" errorTitle="Ошибка" error="Эти ячейки изменять нельзя" sqref="A10:B26" xr:uid="{00000000-0002-0000-0000-000000000000}">
      <formula1>50000</formula1>
    </dataValidation>
    <dataValidation type="list" allowBlank="1" showInputMessage="1" showErrorMessage="1" errorTitle="Ошибка" error="Предложенное значение не находится в списке допустимых" sqref="I7:I9" xr:uid="{00000000-0002-0000-0000-000001000000}">
      <formula1>Заключение</formula1>
    </dataValidation>
    <dataValidation type="list" allowBlank="1" showInputMessage="1" showErrorMessage="1" errorTitle="Ошибка" error="Предложенное значение не находится в списке допустимых" sqref="K7:K9" xr:uid="{00000000-0002-0000-0000-000002000000}">
      <formula1>Примечание</formula1>
    </dataValidation>
    <dataValidation type="list" allowBlank="1" showInputMessage="1" showErrorMessage="1" errorTitle="Ошибка!" error="Введеное название не соответствует списку зеленых насаждений Департамента природопользования" sqref="B7:B9" xr:uid="{00000000-0002-0000-0000-000003000000}">
      <formula1>НаименованиеПород</formula1>
    </dataValidation>
  </dataValidations>
  <pageMargins left="0.39370078740157483" right="0.19685039370078741" top="0.22" bottom="0.24" header="0" footer="0.21"/>
  <pageSetup paperSize="9" scale="95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B1:L86"/>
  <sheetViews>
    <sheetView workbookViewId="0">
      <selection activeCell="C64" sqref="C64"/>
    </sheetView>
  </sheetViews>
  <sheetFormatPr defaultColWidth="9.140625" defaultRowHeight="15.75"/>
  <cols>
    <col min="1" max="1" width="2.7109375" style="116" customWidth="1"/>
    <col min="2" max="2" width="29.5703125" style="88" customWidth="1"/>
    <col min="3" max="3" width="4.42578125" style="52" customWidth="1"/>
    <col min="4" max="4" width="14.140625" style="63" customWidth="1"/>
    <col min="5" max="5" width="8.5703125" style="46" customWidth="1"/>
    <col min="6" max="6" width="6.140625" style="46" customWidth="1"/>
    <col min="7" max="8" width="6.42578125" style="46" customWidth="1"/>
    <col min="9" max="9" width="17.140625" style="44" customWidth="1"/>
    <col min="10" max="10" width="16.28515625" style="44" customWidth="1"/>
    <col min="11" max="11" width="17.85546875" style="44" customWidth="1"/>
    <col min="12" max="12" width="21.42578125" style="116" customWidth="1"/>
    <col min="13" max="18" width="9.140625" style="116" customWidth="1"/>
    <col min="19" max="16384" width="9.140625" style="116"/>
  </cols>
  <sheetData>
    <row r="1" spans="2:12" ht="51" customHeight="1">
      <c r="B1" s="46" t="s">
        <v>95</v>
      </c>
      <c r="C1" s="55" t="s">
        <v>96</v>
      </c>
      <c r="I1" s="44" t="s">
        <v>97</v>
      </c>
      <c r="K1" s="44" t="s">
        <v>98</v>
      </c>
      <c r="L1" s="116" t="s">
        <v>99</v>
      </c>
    </row>
    <row r="2" spans="2:12">
      <c r="B2" s="89" t="s">
        <v>100</v>
      </c>
      <c r="C2" s="116">
        <v>2</v>
      </c>
      <c r="D2" s="207">
        <f>ROUND(5065.91*'1'!$K$3,2)</f>
        <v>0</v>
      </c>
      <c r="I2" s="24" t="s">
        <v>44</v>
      </c>
      <c r="J2" s="113" t="s">
        <v>101</v>
      </c>
      <c r="K2" s="24" t="s">
        <v>67</v>
      </c>
      <c r="L2" s="43"/>
    </row>
    <row r="3" spans="2:12">
      <c r="B3" s="89" t="s">
        <v>102</v>
      </c>
      <c r="C3" s="116">
        <v>5</v>
      </c>
      <c r="D3" s="207">
        <f>ROUND(219.83*'1'!$K$3,2)</f>
        <v>0</v>
      </c>
      <c r="I3" s="24" t="s">
        <v>46</v>
      </c>
      <c r="J3" s="26"/>
      <c r="K3" s="24" t="s">
        <v>69</v>
      </c>
    </row>
    <row r="4" spans="2:12">
      <c r="B4" s="89" t="s">
        <v>103</v>
      </c>
      <c r="C4" s="116">
        <v>5</v>
      </c>
      <c r="D4" s="207">
        <f>ROUND(219.83*'1'!$K$3,2)</f>
        <v>0</v>
      </c>
      <c r="I4" s="24" t="s">
        <v>40</v>
      </c>
      <c r="J4" s="46"/>
      <c r="K4" s="24" t="s">
        <v>70</v>
      </c>
    </row>
    <row r="5" spans="2:12">
      <c r="B5" s="89" t="s">
        <v>104</v>
      </c>
      <c r="C5" s="116">
        <v>2</v>
      </c>
      <c r="D5" s="207">
        <f>ROUND(5065.91*'1'!$K$3,2)</f>
        <v>0</v>
      </c>
      <c r="K5" s="24" t="s">
        <v>74</v>
      </c>
    </row>
    <row r="6" spans="2:12">
      <c r="B6" s="89" t="s">
        <v>105</v>
      </c>
      <c r="C6" s="116">
        <v>3</v>
      </c>
      <c r="D6" s="207">
        <f>ROUND(4163.88*'1'!$K$3,2)</f>
        <v>0</v>
      </c>
      <c r="K6" s="24" t="s">
        <v>106</v>
      </c>
    </row>
    <row r="7" spans="2:12">
      <c r="B7" s="89" t="s">
        <v>107</v>
      </c>
      <c r="C7" s="116">
        <v>5</v>
      </c>
      <c r="D7" s="207">
        <f>ROUND(219.83*'1'!$K$3,2)</f>
        <v>0</v>
      </c>
      <c r="K7" s="24" t="s">
        <v>108</v>
      </c>
    </row>
    <row r="8" spans="2:12">
      <c r="B8" s="89" t="s">
        <v>109</v>
      </c>
      <c r="C8" s="116">
        <v>5</v>
      </c>
      <c r="D8" s="207">
        <f>ROUND(219.83*'1'!$K$3,2)</f>
        <v>0</v>
      </c>
      <c r="K8" s="24" t="s">
        <v>77</v>
      </c>
    </row>
    <row r="9" spans="2:12">
      <c r="B9" s="89" t="s">
        <v>110</v>
      </c>
      <c r="C9" s="116">
        <v>3</v>
      </c>
      <c r="D9" s="207">
        <f>ROUND(4163.88*'1'!$K$3,2)</f>
        <v>0</v>
      </c>
      <c r="K9" s="24" t="s">
        <v>111</v>
      </c>
    </row>
    <row r="10" spans="2:12">
      <c r="B10" s="89" t="s">
        <v>112</v>
      </c>
      <c r="C10" s="116">
        <v>5</v>
      </c>
      <c r="D10" s="207">
        <f>ROUND(219.83*'1'!$K$3,2)</f>
        <v>0</v>
      </c>
      <c r="K10" s="24" t="s">
        <v>113</v>
      </c>
      <c r="L10" s="45"/>
    </row>
    <row r="11" spans="2:12">
      <c r="B11" s="89" t="s">
        <v>114</v>
      </c>
      <c r="C11" s="116">
        <v>5</v>
      </c>
      <c r="D11" s="207">
        <f>ROUND(219.83*'1'!$K$3,2)</f>
        <v>0</v>
      </c>
      <c r="K11" s="24" t="s">
        <v>115</v>
      </c>
      <c r="L11" s="45"/>
    </row>
    <row r="12" spans="2:12">
      <c r="B12" s="89" t="s">
        <v>116</v>
      </c>
      <c r="C12" s="116">
        <v>3</v>
      </c>
      <c r="D12" s="207">
        <f>ROUND(4163.88*'1'!$K$3,2)</f>
        <v>0</v>
      </c>
      <c r="K12" s="27" t="s">
        <v>117</v>
      </c>
      <c r="L12" s="45"/>
    </row>
    <row r="13" spans="2:12">
      <c r="B13" s="89" t="s">
        <v>118</v>
      </c>
      <c r="C13" s="116">
        <v>5</v>
      </c>
      <c r="D13" s="207">
        <f>ROUND(219.83*'1'!$K$3,2)</f>
        <v>0</v>
      </c>
      <c r="K13" s="24" t="s">
        <v>119</v>
      </c>
    </row>
    <row r="14" spans="2:12">
      <c r="B14" s="29" t="s">
        <v>120</v>
      </c>
      <c r="C14" s="116">
        <v>2</v>
      </c>
      <c r="D14" s="207">
        <f>ROUND(5065.91*'1'!$K$3,2)</f>
        <v>0</v>
      </c>
      <c r="I14" s="20"/>
      <c r="J14" s="46"/>
      <c r="K14" s="24" t="s">
        <v>121</v>
      </c>
    </row>
    <row r="15" spans="2:12">
      <c r="B15" s="89" t="s">
        <v>122</v>
      </c>
      <c r="D15" s="207">
        <f>ROUND(194.97*'1'!$K$3,2)</f>
        <v>0</v>
      </c>
      <c r="J15" s="46"/>
      <c r="K15" s="24" t="s">
        <v>123</v>
      </c>
    </row>
    <row r="16" spans="2:12">
      <c r="B16" s="89" t="s">
        <v>124</v>
      </c>
      <c r="C16" s="116">
        <v>3</v>
      </c>
      <c r="D16" s="207">
        <f>ROUND(4163.88*'1'!$K$3,2)</f>
        <v>0</v>
      </c>
      <c r="K16" s="24" t="s">
        <v>125</v>
      </c>
    </row>
    <row r="17" spans="2:12">
      <c r="B17" s="89" t="s">
        <v>126</v>
      </c>
      <c r="C17" s="116">
        <v>5</v>
      </c>
      <c r="D17" s="207">
        <f>ROUND(219.83*'1'!$K$3,2)</f>
        <v>0</v>
      </c>
      <c r="K17" s="24" t="s">
        <v>87</v>
      </c>
    </row>
    <row r="18" spans="2:12">
      <c r="B18" s="89" t="s">
        <v>127</v>
      </c>
      <c r="C18" s="116">
        <v>5</v>
      </c>
      <c r="D18" s="207">
        <f>ROUND(219.83*'1'!$K$3,2)</f>
        <v>0</v>
      </c>
      <c r="K18" s="24" t="s">
        <v>88</v>
      </c>
      <c r="L18" s="45" t="s">
        <v>128</v>
      </c>
    </row>
    <row r="19" spans="2:12">
      <c r="B19" s="89" t="s">
        <v>129</v>
      </c>
      <c r="C19" s="116">
        <v>2</v>
      </c>
      <c r="D19" s="207">
        <f>ROUND(5065.91*'1'!$K$3,2)</f>
        <v>0</v>
      </c>
      <c r="K19" s="24" t="s">
        <v>89</v>
      </c>
      <c r="L19" s="45" t="s">
        <v>130</v>
      </c>
    </row>
    <row r="20" spans="2:12">
      <c r="B20" s="89" t="s">
        <v>131</v>
      </c>
      <c r="C20" s="116">
        <v>1</v>
      </c>
      <c r="D20" s="207">
        <f>ROUND(6337.38*'1'!$K$3,2)</f>
        <v>0</v>
      </c>
      <c r="K20" s="24" t="s">
        <v>90</v>
      </c>
      <c r="L20" s="45" t="s">
        <v>132</v>
      </c>
    </row>
    <row r="21" spans="2:12">
      <c r="B21" s="89" t="s">
        <v>133</v>
      </c>
      <c r="C21" s="116">
        <v>5</v>
      </c>
      <c r="D21" s="207">
        <f>ROUND(219.83*'1'!$K$3,2)</f>
        <v>0</v>
      </c>
      <c r="K21" s="24" t="s">
        <v>91</v>
      </c>
      <c r="L21" s="45" t="s">
        <v>134</v>
      </c>
    </row>
    <row r="22" spans="2:12">
      <c r="B22" s="89" t="s">
        <v>135</v>
      </c>
      <c r="C22" s="116">
        <v>4</v>
      </c>
      <c r="D22" s="207">
        <f>ROUND(2885.22*'1'!$K$3,2)</f>
        <v>0</v>
      </c>
      <c r="K22" s="24" t="s">
        <v>92</v>
      </c>
      <c r="L22" s="45" t="s">
        <v>136</v>
      </c>
    </row>
    <row r="23" spans="2:12">
      <c r="B23" s="89" t="s">
        <v>137</v>
      </c>
      <c r="D23" s="207"/>
      <c r="K23" s="24" t="s">
        <v>93</v>
      </c>
      <c r="L23" s="45" t="s">
        <v>138</v>
      </c>
    </row>
    <row r="24" spans="2:12">
      <c r="B24" s="89" t="s">
        <v>139</v>
      </c>
      <c r="C24" s="116">
        <v>2</v>
      </c>
      <c r="D24" s="207">
        <f>ROUND(5065.91*'1'!$K$3,2)</f>
        <v>0</v>
      </c>
      <c r="K24" s="24" t="s">
        <v>94</v>
      </c>
      <c r="L24" s="45" t="s">
        <v>140</v>
      </c>
    </row>
    <row r="25" spans="2:12">
      <c r="B25" s="89" t="s">
        <v>141</v>
      </c>
      <c r="C25" s="116">
        <v>5</v>
      </c>
      <c r="D25" s="207">
        <f>ROUND(219.83*'1'!$K$3,2)</f>
        <v>0</v>
      </c>
      <c r="K25" s="24" t="s">
        <v>142</v>
      </c>
      <c r="L25" s="45" t="s">
        <v>143</v>
      </c>
    </row>
    <row r="26" spans="2:12">
      <c r="B26" s="89" t="s">
        <v>144</v>
      </c>
      <c r="C26" s="116">
        <v>5</v>
      </c>
      <c r="D26" s="207">
        <f>ROUND(219.83*'1'!$K$3,2)</f>
        <v>0</v>
      </c>
      <c r="L26" s="45"/>
    </row>
    <row r="27" spans="2:12">
      <c r="B27" s="89" t="s">
        <v>145</v>
      </c>
      <c r="C27" s="116">
        <v>2</v>
      </c>
      <c r="D27" s="207">
        <f>ROUND(5065.91*'1'!$K$3,2)</f>
        <v>0</v>
      </c>
      <c r="L27" s="45"/>
    </row>
    <row r="28" spans="2:12">
      <c r="B28" s="89" t="s">
        <v>146</v>
      </c>
      <c r="C28" s="116">
        <v>5</v>
      </c>
      <c r="D28" s="207">
        <f>ROUND(219.83*'1'!$K$3,2)</f>
        <v>0</v>
      </c>
      <c r="L28" s="45"/>
    </row>
    <row r="29" spans="2:12">
      <c r="B29" s="89" t="s">
        <v>36</v>
      </c>
      <c r="C29" s="116">
        <v>2</v>
      </c>
      <c r="D29" s="207">
        <f>ROUND(5065.91*'1'!$K$3,2)</f>
        <v>0</v>
      </c>
      <c r="L29" s="45"/>
    </row>
    <row r="30" spans="2:12">
      <c r="B30" s="89" t="s">
        <v>147</v>
      </c>
      <c r="C30" s="116">
        <v>5</v>
      </c>
      <c r="D30" s="207">
        <f>ROUND(219.83*'1'!$K$3,2)</f>
        <v>0</v>
      </c>
      <c r="L30" s="45"/>
    </row>
    <row r="31" spans="2:12">
      <c r="B31" s="89" t="s">
        <v>148</v>
      </c>
      <c r="C31" s="116">
        <v>4</v>
      </c>
      <c r="D31" s="207">
        <f>ROUND(2885.22*'1'!$K$3,2)</f>
        <v>0</v>
      </c>
      <c r="L31" s="45"/>
    </row>
    <row r="32" spans="2:12">
      <c r="B32" s="89" t="s">
        <v>149</v>
      </c>
      <c r="D32" s="207"/>
    </row>
    <row r="33" spans="2:4">
      <c r="B33" s="89" t="s">
        <v>150</v>
      </c>
      <c r="C33" s="116">
        <v>5</v>
      </c>
      <c r="D33" s="207">
        <f>ROUND(219.83*'1'!$K$3,2)</f>
        <v>0</v>
      </c>
    </row>
    <row r="34" spans="2:4">
      <c r="B34" s="89" t="s">
        <v>151</v>
      </c>
      <c r="C34" s="116">
        <v>5</v>
      </c>
      <c r="D34" s="207">
        <f>ROUND(219.83*'1'!$K$3,2)</f>
        <v>0</v>
      </c>
    </row>
    <row r="35" spans="2:4">
      <c r="B35" s="89" t="s">
        <v>152</v>
      </c>
      <c r="C35" s="116">
        <v>5</v>
      </c>
      <c r="D35" s="207">
        <f>ROUND(219.83*'1'!$K$3,2)</f>
        <v>0</v>
      </c>
    </row>
    <row r="36" spans="2:4">
      <c r="B36" s="89" t="s">
        <v>153</v>
      </c>
      <c r="C36" s="52">
        <v>1</v>
      </c>
      <c r="D36" s="207">
        <f>ROUND(6337.38*'1'!$K$3,2)</f>
        <v>0</v>
      </c>
    </row>
    <row r="37" spans="2:4">
      <c r="B37" s="89" t="s">
        <v>154</v>
      </c>
      <c r="C37" s="116">
        <v>5</v>
      </c>
      <c r="D37" s="207">
        <f>ROUND(219.83*'1'!$K$3,2)</f>
        <v>0</v>
      </c>
    </row>
    <row r="38" spans="2:4">
      <c r="B38" s="89" t="s">
        <v>155</v>
      </c>
      <c r="C38" s="116">
        <v>2</v>
      </c>
      <c r="D38" s="207">
        <f>ROUND(5065.91*'1'!$K$3,2)</f>
        <v>0</v>
      </c>
    </row>
    <row r="39" spans="2:4">
      <c r="B39" s="89" t="s">
        <v>156</v>
      </c>
      <c r="C39" s="116">
        <v>1</v>
      </c>
      <c r="D39" s="207">
        <f>ROUND(6337.38*'1'!$K$3,2)</f>
        <v>0</v>
      </c>
    </row>
    <row r="40" spans="2:4">
      <c r="B40" s="89" t="s">
        <v>157</v>
      </c>
      <c r="C40" s="116">
        <v>5</v>
      </c>
      <c r="D40" s="207">
        <f>ROUND(219.83*'1'!$K$3,2)</f>
        <v>0</v>
      </c>
    </row>
    <row r="41" spans="2:4">
      <c r="B41" s="89" t="s">
        <v>158</v>
      </c>
      <c r="C41" s="116">
        <v>4</v>
      </c>
      <c r="D41" s="207">
        <f>ROUND(2885.22*'1'!$K$3,2)</f>
        <v>0</v>
      </c>
    </row>
    <row r="42" spans="2:4">
      <c r="B42" s="89" t="s">
        <v>159</v>
      </c>
      <c r="C42" s="116">
        <v>2</v>
      </c>
      <c r="D42" s="207">
        <f>ROUND(5065.91*'1'!$K$3,2)</f>
        <v>0</v>
      </c>
    </row>
    <row r="43" spans="2:4">
      <c r="B43" s="89" t="s">
        <v>160</v>
      </c>
      <c r="C43" s="116">
        <v>4</v>
      </c>
      <c r="D43" s="207">
        <f>ROUND(2885.22*'1'!$K$3,2)</f>
        <v>0</v>
      </c>
    </row>
    <row r="44" spans="2:4">
      <c r="B44" s="89" t="s">
        <v>78</v>
      </c>
      <c r="D44" s="207"/>
    </row>
    <row r="45" spans="2:4">
      <c r="B45" s="89" t="s">
        <v>76</v>
      </c>
      <c r="D45" s="207"/>
    </row>
    <row r="46" spans="2:4">
      <c r="B46" s="89" t="s">
        <v>161</v>
      </c>
      <c r="C46" s="116">
        <v>1</v>
      </c>
      <c r="D46" s="207">
        <f>ROUND(6337.38*'1'!$K$3,2)</f>
        <v>0</v>
      </c>
    </row>
    <row r="47" spans="2:4">
      <c r="B47" s="89" t="s">
        <v>162</v>
      </c>
      <c r="C47" s="116">
        <v>5</v>
      </c>
      <c r="D47" s="207">
        <f>ROUND(219.83*'1'!$K$3,2)</f>
        <v>0</v>
      </c>
    </row>
    <row r="48" spans="2:4">
      <c r="B48" s="89" t="s">
        <v>163</v>
      </c>
      <c r="C48" s="116">
        <v>3</v>
      </c>
      <c r="D48" s="207">
        <f>ROUND(4163.88*'1'!$K$3,2)</f>
        <v>0</v>
      </c>
    </row>
    <row r="49" spans="2:4">
      <c r="B49" s="89" t="s">
        <v>106</v>
      </c>
      <c r="D49" s="207"/>
    </row>
    <row r="50" spans="2:4">
      <c r="B50" s="89" t="s">
        <v>164</v>
      </c>
      <c r="C50" s="116">
        <v>5</v>
      </c>
      <c r="D50" s="207">
        <f>ROUND(219.83*'1'!$K$3,2)</f>
        <v>0</v>
      </c>
    </row>
    <row r="51" spans="2:4">
      <c r="B51" s="89" t="s">
        <v>165</v>
      </c>
      <c r="C51" s="116">
        <v>5</v>
      </c>
      <c r="D51" s="207">
        <f>ROUND(219.83*'1'!$K$3,2)</f>
        <v>0</v>
      </c>
    </row>
    <row r="52" spans="2:4">
      <c r="B52" s="89" t="s">
        <v>166</v>
      </c>
      <c r="C52" s="116">
        <v>5</v>
      </c>
      <c r="D52" s="207">
        <f>ROUND(219.83*'1'!$K$3,2)</f>
        <v>0</v>
      </c>
    </row>
    <row r="53" spans="2:4">
      <c r="B53" s="89" t="s">
        <v>167</v>
      </c>
      <c r="C53" s="116">
        <v>3</v>
      </c>
      <c r="D53" s="207">
        <f>ROUND(4163.88*'1'!$K$3,2)</f>
        <v>0</v>
      </c>
    </row>
    <row r="54" spans="2:4">
      <c r="B54" s="89" t="s">
        <v>168</v>
      </c>
      <c r="D54" s="207"/>
    </row>
    <row r="55" spans="2:4">
      <c r="B55" s="89" t="s">
        <v>169</v>
      </c>
      <c r="D55" s="207"/>
    </row>
    <row r="56" spans="2:4">
      <c r="B56" s="89" t="s">
        <v>170</v>
      </c>
      <c r="C56" s="116">
        <v>5</v>
      </c>
      <c r="D56" s="207">
        <f>ROUND(219.83*'1'!$K$3,2)</f>
        <v>0</v>
      </c>
    </row>
    <row r="57" spans="2:4">
      <c r="B57" s="89" t="s">
        <v>171</v>
      </c>
      <c r="C57" s="116">
        <v>3</v>
      </c>
      <c r="D57" s="207">
        <f>ROUND(4163.88*'1'!$K$3,2)</f>
        <v>0</v>
      </c>
    </row>
    <row r="58" spans="2:4">
      <c r="B58" s="89" t="s">
        <v>172</v>
      </c>
      <c r="C58" s="116">
        <v>5</v>
      </c>
      <c r="D58" s="207">
        <f>ROUND(219.83*'1'!$K$3,2)</f>
        <v>0</v>
      </c>
    </row>
    <row r="59" spans="2:4">
      <c r="B59" s="89" t="s">
        <v>173</v>
      </c>
      <c r="C59" s="116">
        <v>5</v>
      </c>
      <c r="D59" s="207">
        <f>ROUND(219.83*'1'!$K$3,2)</f>
        <v>0</v>
      </c>
    </row>
    <row r="60" spans="2:4">
      <c r="B60" s="89" t="s">
        <v>174</v>
      </c>
      <c r="C60" s="116">
        <v>5</v>
      </c>
      <c r="D60" s="207">
        <f>ROUND(219.83*'1'!$K$3,2)</f>
        <v>0</v>
      </c>
    </row>
    <row r="61" spans="2:4">
      <c r="B61" s="89" t="s">
        <v>175</v>
      </c>
      <c r="C61" s="116">
        <v>1</v>
      </c>
      <c r="D61" s="207">
        <f>ROUND(6337.38*'1'!$K$3,2)</f>
        <v>0</v>
      </c>
    </row>
    <row r="62" spans="2:4">
      <c r="B62" s="89" t="s">
        <v>176</v>
      </c>
      <c r="C62" s="116">
        <v>5</v>
      </c>
      <c r="D62" s="207">
        <f>ROUND(219.83*'1'!$K$3,2)</f>
        <v>0</v>
      </c>
    </row>
    <row r="63" spans="2:4">
      <c r="B63" s="89" t="s">
        <v>177</v>
      </c>
      <c r="D63" s="207"/>
    </row>
    <row r="64" spans="2:4">
      <c r="B64" s="89" t="s">
        <v>178</v>
      </c>
      <c r="C64" s="116">
        <v>4</v>
      </c>
      <c r="D64" s="207">
        <f>ROUND(2885.22*'1'!$K$3,2)</f>
        <v>0</v>
      </c>
    </row>
    <row r="65" spans="2:4">
      <c r="B65" s="89" t="s">
        <v>179</v>
      </c>
      <c r="D65" s="207"/>
    </row>
    <row r="66" spans="2:4">
      <c r="B66" s="89" t="s">
        <v>180</v>
      </c>
      <c r="C66" s="116">
        <v>3</v>
      </c>
      <c r="D66" s="207">
        <f>ROUND(4163.88*'1'!$K$3,2)</f>
        <v>0</v>
      </c>
    </row>
    <row r="67" spans="2:4">
      <c r="B67" s="89" t="s">
        <v>181</v>
      </c>
      <c r="C67" s="116">
        <v>3</v>
      </c>
      <c r="D67" s="207">
        <f>ROUND(4163.88*'1'!$K$3,2)</f>
        <v>0</v>
      </c>
    </row>
    <row r="68" spans="2:4">
      <c r="B68" s="89" t="s">
        <v>182</v>
      </c>
      <c r="D68" s="207">
        <v>811.36765500000001</v>
      </c>
    </row>
    <row r="69" spans="2:4">
      <c r="B69" s="89" t="s">
        <v>183</v>
      </c>
      <c r="C69" s="116">
        <v>1</v>
      </c>
      <c r="D69" s="207">
        <f>ROUND(6337.38*'1'!$K$3,2)</f>
        <v>0</v>
      </c>
    </row>
    <row r="70" spans="2:4">
      <c r="B70" s="89" t="s">
        <v>184</v>
      </c>
      <c r="C70" s="116">
        <v>5</v>
      </c>
      <c r="D70" s="207">
        <f>ROUND(219.83*'1'!$K$3,2)</f>
        <v>0</v>
      </c>
    </row>
    <row r="71" spans="2:4">
      <c r="B71" s="89" t="s">
        <v>185</v>
      </c>
      <c r="C71" s="116">
        <v>5</v>
      </c>
      <c r="D71" s="207">
        <f>ROUND(219.83*'1'!$K$3,2)</f>
        <v>0</v>
      </c>
    </row>
    <row r="72" spans="2:4">
      <c r="B72" s="89" t="s">
        <v>186</v>
      </c>
      <c r="C72" s="116">
        <v>3</v>
      </c>
      <c r="D72" s="207">
        <f>ROUND(4163.88*'1'!$K$3,2)</f>
        <v>0</v>
      </c>
    </row>
    <row r="73" spans="2:4">
      <c r="B73" s="89" t="s">
        <v>187</v>
      </c>
      <c r="C73" s="116">
        <v>5</v>
      </c>
      <c r="D73" s="207">
        <f>ROUND(219.83*'1'!$K$3,2)</f>
        <v>0</v>
      </c>
    </row>
    <row r="74" spans="2:4">
      <c r="B74" s="89" t="s">
        <v>188</v>
      </c>
      <c r="C74" s="116">
        <v>5</v>
      </c>
      <c r="D74" s="207">
        <f>ROUND(219.83*'1'!$K$3,2)</f>
        <v>0</v>
      </c>
    </row>
    <row r="75" spans="2:4">
      <c r="B75" s="88" t="s">
        <v>189</v>
      </c>
      <c r="C75" s="116">
        <v>2</v>
      </c>
      <c r="D75" s="207">
        <f>ROUND(5065.91*'1'!$K$3,2)</f>
        <v>0</v>
      </c>
    </row>
    <row r="76" spans="2:4">
      <c r="B76" s="88" t="s">
        <v>190</v>
      </c>
      <c r="C76" s="116">
        <v>3</v>
      </c>
      <c r="D76" s="207">
        <f>ROUND(4163.88*'1'!$K$3,2)</f>
        <v>0</v>
      </c>
    </row>
    <row r="77" spans="2:4">
      <c r="B77" s="88" t="s">
        <v>191</v>
      </c>
      <c r="C77" s="116">
        <v>2</v>
      </c>
      <c r="D77" s="207">
        <f>ROUND(5065.91*'1'!$K$3,2)</f>
        <v>0</v>
      </c>
    </row>
    <row r="78" spans="2:4">
      <c r="B78" s="88" t="s">
        <v>192</v>
      </c>
      <c r="D78" s="207">
        <f>PRODUCT(219.83,1.05,'1'!K3)</f>
        <v>230.82150000000001</v>
      </c>
    </row>
    <row r="79" spans="2:4">
      <c r="B79" s="88" t="s">
        <v>193</v>
      </c>
      <c r="D79" s="207">
        <f>PRODUCT(194.976,1.05,'1'!K3)</f>
        <v>204.72480000000002</v>
      </c>
    </row>
    <row r="80" spans="2:4">
      <c r="B80" s="88" t="s">
        <v>194</v>
      </c>
      <c r="D80" s="207">
        <f>PRODUCT(3167.08,1.05,'1'!K3)</f>
        <v>3325.4340000000002</v>
      </c>
    </row>
    <row r="81" spans="2:4">
      <c r="B81" s="43"/>
      <c r="C81" s="51"/>
    </row>
    <row r="82" spans="2:4" ht="51" customHeight="1">
      <c r="B82" s="56" t="s">
        <v>195</v>
      </c>
      <c r="C82" s="57" t="s">
        <v>96</v>
      </c>
    </row>
    <row r="83" spans="2:4">
      <c r="B83" s="40" t="s">
        <v>58</v>
      </c>
      <c r="C83" s="58" t="s">
        <v>35</v>
      </c>
      <c r="D83" s="64"/>
    </row>
    <row r="84" spans="2:4">
      <c r="B84" s="41" t="s">
        <v>59</v>
      </c>
      <c r="C84" s="58" t="s">
        <v>196</v>
      </c>
      <c r="D84" s="64"/>
    </row>
    <row r="85" spans="2:4">
      <c r="B85" s="41" t="s">
        <v>62</v>
      </c>
      <c r="C85" s="59">
        <v>3</v>
      </c>
    </row>
    <row r="86" spans="2:4">
      <c r="B86" s="41" t="s">
        <v>64</v>
      </c>
      <c r="C86" s="60">
        <v>4</v>
      </c>
    </row>
  </sheetData>
  <autoFilter ref="B1:D80" xr:uid="{00000000-0009-0000-0000-000001000000}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F41"/>
  <sheetViews>
    <sheetView view="pageBreakPreview" zoomScale="85" zoomScaleNormal="75" workbookViewId="0">
      <selection activeCell="D18" sqref="D18"/>
    </sheetView>
  </sheetViews>
  <sheetFormatPr defaultColWidth="9.140625" defaultRowHeight="18"/>
  <cols>
    <col min="1" max="7" width="17.7109375" style="210" customWidth="1"/>
    <col min="8" max="9" width="9.140625" style="210" customWidth="1"/>
    <col min="10" max="10" width="15.5703125" style="210" customWidth="1"/>
    <col min="11" max="11" width="16" style="210" customWidth="1"/>
    <col min="12" max="12" width="13.28515625" style="210" customWidth="1"/>
    <col min="13" max="18" width="9.140625" style="210" customWidth="1"/>
    <col min="19" max="16384" width="9.140625" style="210"/>
  </cols>
  <sheetData>
    <row r="1" spans="1:7" ht="60" customHeight="1">
      <c r="A1" s="238" t="str">
        <f>'1'!A2</f>
        <v>Перечетная ведомость деревьев и кустарников по адресу: г. Москва, ЮЗАО,Ленинский просп. 123 к.4</v>
      </c>
      <c r="B1" s="239"/>
      <c r="C1" s="239"/>
      <c r="D1" s="239"/>
      <c r="E1" s="239"/>
      <c r="F1" s="239"/>
      <c r="G1" s="239"/>
    </row>
    <row r="2" spans="1:7">
      <c r="A2" s="245" t="s">
        <v>197</v>
      </c>
      <c r="B2" s="239"/>
      <c r="C2" s="239"/>
      <c r="D2" s="239"/>
      <c r="E2" s="239"/>
      <c r="F2" s="239"/>
      <c r="G2" s="239"/>
    </row>
    <row r="3" spans="1:7" ht="12.75" customHeight="1">
      <c r="A3" s="246"/>
      <c r="B3" s="247"/>
      <c r="C3" s="247"/>
      <c r="D3" s="247"/>
      <c r="E3" s="247"/>
      <c r="F3" s="247"/>
      <c r="G3" s="247"/>
    </row>
    <row r="4" spans="1:7">
      <c r="A4" s="240" t="s">
        <v>198</v>
      </c>
      <c r="B4" s="242" t="s">
        <v>199</v>
      </c>
      <c r="C4" s="243"/>
      <c r="D4" s="244"/>
      <c r="E4" s="242" t="s">
        <v>200</v>
      </c>
      <c r="F4" s="243"/>
      <c r="G4" s="244"/>
    </row>
    <row r="5" spans="1:7">
      <c r="A5" s="241"/>
      <c r="B5" s="211" t="s">
        <v>201</v>
      </c>
      <c r="C5" s="211" t="s">
        <v>202</v>
      </c>
      <c r="D5" s="211" t="s">
        <v>203</v>
      </c>
      <c r="E5" s="211" t="s">
        <v>201</v>
      </c>
      <c r="F5" s="211" t="s">
        <v>202</v>
      </c>
      <c r="G5" s="211" t="s">
        <v>203</v>
      </c>
    </row>
    <row r="6" spans="1:7">
      <c r="A6" s="211" t="s">
        <v>204</v>
      </c>
      <c r="B6" s="117" t="e">
        <f ca="1">GetTreesCount('1'!#REF!,'1'!#REF!,'1'!#REF!,TRUE,16,'1'!#REF!)</f>
        <v>#NAME?</v>
      </c>
      <c r="C6" s="117" t="e">
        <f ca="1">GetTreesCount('1'!#REF!,'1'!#REF!,'1'!#REF!,TRUE,16,'1'!#REF!)</f>
        <v>#NAME?</v>
      </c>
      <c r="D6" s="117" t="e">
        <f ca="1">ROUND(C6*0.144,3)</f>
        <v>#NAME?</v>
      </c>
      <c r="E6" s="117" t="e">
        <f ca="1">GetTreesCount('1'!#REF!,'1'!#REF!,'1'!#REF!,FALSE,16,'1'!#REF!)</f>
        <v>#NAME?</v>
      </c>
      <c r="F6" s="117" t="e">
        <f ca="1">GetTreesCount('1'!#REF!,'1'!#REF!,'1'!#REF!,FALSE,16,'1'!#REF!)</f>
        <v>#NAME?</v>
      </c>
      <c r="G6" s="117" t="e">
        <f ca="1">ROUND(F6*0.24,3)</f>
        <v>#NAME?</v>
      </c>
    </row>
    <row r="7" spans="1:7">
      <c r="A7" s="211" t="s">
        <v>205</v>
      </c>
      <c r="B7" s="117" t="e">
        <f ca="1">GetTreesCount('1'!#REF!,'1'!#REF!,'1'!#REF!,TRUE,20,'1'!#REF!)</f>
        <v>#NAME?</v>
      </c>
      <c r="C7" s="117" t="e">
        <f ca="1">GetTreesCount('1'!#REF!,'1'!#REF!,'1'!#REF!,TRUE,20,'1'!#REF!)</f>
        <v>#NAME?</v>
      </c>
      <c r="D7" s="117" t="e">
        <f ca="1">ROUND(C7*0.2,3)</f>
        <v>#NAME?</v>
      </c>
      <c r="E7" s="117" t="e">
        <f ca="1">GetTreesCount('1'!#REF!,'1'!#REF!,'1'!#REF!,FALSE,20,'1'!#REF!)</f>
        <v>#NAME?</v>
      </c>
      <c r="F7" s="117" t="e">
        <f ca="1">GetTreesCount('1'!#REF!,'1'!#REF!,'1'!#REF!,FALSE,20,'1'!#REF!)</f>
        <v>#NAME?</v>
      </c>
      <c r="G7" s="117" t="e">
        <f ca="1">ROUND(F7*0.296,3)</f>
        <v>#NAME?</v>
      </c>
    </row>
    <row r="8" spans="1:7">
      <c r="A8" s="211" t="s">
        <v>206</v>
      </c>
      <c r="B8" s="117" t="e">
        <f ca="1">GetTreesCount('1'!#REF!,'1'!#REF!,'1'!#REF!,TRUE,24,'1'!#REF!)</f>
        <v>#NAME?</v>
      </c>
      <c r="C8" s="117" t="e">
        <f ca="1">GetTreesCount('1'!#REF!,'1'!#REF!,'1'!#REF!,TRUE,24,'1'!#REF!)</f>
        <v>#NAME?</v>
      </c>
      <c r="D8" s="117" t="e">
        <f ca="1">ROUND(C8*0.36,3)</f>
        <v>#NAME?</v>
      </c>
      <c r="E8" s="117" t="e">
        <f ca="1">GetTreesCount('1'!#REF!,'1'!#REF!,'1'!#REF!,FALSE,24,'1'!#REF!)</f>
        <v>#NAME?</v>
      </c>
      <c r="F8" s="117" t="e">
        <f ca="1">GetTreesCount('1'!#REF!,'1'!#REF!,'1'!#REF!,FALSE,24,'1'!#REF!)</f>
        <v>#NAME?</v>
      </c>
      <c r="G8" s="117" t="e">
        <f ca="1">ROUND(F8*0.456,3)</f>
        <v>#NAME?</v>
      </c>
    </row>
    <row r="9" spans="1:7">
      <c r="A9" s="211" t="s">
        <v>207</v>
      </c>
      <c r="B9" s="117" t="e">
        <f ca="1">GetTreesCount('1'!#REF!,'1'!#REF!,'1'!#REF!,TRUE,28,'1'!#REF!)</f>
        <v>#NAME?</v>
      </c>
      <c r="C9" s="117" t="e">
        <f ca="1">GetTreesCount('1'!#REF!,'1'!#REF!,'1'!#REF!,TRUE,28,'1'!#REF!)</f>
        <v>#NAME?</v>
      </c>
      <c r="D9" s="117" t="e">
        <f ca="1">ROUND(C9*0.528,3)</f>
        <v>#NAME?</v>
      </c>
      <c r="E9" s="117" t="e">
        <f ca="1">GetTreesCount('1'!#REF!,'1'!#REF!,'1'!#REF!,FALSE,28,'1'!#REF!)</f>
        <v>#NAME?</v>
      </c>
      <c r="F9" s="117" t="e">
        <f ca="1">GetTreesCount('1'!#REF!,'1'!#REF!,'1'!#REF!,FALSE,28,'1'!#REF!)</f>
        <v>#NAME?</v>
      </c>
      <c r="G9" s="117" t="e">
        <f ca="1">ROUND(F9*0.624,3)</f>
        <v>#NAME?</v>
      </c>
    </row>
    <row r="10" spans="1:7">
      <c r="A10" s="211" t="s">
        <v>208</v>
      </c>
      <c r="B10" s="117" t="e">
        <f ca="1">GetTreesCount('1'!#REF!,'1'!#REF!,'1'!#REF!,TRUE,32,'1'!#REF!)</f>
        <v>#NAME?</v>
      </c>
      <c r="C10" s="117" t="e">
        <f t="array" aca="1" ref="C10" ca="1">GetTreesCount('1'!#REF!,'1'!#REF!,'1'!#REF!,TRUE,32,'1'!#REF!)</f>
        <v>#NAME?</v>
      </c>
      <c r="D10" s="117" t="e">
        <f ca="1">ROUND(C10*0.696,3)</f>
        <v>#NAME?</v>
      </c>
      <c r="E10" s="117" t="e">
        <f ca="1">GetTreesCount('1'!#REF!,'1'!#REF!,'1'!#REF!,FALSE,32,'1'!#REF!)</f>
        <v>#NAME?</v>
      </c>
      <c r="F10" s="117" t="e">
        <f ca="1">GetTreesCount('1'!#REF!,'1'!#REF!,'1'!#REF!,FALSE,32,'1'!#REF!)</f>
        <v>#NAME?</v>
      </c>
      <c r="G10" s="117" t="e">
        <f ca="1">ROUND(F10*0.792,3)</f>
        <v>#NAME?</v>
      </c>
    </row>
    <row r="11" spans="1:7">
      <c r="A11" s="211" t="s">
        <v>209</v>
      </c>
      <c r="B11" s="117" t="e">
        <f ca="1">GetTreesCount('1'!#REF!,'1'!#REF!,'1'!#REF!,TRUE,45,'1'!#REF!)</f>
        <v>#NAME?</v>
      </c>
      <c r="C11" s="117" t="e">
        <f ca="1">GetTreesCount('1'!#REF!,'1'!#REF!,'1'!#REF!,TRUE,45,'1'!#REF!)</f>
        <v>#NAME?</v>
      </c>
      <c r="D11" s="117" t="e">
        <f ca="1">ROUND(C11*1.368,3)</f>
        <v>#NAME?</v>
      </c>
      <c r="E11" s="117" t="e">
        <f ca="1">GetTreesCount('1'!#REF!,'1'!#REF!,'1'!#REF!,FALSE,45,'1'!#REF!)</f>
        <v>#NAME?</v>
      </c>
      <c r="F11" s="117" t="e">
        <f ca="1">GetTreesCount('1'!#REF!,'1'!#REF!,'1'!#REF!,FALSE,45,'1'!#REF!)</f>
        <v>#NAME?</v>
      </c>
      <c r="G11" s="117" t="e">
        <f ca="1">ROUND(F11*1.464,3)</f>
        <v>#NAME?</v>
      </c>
    </row>
    <row r="12" spans="1:7">
      <c r="A12" s="211" t="s">
        <v>210</v>
      </c>
      <c r="B12" s="117" t="e">
        <f ca="1">GetTreesCount('1'!#REF!,'1'!#REF!,'1'!#REF!,TRUE,55,'1'!#REF!)</f>
        <v>#NAME?</v>
      </c>
      <c r="C12" s="117" t="e">
        <f ca="1">GetTreesCount('1'!#REF!,'1'!#REF!,'1'!#REF!,TRUE,55,'1'!#REF!)</f>
        <v>#NAME?</v>
      </c>
      <c r="D12" s="117" t="e">
        <f ca="1">ROUND(C12*2.152,3)</f>
        <v>#NAME?</v>
      </c>
      <c r="E12" s="117" t="e">
        <f ca="1">GetTreesCount('1'!#REF!,'1'!#REF!,'1'!#REF!,FALSE,55,'1'!#REF!)</f>
        <v>#NAME?</v>
      </c>
      <c r="F12" s="117" t="e">
        <f ca="1">GetTreesCount('1'!#REF!,'1'!#REF!,'1'!#REF!,FALSE,55,'1'!#REF!)</f>
        <v>#NAME?</v>
      </c>
      <c r="G12" s="117" t="e">
        <f ca="1">ROUND(F12*2.248,3)</f>
        <v>#NAME?</v>
      </c>
    </row>
    <row r="13" spans="1:7">
      <c r="A13" s="211" t="s">
        <v>211</v>
      </c>
      <c r="B13" s="117" t="e">
        <f ca="1">GetTreesCount('1'!#REF!,'1'!#REF!,'1'!#REF!,TRUE,65,'1'!#REF!)</f>
        <v>#NAME?</v>
      </c>
      <c r="C13" s="117" t="e">
        <f ca="1">GetTreesCount('1'!#REF!,'1'!#REF!,'1'!#REF!,TRUE,65,'1'!#REF!)</f>
        <v>#NAME?</v>
      </c>
      <c r="D13" s="117" t="e">
        <f ca="1">ROUND(C13*3.224,3)</f>
        <v>#NAME?</v>
      </c>
      <c r="E13" s="117" t="e">
        <f ca="1">GetTreesCount('1'!#REF!,'1'!#REF!,'1'!#REF!,FALSE,65,'1'!#REF!)</f>
        <v>#NAME?</v>
      </c>
      <c r="F13" s="117" t="e">
        <f ca="1">GetTreesCount('1'!#REF!,'1'!#REF!,'1'!#REF!,FALSE,65,'1'!#REF!)</f>
        <v>#NAME?</v>
      </c>
      <c r="G13" s="117" t="e">
        <f ca="1">ROUND(F13*3.32,3)</f>
        <v>#NAME?</v>
      </c>
    </row>
    <row r="14" spans="1:7">
      <c r="A14" s="118" t="s">
        <v>212</v>
      </c>
      <c r="B14" s="117" t="e">
        <f ca="1">GetTreesCount('1'!#REF!,'1'!#REF!,'1'!#REF!,TRUE,75,'1'!#REF!)</f>
        <v>#NAME?</v>
      </c>
      <c r="C14" s="117" t="e">
        <f ca="1">GetTreesCount('1'!#REF!,'1'!#REF!,'1'!#REF!,TRUE,75,'1'!#REF!)</f>
        <v>#NAME?</v>
      </c>
      <c r="D14" s="117" t="e">
        <f ca="1">ROUND(C14*4.384,3)</f>
        <v>#NAME?</v>
      </c>
      <c r="E14" s="117" t="e">
        <f ca="1">GetTreesCount('1'!#REF!,'1'!#REF!,'1'!#REF!,FALSE,75,'1'!#REF!)</f>
        <v>#NAME?</v>
      </c>
      <c r="F14" s="117" t="e">
        <f ca="1">GetTreesCount('1'!#REF!,'1'!#REF!,'1'!#REF!,FALSE,75,'1'!#REF!)</f>
        <v>#NAME?</v>
      </c>
      <c r="G14" s="117" t="e">
        <f ca="1">ROUND(F14*4.48,3)</f>
        <v>#NAME?</v>
      </c>
    </row>
    <row r="15" spans="1:7">
      <c r="A15" s="119" t="s">
        <v>41</v>
      </c>
      <c r="B15" s="120" t="e">
        <f t="shared" ref="B15:G15" ca="1" si="0">SUM(B6:B14)</f>
        <v>#NAME?</v>
      </c>
      <c r="C15" s="120" t="e">
        <f t="shared" ca="1" si="0"/>
        <v>#NAME?</v>
      </c>
      <c r="D15" s="120" t="e">
        <f t="shared" ca="1" si="0"/>
        <v>#NAME?</v>
      </c>
      <c r="E15" s="120" t="e">
        <f t="shared" ca="1" si="0"/>
        <v>#NAME?</v>
      </c>
      <c r="F15" s="120" t="e">
        <f t="shared" ca="1" si="0"/>
        <v>#NAME?</v>
      </c>
      <c r="G15" s="120" t="e">
        <f t="shared" ca="1" si="0"/>
        <v>#NAME?</v>
      </c>
    </row>
    <row r="17" spans="3:32" ht="30.75" customHeight="1">
      <c r="C17" s="173" t="s">
        <v>213</v>
      </c>
      <c r="F17" s="210" t="s">
        <v>214</v>
      </c>
    </row>
    <row r="19" spans="3:32">
      <c r="C19" s="210" t="s">
        <v>215</v>
      </c>
      <c r="D19" s="176" t="s">
        <v>216</v>
      </c>
    </row>
    <row r="29" spans="3:32" ht="34.5" customHeight="1">
      <c r="J29" s="155"/>
      <c r="K29" s="152" t="s">
        <v>217</v>
      </c>
    </row>
    <row r="30" spans="3:32" ht="34.5" customHeight="1">
      <c r="J30" s="153" t="s">
        <v>218</v>
      </c>
      <c r="K30" s="154"/>
      <c r="L30" s="210">
        <v>0</v>
      </c>
      <c r="M30" s="210">
        <v>5</v>
      </c>
      <c r="N30" s="210">
        <v>10</v>
      </c>
      <c r="O30" s="210">
        <v>15</v>
      </c>
      <c r="P30" s="210">
        <v>20</v>
      </c>
      <c r="Q30" s="210">
        <v>25</v>
      </c>
      <c r="R30" s="210">
        <v>30</v>
      </c>
      <c r="S30" s="210">
        <v>35</v>
      </c>
      <c r="T30" s="210">
        <v>40</v>
      </c>
      <c r="U30" s="210">
        <v>45</v>
      </c>
      <c r="V30" s="210">
        <v>50</v>
      </c>
      <c r="W30" s="210">
        <v>55</v>
      </c>
      <c r="X30" s="210">
        <v>60</v>
      </c>
      <c r="Y30" s="210">
        <v>65</v>
      </c>
      <c r="Z30" s="210">
        <v>70</v>
      </c>
      <c r="AA30" s="210">
        <v>75</v>
      </c>
      <c r="AB30" s="210">
        <v>80</v>
      </c>
      <c r="AC30" s="210">
        <v>85</v>
      </c>
      <c r="AD30" s="210">
        <v>90</v>
      </c>
      <c r="AE30" s="210">
        <v>95</v>
      </c>
      <c r="AF30" s="210">
        <v>100</v>
      </c>
    </row>
    <row r="31" spans="3:32">
      <c r="K31" s="210">
        <v>10</v>
      </c>
      <c r="L31" s="210">
        <v>0</v>
      </c>
      <c r="M31" s="210">
        <v>0</v>
      </c>
      <c r="N31" s="210">
        <v>0</v>
      </c>
      <c r="O31" s="210">
        <v>0</v>
      </c>
      <c r="P31" s="210">
        <v>0</v>
      </c>
      <c r="Q31" s="210">
        <v>0</v>
      </c>
      <c r="R31" s="210">
        <v>0</v>
      </c>
      <c r="S31" s="210">
        <v>0</v>
      </c>
      <c r="T31" s="210">
        <v>0</v>
      </c>
      <c r="U31" s="210">
        <v>0</v>
      </c>
      <c r="V31" s="210">
        <v>0</v>
      </c>
      <c r="W31" s="210">
        <v>0</v>
      </c>
      <c r="X31" s="210">
        <v>0</v>
      </c>
      <c r="Y31" s="210">
        <v>5</v>
      </c>
      <c r="Z31" s="210">
        <v>0</v>
      </c>
      <c r="AA31" s="210">
        <v>0</v>
      </c>
      <c r="AB31" s="210">
        <v>0</v>
      </c>
      <c r="AC31" s="210">
        <v>0</v>
      </c>
      <c r="AD31" s="210">
        <v>0</v>
      </c>
      <c r="AE31" s="210">
        <v>0</v>
      </c>
      <c r="AF31" s="210">
        <v>0</v>
      </c>
    </row>
    <row r="32" spans="3:32">
      <c r="K32" s="210">
        <v>50</v>
      </c>
      <c r="L32" s="210">
        <v>0</v>
      </c>
      <c r="M32" s="210">
        <v>0</v>
      </c>
      <c r="N32" s="210">
        <v>0</v>
      </c>
      <c r="O32" s="210">
        <v>0</v>
      </c>
      <c r="P32" s="210">
        <v>0</v>
      </c>
      <c r="Q32" s="210">
        <v>0</v>
      </c>
      <c r="R32" s="210">
        <v>0</v>
      </c>
      <c r="S32" s="210">
        <v>0</v>
      </c>
      <c r="T32" s="210">
        <v>0</v>
      </c>
      <c r="U32" s="210">
        <v>0</v>
      </c>
      <c r="V32" s="210">
        <v>0</v>
      </c>
      <c r="W32" s="210">
        <v>0</v>
      </c>
      <c r="X32" s="210">
        <v>0</v>
      </c>
      <c r="Y32" s="210">
        <v>0</v>
      </c>
      <c r="Z32" s="210">
        <v>0</v>
      </c>
      <c r="AA32" s="210">
        <v>0</v>
      </c>
      <c r="AB32" s="210">
        <v>0</v>
      </c>
      <c r="AC32" s="210">
        <v>0</v>
      </c>
      <c r="AD32" s="210">
        <v>0</v>
      </c>
      <c r="AE32" s="210">
        <v>0</v>
      </c>
      <c r="AF32" s="210">
        <v>0</v>
      </c>
    </row>
    <row r="33" spans="11:32">
      <c r="K33" s="210">
        <v>100</v>
      </c>
      <c r="L33" s="156">
        <f t="shared" ref="L33:U33" si="1">($K$33-$K$33*L30/100)*2-100</f>
        <v>100</v>
      </c>
      <c r="M33" s="157">
        <f t="shared" si="1"/>
        <v>90</v>
      </c>
      <c r="N33" s="157">
        <f t="shared" si="1"/>
        <v>80</v>
      </c>
      <c r="O33" s="157">
        <f t="shared" si="1"/>
        <v>70</v>
      </c>
      <c r="P33" s="210">
        <f t="shared" si="1"/>
        <v>60</v>
      </c>
      <c r="Q33" s="210">
        <f t="shared" si="1"/>
        <v>50</v>
      </c>
      <c r="R33" s="210">
        <f t="shared" si="1"/>
        <v>40</v>
      </c>
      <c r="S33" s="210">
        <f t="shared" si="1"/>
        <v>30</v>
      </c>
      <c r="T33" s="210">
        <f t="shared" si="1"/>
        <v>20</v>
      </c>
      <c r="U33" s="210">
        <f t="shared" si="1"/>
        <v>10</v>
      </c>
      <c r="V33" s="210">
        <v>0</v>
      </c>
      <c r="W33" s="210">
        <v>0</v>
      </c>
      <c r="X33" s="210">
        <v>0</v>
      </c>
      <c r="Y33" s="210">
        <v>0</v>
      </c>
      <c r="Z33" s="210">
        <v>0</v>
      </c>
      <c r="AA33" s="210">
        <v>0</v>
      </c>
      <c r="AB33" s="210">
        <v>0</v>
      </c>
      <c r="AC33" s="210">
        <v>0</v>
      </c>
      <c r="AD33" s="210">
        <v>0</v>
      </c>
      <c r="AE33" s="210">
        <v>0</v>
      </c>
      <c r="AF33" s="210">
        <v>0</v>
      </c>
    </row>
    <row r="34" spans="11:32">
      <c r="K34" s="210">
        <v>150</v>
      </c>
      <c r="L34" s="210">
        <f t="shared" ref="L34:Y34" si="2">($K$34-$K$34*L30/100)*2-100</f>
        <v>200</v>
      </c>
      <c r="M34" s="210">
        <f t="shared" si="2"/>
        <v>185</v>
      </c>
      <c r="N34" s="210">
        <f t="shared" si="2"/>
        <v>170</v>
      </c>
      <c r="O34" s="210">
        <f t="shared" si="2"/>
        <v>155</v>
      </c>
      <c r="P34" s="157">
        <f t="shared" si="2"/>
        <v>140</v>
      </c>
      <c r="Q34" s="210">
        <f t="shared" si="2"/>
        <v>125</v>
      </c>
      <c r="R34" s="210">
        <f t="shared" si="2"/>
        <v>110</v>
      </c>
      <c r="S34" s="210">
        <f t="shared" si="2"/>
        <v>95</v>
      </c>
      <c r="T34" s="210">
        <f t="shared" si="2"/>
        <v>80</v>
      </c>
      <c r="U34" s="210">
        <f t="shared" si="2"/>
        <v>65</v>
      </c>
      <c r="V34" s="210">
        <f t="shared" si="2"/>
        <v>50</v>
      </c>
      <c r="W34" s="210">
        <f t="shared" si="2"/>
        <v>35</v>
      </c>
      <c r="X34" s="210">
        <f t="shared" si="2"/>
        <v>20</v>
      </c>
      <c r="Y34" s="210">
        <f t="shared" si="2"/>
        <v>5</v>
      </c>
      <c r="Z34" s="210">
        <v>0</v>
      </c>
      <c r="AA34" s="210">
        <v>0</v>
      </c>
      <c r="AB34" s="210">
        <v>0</v>
      </c>
      <c r="AC34" s="210">
        <v>0</v>
      </c>
      <c r="AD34" s="210">
        <v>0</v>
      </c>
      <c r="AE34" s="210">
        <v>0</v>
      </c>
      <c r="AF34" s="210">
        <v>0</v>
      </c>
    </row>
    <row r="35" spans="11:32">
      <c r="K35" s="210">
        <v>200</v>
      </c>
      <c r="L35" s="210">
        <f t="shared" ref="L35:Z35" si="3">($K$35-$K$35*L30/100)*2-100</f>
        <v>300</v>
      </c>
      <c r="M35" s="210">
        <f t="shared" si="3"/>
        <v>280</v>
      </c>
      <c r="N35" s="210">
        <f t="shared" si="3"/>
        <v>260</v>
      </c>
      <c r="O35" s="210">
        <f t="shared" si="3"/>
        <v>240</v>
      </c>
      <c r="P35" s="210">
        <f t="shared" si="3"/>
        <v>220</v>
      </c>
      <c r="Q35" s="156">
        <f t="shared" si="3"/>
        <v>200</v>
      </c>
      <c r="R35" s="210">
        <f t="shared" si="3"/>
        <v>180</v>
      </c>
      <c r="S35" s="210">
        <f t="shared" si="3"/>
        <v>160</v>
      </c>
      <c r="T35" s="210">
        <f t="shared" si="3"/>
        <v>140</v>
      </c>
      <c r="U35" s="210">
        <f t="shared" si="3"/>
        <v>120</v>
      </c>
      <c r="V35" s="210">
        <f t="shared" si="3"/>
        <v>100</v>
      </c>
      <c r="W35" s="210">
        <f t="shared" si="3"/>
        <v>80</v>
      </c>
      <c r="X35" s="210">
        <f t="shared" si="3"/>
        <v>60</v>
      </c>
      <c r="Y35" s="210">
        <f t="shared" si="3"/>
        <v>40</v>
      </c>
      <c r="Z35" s="210">
        <f t="shared" si="3"/>
        <v>20</v>
      </c>
      <c r="AA35" s="210">
        <v>0</v>
      </c>
      <c r="AB35" s="210">
        <v>0</v>
      </c>
      <c r="AC35" s="210">
        <v>0</v>
      </c>
      <c r="AD35" s="210">
        <v>0</v>
      </c>
      <c r="AE35" s="210">
        <v>0</v>
      </c>
      <c r="AF35" s="210">
        <v>0</v>
      </c>
    </row>
    <row r="36" spans="11:32">
      <c r="K36" s="210">
        <v>250</v>
      </c>
      <c r="L36" s="210">
        <f t="shared" ref="L36:AB36" si="4">($K$36-$K$36*L30/100)*2-100</f>
        <v>400</v>
      </c>
      <c r="M36" s="210">
        <f t="shared" si="4"/>
        <v>375</v>
      </c>
      <c r="N36" s="210">
        <f t="shared" si="4"/>
        <v>350</v>
      </c>
      <c r="O36" s="210">
        <f t="shared" si="4"/>
        <v>325</v>
      </c>
      <c r="P36" s="210">
        <f t="shared" si="4"/>
        <v>300</v>
      </c>
      <c r="Q36" s="210">
        <f t="shared" si="4"/>
        <v>275</v>
      </c>
      <c r="R36" s="156">
        <f t="shared" si="4"/>
        <v>250</v>
      </c>
      <c r="S36" s="210">
        <f t="shared" si="4"/>
        <v>225</v>
      </c>
      <c r="T36" s="210">
        <f t="shared" si="4"/>
        <v>200</v>
      </c>
      <c r="U36" s="210">
        <f t="shared" si="4"/>
        <v>175</v>
      </c>
      <c r="V36" s="210">
        <f t="shared" si="4"/>
        <v>150</v>
      </c>
      <c r="W36" s="210">
        <f t="shared" si="4"/>
        <v>125</v>
      </c>
      <c r="X36" s="210">
        <f t="shared" si="4"/>
        <v>100</v>
      </c>
      <c r="Y36" s="210">
        <f t="shared" si="4"/>
        <v>75</v>
      </c>
      <c r="Z36" s="210">
        <f t="shared" si="4"/>
        <v>50</v>
      </c>
      <c r="AA36" s="210">
        <f t="shared" si="4"/>
        <v>25</v>
      </c>
      <c r="AB36" s="210">
        <f t="shared" si="4"/>
        <v>0</v>
      </c>
      <c r="AC36" s="210">
        <v>0</v>
      </c>
      <c r="AD36" s="210">
        <v>0</v>
      </c>
      <c r="AE36" s="210">
        <v>0</v>
      </c>
      <c r="AF36" s="210">
        <v>0</v>
      </c>
    </row>
    <row r="37" spans="11:32">
      <c r="K37" s="210">
        <v>300</v>
      </c>
      <c r="L37" s="210">
        <f t="shared" ref="L37:AB37" si="5">($K$37-$K$37*L30/100)*2-100</f>
        <v>500</v>
      </c>
      <c r="M37" s="210">
        <f t="shared" si="5"/>
        <v>470</v>
      </c>
      <c r="N37" s="210">
        <f t="shared" si="5"/>
        <v>440</v>
      </c>
      <c r="O37" s="210">
        <f t="shared" si="5"/>
        <v>410</v>
      </c>
      <c r="P37" s="210">
        <f t="shared" si="5"/>
        <v>380</v>
      </c>
      <c r="Q37" s="210">
        <f t="shared" si="5"/>
        <v>350</v>
      </c>
      <c r="R37" s="210">
        <f t="shared" si="5"/>
        <v>320</v>
      </c>
      <c r="S37" s="157">
        <f t="shared" si="5"/>
        <v>290</v>
      </c>
      <c r="T37" s="210">
        <f t="shared" si="5"/>
        <v>260</v>
      </c>
      <c r="U37" s="210">
        <f t="shared" si="5"/>
        <v>230</v>
      </c>
      <c r="V37" s="210">
        <f t="shared" si="5"/>
        <v>200</v>
      </c>
      <c r="W37" s="210">
        <f t="shared" si="5"/>
        <v>170</v>
      </c>
      <c r="X37" s="210">
        <f t="shared" si="5"/>
        <v>140</v>
      </c>
      <c r="Y37" s="210">
        <f t="shared" si="5"/>
        <v>110</v>
      </c>
      <c r="Z37" s="210">
        <f t="shared" si="5"/>
        <v>80</v>
      </c>
      <c r="AA37" s="210">
        <f t="shared" si="5"/>
        <v>50</v>
      </c>
      <c r="AB37" s="210">
        <f t="shared" si="5"/>
        <v>20</v>
      </c>
      <c r="AC37" s="210">
        <v>0</v>
      </c>
      <c r="AD37" s="210">
        <v>0</v>
      </c>
      <c r="AE37" s="210">
        <v>0</v>
      </c>
      <c r="AF37" s="210">
        <v>0</v>
      </c>
    </row>
    <row r="38" spans="11:32">
      <c r="K38" s="210">
        <v>350</v>
      </c>
      <c r="L38" s="210">
        <f t="shared" ref="L38:AC38" si="6">($K$38-$K$38*L30/100)*2-100</f>
        <v>600</v>
      </c>
      <c r="M38" s="210">
        <f t="shared" si="6"/>
        <v>565</v>
      </c>
      <c r="N38" s="210">
        <f t="shared" si="6"/>
        <v>530</v>
      </c>
      <c r="O38" s="210">
        <f t="shared" si="6"/>
        <v>495</v>
      </c>
      <c r="P38" s="210">
        <f t="shared" si="6"/>
        <v>460</v>
      </c>
      <c r="Q38" s="210">
        <f t="shared" si="6"/>
        <v>425</v>
      </c>
      <c r="R38" s="210">
        <f t="shared" si="6"/>
        <v>390</v>
      </c>
      <c r="S38" s="210">
        <f t="shared" si="6"/>
        <v>355</v>
      </c>
      <c r="T38" s="157">
        <f t="shared" si="6"/>
        <v>320</v>
      </c>
      <c r="U38" s="210">
        <f t="shared" si="6"/>
        <v>285</v>
      </c>
      <c r="V38" s="210">
        <f t="shared" si="6"/>
        <v>250</v>
      </c>
      <c r="W38" s="210">
        <f t="shared" si="6"/>
        <v>215</v>
      </c>
      <c r="X38" s="210">
        <f t="shared" si="6"/>
        <v>180</v>
      </c>
      <c r="Y38" s="210">
        <f t="shared" si="6"/>
        <v>145</v>
      </c>
      <c r="Z38" s="210">
        <f t="shared" si="6"/>
        <v>110</v>
      </c>
      <c r="AA38" s="210">
        <f t="shared" si="6"/>
        <v>75</v>
      </c>
      <c r="AB38" s="210">
        <f t="shared" si="6"/>
        <v>40</v>
      </c>
      <c r="AC38" s="210">
        <f t="shared" si="6"/>
        <v>5</v>
      </c>
      <c r="AD38" s="210">
        <v>0</v>
      </c>
      <c r="AE38" s="210">
        <v>0</v>
      </c>
      <c r="AF38" s="210">
        <v>0</v>
      </c>
    </row>
    <row r="39" spans="11:32">
      <c r="K39" s="210">
        <v>400</v>
      </c>
      <c r="L39" s="210">
        <f t="shared" ref="L39:AC39" si="7">($K$39-$K$39*L30/100)*2-100</f>
        <v>700</v>
      </c>
      <c r="M39" s="210">
        <f t="shared" si="7"/>
        <v>660</v>
      </c>
      <c r="N39" s="210">
        <f t="shared" si="7"/>
        <v>620</v>
      </c>
      <c r="O39" s="210">
        <f t="shared" si="7"/>
        <v>580</v>
      </c>
      <c r="P39" s="210">
        <f t="shared" si="7"/>
        <v>540</v>
      </c>
      <c r="Q39" s="210">
        <f t="shared" si="7"/>
        <v>500</v>
      </c>
      <c r="R39" s="210">
        <f t="shared" si="7"/>
        <v>460</v>
      </c>
      <c r="S39" s="210">
        <f t="shared" si="7"/>
        <v>420</v>
      </c>
      <c r="T39" s="157">
        <f t="shared" si="7"/>
        <v>380</v>
      </c>
      <c r="U39" s="210">
        <f t="shared" si="7"/>
        <v>340</v>
      </c>
      <c r="V39" s="210">
        <f t="shared" si="7"/>
        <v>300</v>
      </c>
      <c r="W39" s="210">
        <f t="shared" si="7"/>
        <v>260</v>
      </c>
      <c r="X39" s="210">
        <f t="shared" si="7"/>
        <v>220</v>
      </c>
      <c r="Y39" s="210">
        <f t="shared" si="7"/>
        <v>180</v>
      </c>
      <c r="Z39" s="210">
        <f t="shared" si="7"/>
        <v>140</v>
      </c>
      <c r="AA39" s="210">
        <f t="shared" si="7"/>
        <v>100</v>
      </c>
      <c r="AB39" s="210">
        <f t="shared" si="7"/>
        <v>60</v>
      </c>
      <c r="AC39" s="210">
        <f t="shared" si="7"/>
        <v>20</v>
      </c>
      <c r="AD39" s="210">
        <v>0</v>
      </c>
      <c r="AE39" s="210">
        <v>0</v>
      </c>
      <c r="AF39" s="210">
        <v>0</v>
      </c>
    </row>
    <row r="40" spans="11:32">
      <c r="K40" s="210">
        <v>450</v>
      </c>
      <c r="L40" s="210">
        <f t="shared" ref="L40:AC40" si="8">($K$40-$K$40*L30/100)*2-100</f>
        <v>800</v>
      </c>
      <c r="M40" s="210">
        <f t="shared" si="8"/>
        <v>755</v>
      </c>
      <c r="N40" s="210">
        <f t="shared" si="8"/>
        <v>710</v>
      </c>
      <c r="O40" s="210">
        <f t="shared" si="8"/>
        <v>665</v>
      </c>
      <c r="P40" s="210">
        <f t="shared" si="8"/>
        <v>620</v>
      </c>
      <c r="Q40" s="210">
        <f t="shared" si="8"/>
        <v>575</v>
      </c>
      <c r="R40" s="210">
        <f t="shared" si="8"/>
        <v>530</v>
      </c>
      <c r="S40" s="210">
        <f t="shared" si="8"/>
        <v>485</v>
      </c>
      <c r="T40" s="157">
        <f t="shared" si="8"/>
        <v>440</v>
      </c>
      <c r="U40" s="210">
        <f t="shared" si="8"/>
        <v>395</v>
      </c>
      <c r="V40" s="210">
        <f t="shared" si="8"/>
        <v>350</v>
      </c>
      <c r="W40" s="210">
        <f t="shared" si="8"/>
        <v>305</v>
      </c>
      <c r="X40" s="210">
        <f t="shared" si="8"/>
        <v>260</v>
      </c>
      <c r="Y40" s="210">
        <f t="shared" si="8"/>
        <v>215</v>
      </c>
      <c r="Z40" s="210">
        <f t="shared" si="8"/>
        <v>170</v>
      </c>
      <c r="AA40" s="210">
        <f t="shared" si="8"/>
        <v>125</v>
      </c>
      <c r="AB40" s="210">
        <f t="shared" si="8"/>
        <v>80</v>
      </c>
      <c r="AC40" s="210">
        <f t="shared" si="8"/>
        <v>35</v>
      </c>
      <c r="AD40" s="210">
        <v>0</v>
      </c>
      <c r="AE40" s="210">
        <v>0</v>
      </c>
      <c r="AF40" s="210">
        <v>0</v>
      </c>
    </row>
    <row r="41" spans="11:32">
      <c r="K41" s="210">
        <v>500</v>
      </c>
      <c r="L41" s="210">
        <f t="shared" ref="L41:AC41" si="9">($K$41-$K$41*L30/100)*2-100</f>
        <v>900</v>
      </c>
      <c r="M41" s="210">
        <f t="shared" si="9"/>
        <v>850</v>
      </c>
      <c r="N41" s="210">
        <f t="shared" si="9"/>
        <v>800</v>
      </c>
      <c r="O41" s="210">
        <f t="shared" si="9"/>
        <v>750</v>
      </c>
      <c r="P41" s="210">
        <f t="shared" si="9"/>
        <v>700</v>
      </c>
      <c r="Q41" s="210">
        <f t="shared" si="9"/>
        <v>650</v>
      </c>
      <c r="R41" s="210">
        <f t="shared" si="9"/>
        <v>600</v>
      </c>
      <c r="S41" s="210">
        <f t="shared" si="9"/>
        <v>550</v>
      </c>
      <c r="T41" s="157">
        <f t="shared" si="9"/>
        <v>500</v>
      </c>
      <c r="U41" s="210">
        <f t="shared" si="9"/>
        <v>450</v>
      </c>
      <c r="V41" s="210">
        <f t="shared" si="9"/>
        <v>400</v>
      </c>
      <c r="W41" s="210">
        <f t="shared" si="9"/>
        <v>350</v>
      </c>
      <c r="X41" s="210">
        <f t="shared" si="9"/>
        <v>300</v>
      </c>
      <c r="Y41" s="210">
        <f t="shared" si="9"/>
        <v>250</v>
      </c>
      <c r="Z41" s="210">
        <f t="shared" si="9"/>
        <v>200</v>
      </c>
      <c r="AA41" s="210">
        <f t="shared" si="9"/>
        <v>150</v>
      </c>
      <c r="AB41" s="210">
        <f t="shared" si="9"/>
        <v>100</v>
      </c>
      <c r="AC41" s="210">
        <f t="shared" si="9"/>
        <v>50</v>
      </c>
      <c r="AD41" s="210">
        <v>0</v>
      </c>
      <c r="AE41" s="210">
        <v>0</v>
      </c>
      <c r="AF41" s="210">
        <v>0</v>
      </c>
    </row>
  </sheetData>
  <mergeCells count="6">
    <mergeCell ref="A1:G1"/>
    <mergeCell ref="A4:A5"/>
    <mergeCell ref="B4:D4"/>
    <mergeCell ref="E4:G4"/>
    <mergeCell ref="A2:G2"/>
    <mergeCell ref="A3:G3"/>
  </mergeCells>
  <printOptions horizontalCentered="1"/>
  <pageMargins left="0.78740157480314965" right="0.78740157480314965" top="0.98425196850393704" bottom="0.98425196850393704" header="0.51181102362204722" footer="0.51181102362204722"/>
  <pageSetup paperSize="9" orientation="landscape" horizont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7</vt:i4>
      </vt:variant>
    </vt:vector>
  </HeadingPairs>
  <TitlesOfParts>
    <vt:vector size="10" baseType="lpstr">
      <vt:lpstr>1</vt:lpstr>
      <vt:lpstr>Списки</vt:lpstr>
      <vt:lpstr>Объемы на смету</vt:lpstr>
      <vt:lpstr>'1'!Заголовки_для_печати</vt:lpstr>
      <vt:lpstr>Заключение</vt:lpstr>
      <vt:lpstr>Конец</vt:lpstr>
      <vt:lpstr>НаименованиеПород</vt:lpstr>
      <vt:lpstr>'1'!Область_печати</vt:lpstr>
      <vt:lpstr>'Объемы на смету'!Область_печати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ГБУ Жилищник ТС</cp:lastModifiedBy>
  <cp:lastPrinted>2023-01-13T06:27:36Z</cp:lastPrinted>
  <dcterms:created xsi:type="dcterms:W3CDTF">2004-04-02T11:33:13Z</dcterms:created>
  <dcterms:modified xsi:type="dcterms:W3CDTF">2023-08-02T13:46:44Z</dcterms:modified>
</cp:coreProperties>
</file>