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70" windowHeight="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Списки" sheetId="2" state="visible" r:id="rId2"/>
    <sheet xmlns:r="http://schemas.openxmlformats.org/officeDocument/2006/relationships" name="Объемы на смету" sheetId="3" state="visible" r:id="rId3"/>
  </sheets>
  <definedNames>
    <definedName name="Заключение">Списки!$I$2:$I$4</definedName>
    <definedName name="Конец">'1'!A$247</definedName>
    <definedName name="НаименованиеПород">Списки!$B$2:$B$80</definedName>
    <definedName name="Примечание">Списки!$K$2:$K$25</definedName>
    <definedName name="_xlnm.Print_Titles" localSheetId="0">'1'!$5:$6</definedName>
    <definedName name="_xlnm.Print_Area" localSheetId="0">'1'!$A$1:$K$31</definedName>
    <definedName name="_xlnm._FilterDatabase" localSheetId="1" hidden="1">'Списки'!$B$1:$D$80</definedName>
    <definedName name="_xlnm.Print_Area" localSheetId="2">'Объемы на смету'!$A$1:$G$23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32">
    <font>
      <name val="Arial Cyr"/>
      <charset val="204"/>
      <sz val="10"/>
    </font>
    <font>
      <name val="Arial Cyr"/>
      <charset val="204"/>
      <color indexed="12"/>
      <sz val="10"/>
      <u val="single"/>
    </font>
    <font>
      <name val="Times New Roman Cyr"/>
      <charset val="204"/>
      <family val="1"/>
      <b val="1"/>
      <sz val="14"/>
    </font>
    <font>
      <name val="Arial Cyr"/>
      <charset val="204"/>
      <b val="1"/>
      <sz val="10"/>
    </font>
    <font>
      <name val="Times New Roman CYR"/>
      <charset val="204"/>
      <family val="1"/>
      <b val="1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sz val="11"/>
    </font>
    <font>
      <name val="Arial Cyr"/>
      <charset val="204"/>
      <sz val="12"/>
    </font>
    <font>
      <name val="Arial Cyr"/>
      <charset val="204"/>
      <family val="2"/>
      <sz val="12"/>
    </font>
    <font>
      <name val="Times New Roman"/>
      <family val="1"/>
      <sz val="10"/>
    </font>
    <font>
      <name val="Times New Roman CE"/>
      <charset val="238"/>
      <family val="1"/>
      <sz val="12"/>
    </font>
    <font>
      <name val="Times New Roman"/>
      <family val="1"/>
      <b val="1"/>
      <sz val="10"/>
    </font>
    <font>
      <name val="Arial Cyr"/>
      <charset val="204"/>
      <sz val="10"/>
    </font>
    <font>
      <name val="Times New Roman CYR"/>
      <charset val="204"/>
      <family val="1"/>
      <b val="1"/>
      <sz val="10"/>
    </font>
    <font>
      <name val="Times New Roman CYR"/>
      <charset val="204"/>
      <family val="1"/>
      <sz val="10"/>
    </font>
    <font>
      <name val="Times New Roman"/>
      <family val="1"/>
      <b val="1"/>
      <sz val="8"/>
    </font>
    <font>
      <name val="Times New Roman CYR"/>
      <charset val="204"/>
      <family val="1"/>
      <b val="1"/>
      <sz val="8"/>
    </font>
    <font>
      <name val="Times New Roman"/>
      <family val="1"/>
      <sz val="9"/>
    </font>
    <font>
      <name val="Times New Roman"/>
      <charset val="204"/>
      <family val="1"/>
      <b val="1"/>
      <color indexed="18"/>
      <sz val="12"/>
    </font>
    <font>
      <name val="Times New Roman CE"/>
      <charset val="204"/>
      <b val="1"/>
      <color indexed="18"/>
      <sz val="12"/>
    </font>
    <font>
      <name val="Times New Roman"/>
      <charset val="204"/>
      <family val="1"/>
      <b val="1"/>
      <sz val="10"/>
    </font>
    <font>
      <name val="Arial Cyr"/>
      <charset val="204"/>
      <sz val="14"/>
    </font>
    <font>
      <name val="Arial Cyr"/>
      <charset val="204"/>
      <b val="1"/>
      <sz val="14"/>
    </font>
    <font>
      <name val="Arial Cyr"/>
      <charset val="204"/>
      <sz val="14"/>
      <u val="single"/>
    </font>
    <font>
      <name val="Times New Roman"/>
      <charset val="204"/>
      <family val="1"/>
      <b val="1"/>
      <sz val="8"/>
    </font>
    <font>
      <name val="Times New Roman CE"/>
      <charset val="238"/>
      <family val="1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b val="1"/>
      <i val="1"/>
      <sz val="14"/>
    </font>
    <font>
      <name val="Times New Roman CE"/>
      <charset val="238"/>
      <family val="1"/>
      <b val="1"/>
      <sz val="12"/>
    </font>
    <font>
      <name val="Courier New"/>
      <charset val="204"/>
      <family val="3"/>
      <b val="1"/>
      <color indexed="9"/>
      <sz val="12"/>
    </font>
  </fonts>
  <fills count="6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/>
      <diagonal/>
    </border>
    <border>
      <left style="slantDashDot">
        <color indexed="64"/>
      </left>
      <right style="thick">
        <color indexed="64"/>
      </right>
      <top style="slantDashDot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slantDashDot">
        <color indexed="64"/>
      </top>
      <bottom style="thick">
        <color indexed="64"/>
      </bottom>
      <diagonal/>
    </border>
    <border>
      <left/>
      <right/>
      <top style="slantDashDot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slantDashDot">
        <color indexed="64"/>
      </top>
      <bottom/>
      <diagonal/>
    </border>
  </borders>
  <cellStyleXfs count="2">
    <xf numFmtId="0" fontId="14" fillId="0" borderId="0"/>
    <xf numFmtId="0" fontId="1" fillId="0" borderId="0" applyAlignment="1" applyProtection="1">
      <alignment vertical="top"/>
      <protection locked="0" hidden="0"/>
    </xf>
  </cellStyleXfs>
  <cellXfs count="248">
    <xf numFmtId="0" fontId="0" fillId="0" borderId="0" pivotButton="0" quotePrefix="0" xfId="0"/>
    <xf numFmtId="1" fontId="5" fillId="0" borderId="0" applyAlignment="1" applyProtection="1" pivotButton="0" quotePrefix="0" xfId="0">
      <alignment horizontal="center" vertical="top"/>
      <protection locked="0" hidden="0"/>
    </xf>
    <xf numFmtId="0" fontId="5" fillId="0" borderId="0" applyAlignment="1" applyProtection="1" pivotButton="0" quotePrefix="0" xfId="0">
      <alignment horizontal="left" vertical="top" wrapText="1"/>
      <protection locked="0" hidden="0"/>
    </xf>
    <xf numFmtId="49" fontId="5" fillId="0" borderId="0" applyAlignment="1" applyProtection="1" pivotButton="0" quotePrefix="0" xfId="0">
      <alignment horizontal="center" vertical="top"/>
      <protection locked="0" hidden="0"/>
    </xf>
    <xf numFmtId="49" fontId="6" fillId="0" borderId="1" applyAlignment="1" applyProtection="1" pivotButton="0" quotePrefix="0" xfId="0">
      <alignment horizontal="center" vertical="top"/>
      <protection locked="0" hidden="0"/>
    </xf>
    <xf numFmtId="0" fontId="6" fillId="0" borderId="1" applyAlignment="1" applyProtection="1" pivotButton="0" quotePrefix="0" xfId="0">
      <alignment vertical="top"/>
      <protection locked="0" hidden="0"/>
    </xf>
    <xf numFmtId="49" fontId="6" fillId="0" borderId="1" applyAlignment="1" applyProtection="1" pivotButton="0" quotePrefix="0" xfId="0">
      <alignment horizontal="center" vertical="center" wrapText="1"/>
      <protection locked="0" hidden="0"/>
    </xf>
    <xf numFmtId="49" fontId="6" fillId="0" borderId="0" applyAlignment="1" applyProtection="1" pivotButton="0" quotePrefix="0" xfId="0">
      <alignment horizontal="left" vertical="top"/>
      <protection locked="0" hidden="0"/>
    </xf>
    <xf numFmtId="49" fontId="6" fillId="0" borderId="2" applyAlignment="1" applyProtection="1" pivotButton="0" quotePrefix="0" xfId="0">
      <alignment horizontal="center" vertical="center" wrapText="1"/>
      <protection locked="0" hidden="0"/>
    </xf>
    <xf numFmtId="49" fontId="6" fillId="0" borderId="2" applyAlignment="1" applyProtection="1" pivotButton="0" quotePrefix="0" xfId="0">
      <alignment horizontal="center" vertical="top"/>
      <protection locked="0" hidden="0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9" fillId="0" borderId="0" applyAlignment="1" applyProtection="1" pivotButton="0" quotePrefix="0" xfId="0">
      <alignment vertical="justify"/>
      <protection locked="0" hidden="0"/>
    </xf>
    <xf numFmtId="49" fontId="9" fillId="0" borderId="0" applyAlignment="1" applyProtection="1" pivotButton="0" quotePrefix="0" xfId="0">
      <alignment horizontal="center"/>
      <protection locked="0" hidden="0"/>
    </xf>
    <xf numFmtId="49" fontId="10" fillId="0" borderId="0" applyAlignment="1" applyProtection="1" pivotButton="0" quotePrefix="0" xfId="0">
      <alignment horizontal="center"/>
      <protection locked="0" hidden="0"/>
    </xf>
    <xf numFmtId="0" fontId="9" fillId="0" borderId="0" applyAlignment="1" applyProtection="1" pivotButton="0" quotePrefix="0" xfId="0">
      <alignment horizontal="center" vertical="justify"/>
      <protection locked="0" hidden="0"/>
    </xf>
    <xf numFmtId="0" fontId="9" fillId="0" borderId="0" applyAlignment="1" applyProtection="1" pivotButton="0" quotePrefix="0" xfId="0">
      <alignment horizontal="left" vertical="justify"/>
      <protection locked="0" hidden="0"/>
    </xf>
    <xf numFmtId="0" fontId="5" fillId="0" borderId="0" applyAlignment="1" applyProtection="1" pivotButton="0" quotePrefix="0" xfId="0">
      <alignment vertical="top"/>
      <protection locked="0" hidden="0"/>
    </xf>
    <xf numFmtId="49" fontId="5" fillId="0" borderId="0" applyAlignment="1" applyProtection="1" pivotButton="0" quotePrefix="0" xfId="0">
      <alignment horizontal="left" vertical="top"/>
      <protection locked="0" hidden="0"/>
    </xf>
    <xf numFmtId="49" fontId="5" fillId="0" borderId="0" applyAlignment="1" applyProtection="1" pivotButton="0" quotePrefix="0" xfId="0">
      <alignment horizontal="center" vertical="top" wrapText="1"/>
      <protection locked="0" hidden="0"/>
    </xf>
    <xf numFmtId="0" fontId="1" fillId="0" borderId="0" applyAlignment="1" pivotButton="0" quotePrefix="0" xfId="1">
      <alignment horizontal="center"/>
    </xf>
    <xf numFmtId="0" fontId="6" fillId="0" borderId="1" applyProtection="1" pivotButton="0" quotePrefix="0" xfId="0">
      <protection locked="0" hidden="0"/>
    </xf>
    <xf numFmtId="0" fontId="9" fillId="0" borderId="0" applyProtection="1" pivotButton="0" quotePrefix="0" xfId="0">
      <protection locked="0" hidden="0"/>
    </xf>
    <xf numFmtId="0" fontId="7" fillId="0" borderId="1" applyProtection="1" pivotButton="0" quotePrefix="0" xfId="0">
      <protection locked="0" hidden="0"/>
    </xf>
    <xf numFmtId="0" fontId="5" fillId="0" borderId="1" applyAlignment="1" pivotButton="0" quotePrefix="0" xfId="0">
      <alignment horizontal="center"/>
    </xf>
    <xf numFmtId="0" fontId="6" fillId="0" borderId="1" applyAlignment="1" applyProtection="1" pivotButton="0" quotePrefix="0" xfId="0">
      <alignment vertical="justify" wrapText="1"/>
      <protection locked="0" hidden="0"/>
    </xf>
    <xf numFmtId="0" fontId="8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2" fontId="5" fillId="0" borderId="0" applyAlignment="1" applyProtection="1" pivotButton="0" quotePrefix="0" xfId="0">
      <alignment horizontal="left" vertical="top" wrapText="1"/>
      <protection locked="0" hidden="0"/>
    </xf>
    <xf numFmtId="49" fontId="5" fillId="0" borderId="1" applyAlignment="1" pivotButton="0" quotePrefix="0" xfId="0">
      <alignment wrapText="1"/>
    </xf>
    <xf numFmtId="49" fontId="6" fillId="0" borderId="3" applyAlignment="1" applyProtection="1" pivotButton="0" quotePrefix="0" xfId="0">
      <alignment horizontal="center" vertical="top"/>
      <protection locked="0" hidden="0"/>
    </xf>
    <xf numFmtId="49" fontId="6" fillId="0" borderId="4" applyAlignment="1" applyProtection="1" pivotButton="0" quotePrefix="0" xfId="0">
      <alignment horizontal="center" vertical="top"/>
      <protection locked="0" hidden="0"/>
    </xf>
    <xf numFmtId="0" fontId="6" fillId="0" borderId="4" applyAlignment="1" applyProtection="1" pivotButton="0" quotePrefix="0" xfId="0">
      <alignment horizontal="left" vertical="top" wrapText="1"/>
      <protection locked="0" hidden="0"/>
    </xf>
    <xf numFmtId="49" fontId="6" fillId="0" borderId="4" applyAlignment="1" applyProtection="1" pivotButton="0" quotePrefix="0" xfId="0">
      <alignment horizontal="left" vertical="top"/>
      <protection locked="0" hidden="0"/>
    </xf>
    <xf numFmtId="49" fontId="6" fillId="0" borderId="5" applyAlignment="1" applyProtection="1" pivotButton="0" quotePrefix="0" xfId="0">
      <alignment horizontal="center" vertical="top" wrapText="1"/>
      <protection locked="0" hidden="0"/>
    </xf>
    <xf numFmtId="49" fontId="6" fillId="0" borderId="6" applyAlignment="1" applyProtection="1" pivotButton="0" quotePrefix="0" xfId="0">
      <alignment horizontal="center" vertical="top" wrapText="1"/>
      <protection locked="0" hidden="0"/>
    </xf>
    <xf numFmtId="0" fontId="6" fillId="0" borderId="7" applyAlignment="1" applyProtection="1" pivotButton="0" quotePrefix="0" xfId="0">
      <alignment horizontal="left" vertical="top" wrapText="1"/>
      <protection locked="0" hidden="0"/>
    </xf>
    <xf numFmtId="49" fontId="6" fillId="0" borderId="7" applyAlignment="1" applyProtection="1" pivotButton="0" quotePrefix="0" xfId="0">
      <alignment horizontal="left" vertical="top"/>
      <protection locked="0" hidden="0"/>
    </xf>
    <xf numFmtId="49" fontId="6" fillId="0" borderId="8" applyAlignment="1" applyProtection="1" pivotButton="0" quotePrefix="0" xfId="0">
      <alignment horizontal="center" vertical="top" wrapText="1"/>
      <protection locked="0" hidden="0"/>
    </xf>
    <xf numFmtId="49" fontId="7" fillId="0" borderId="1" applyAlignment="1" applyProtection="1" pivotButton="0" quotePrefix="0" xfId="0">
      <alignment horizontal="center"/>
      <protection locked="0" hidden="0"/>
    </xf>
    <xf numFmtId="49" fontId="13" fillId="0" borderId="1" applyAlignment="1" pivotButton="0" quotePrefix="0" xfId="0">
      <alignment horizontal="left"/>
    </xf>
    <xf numFmtId="49" fontId="13" fillId="0" borderId="1" applyAlignment="1" pivotButton="0" quotePrefix="0" xfId="0">
      <alignment horizontal="left" vertical="center"/>
    </xf>
    <xf numFmtId="0" fontId="6" fillId="0" borderId="0" applyProtection="1" pivotButton="0" quotePrefix="0" xfId="0">
      <protection locked="0" hidden="0"/>
    </xf>
    <xf numFmtId="49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center"/>
    </xf>
    <xf numFmtId="49" fontId="7" fillId="0" borderId="3" applyAlignment="1" applyProtection="1" pivotButton="0" quotePrefix="0" xfId="0">
      <alignment horizontal="center" vertical="top" wrapText="1"/>
      <protection locked="0" hidden="0"/>
    </xf>
    <xf numFmtId="49" fontId="7" fillId="0" borderId="9" applyAlignment="1" applyProtection="1" pivotButton="0" quotePrefix="0" xfId="0">
      <alignment horizontal="center" vertical="top" wrapText="1"/>
      <protection locked="0" hidden="0"/>
    </xf>
    <xf numFmtId="0" fontId="7" fillId="0" borderId="9" applyAlignment="1" applyProtection="1" pivotButton="0" quotePrefix="0" xfId="0">
      <alignment horizontal="center" vertical="top" wrapText="1"/>
      <protection locked="0" hidden="0"/>
    </xf>
    <xf numFmtId="49" fontId="7" fillId="0" borderId="8" applyAlignment="1" applyProtection="1" pivotButton="0" quotePrefix="0" xfId="0">
      <alignment horizontal="center" vertical="top" wrapText="1"/>
      <protection locked="0" hidden="0"/>
    </xf>
    <xf numFmtId="49" fontId="13" fillId="0" borderId="0" applyAlignment="1" pivotButton="0" quotePrefix="0" xfId="0">
      <alignment horizontal="left"/>
    </xf>
    <xf numFmtId="1" fontId="5" fillId="0" borderId="0" pivotButton="0" quotePrefix="0" xfId="0"/>
    <xf numFmtId="0" fontId="11" fillId="0" borderId="0" applyAlignment="1" applyProtection="1" pivotButton="0" quotePrefix="0" xfId="0">
      <alignment horizontal="center" vertical="top" wrapText="1"/>
      <protection locked="0" hidden="0"/>
    </xf>
    <xf numFmtId="1" fontId="11" fillId="0" borderId="0" applyAlignment="1" applyProtection="1" pivotButton="0" quotePrefix="0" xfId="0">
      <alignment horizontal="center" vertical="top" wrapText="1"/>
      <protection locked="0" hidden="0"/>
    </xf>
    <xf numFmtId="1" fontId="11" fillId="0" borderId="0" applyAlignment="1" pivotButton="0" quotePrefix="0" xfId="0">
      <alignment horizontal="center" vertical="justify"/>
    </xf>
    <xf numFmtId="49" fontId="6" fillId="0" borderId="1" applyAlignment="1" pivotButton="0" quotePrefix="0" xfId="0">
      <alignment horizontal="center" vertical="center"/>
    </xf>
    <xf numFmtId="1" fontId="11" fillId="0" borderId="1" applyAlignment="1" pivotButton="0" quotePrefix="0" xfId="0">
      <alignment horizontal="center" vertical="justify"/>
    </xf>
    <xf numFmtId="49" fontId="1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8" fillId="0" borderId="0" applyAlignment="1" applyProtection="1" pivotButton="0" quotePrefix="0" xfId="0">
      <alignment horizontal="center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2" fontId="5" fillId="0" borderId="0" pivotButton="0" quotePrefix="0" xfId="0"/>
    <xf numFmtId="2" fontId="13" fillId="0" borderId="0" pivotButton="0" quotePrefix="0" xfId="0"/>
    <xf numFmtId="0" fontId="4" fillId="0" borderId="0" applyAlignment="1" applyProtection="1" pivotButton="0" quotePrefix="0" xfId="0">
      <alignment horizontal="left" vertical="center" wrapText="1"/>
      <protection locked="1" hidden="1"/>
    </xf>
    <xf numFmtId="1" fontId="12" fillId="0" borderId="0" applyAlignment="1" applyProtection="1" pivotButton="0" quotePrefix="0" xfId="0">
      <alignment horizontal="center"/>
      <protection locked="0" hidden="0"/>
    </xf>
    <xf numFmtId="49" fontId="12" fillId="0" borderId="0" applyAlignment="1" applyProtection="1" pivotButton="0" quotePrefix="0" xfId="0">
      <alignment vertical="justify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49" fontId="12" fillId="0" borderId="0" applyAlignment="1" applyProtection="1" pivotButton="0" quotePrefix="0" xfId="0">
      <alignment horizontal="center"/>
      <protection locked="0" hidden="0"/>
    </xf>
    <xf numFmtId="0" fontId="12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horizontal="left" vertical="justify"/>
      <protection locked="0" hidden="0"/>
    </xf>
    <xf numFmtId="0" fontId="12" fillId="0" borderId="0" applyAlignment="1" applyProtection="1" pivotButton="0" quotePrefix="0" xfId="0">
      <alignment vertical="justify"/>
      <protection locked="0" hidden="0"/>
    </xf>
    <xf numFmtId="0" fontId="11" fillId="0" borderId="0" applyAlignment="1" applyProtection="1" pivotButton="0" quotePrefix="0" xfId="0">
      <alignment horizontal="center"/>
      <protection locked="0" hidden="0"/>
    </xf>
    <xf numFmtId="49" fontId="5" fillId="0" borderId="10" applyAlignment="1" applyProtection="1" pivotButton="0" quotePrefix="0" xfId="0">
      <alignment horizontal="center"/>
      <protection locked="0" hidden="0"/>
    </xf>
    <xf numFmtId="0" fontId="5" fillId="0" borderId="0" applyProtection="1" pivotButton="0" quotePrefix="0" xfId="0">
      <protection locked="0" hidden="0"/>
    </xf>
    <xf numFmtId="49" fontId="13" fillId="0" borderId="1" applyAlignment="1" applyProtection="1" pivotButton="0" quotePrefix="0" xfId="0">
      <alignment horizontal="left"/>
      <protection locked="0" hidden="0"/>
    </xf>
    <xf numFmtId="49" fontId="13" fillId="0" borderId="1" applyAlignment="1" applyProtection="1" pivotButton="0" quotePrefix="0" xfId="0">
      <alignment horizontal="left" vertical="center"/>
      <protection locked="0" hidden="0"/>
    </xf>
    <xf numFmtId="49" fontId="4" fillId="0" borderId="0" applyAlignment="1" applyProtection="1" pivotButton="0" quotePrefix="0" xfId="0">
      <alignment horizontal="left" vertical="center" wrapText="1"/>
      <protection locked="0" hidden="0"/>
    </xf>
    <xf numFmtId="0" fontId="18" fillId="0" borderId="0" applyAlignment="1" applyProtection="1" pivotButton="0" quotePrefix="0" xfId="0">
      <alignment horizontal="center" vertical="top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1" fontId="13" fillId="0" borderId="1" applyAlignment="1" applyProtection="1" pivotButton="0" quotePrefix="0" xfId="0">
      <alignment horizontal="center" vertical="center" wrapText="1"/>
      <protection locked="0" hidden="0"/>
    </xf>
    <xf numFmtId="2" fontId="7" fillId="0" borderId="10" applyAlignment="1" applyProtection="1" pivotButton="0" quotePrefix="0" xfId="0">
      <alignment horizontal="center" vertical="top" wrapText="1"/>
      <protection locked="1" hidden="1"/>
    </xf>
    <xf numFmtId="2" fontId="13" fillId="0" borderId="4" applyAlignment="1" applyProtection="1" pivotButton="0" quotePrefix="0" xfId="0">
      <alignment horizontal="center" vertical="top"/>
      <protection locked="1" hidden="1"/>
    </xf>
    <xf numFmtId="2" fontId="13" fillId="0" borderId="7" applyAlignment="1" applyProtection="1" pivotButton="0" quotePrefix="0" xfId="0">
      <alignment horizontal="center" vertical="top"/>
      <protection locked="1" hidden="1"/>
    </xf>
    <xf numFmtId="2" fontId="15" fillId="0" borderId="0" applyAlignment="1" applyProtection="1" pivotButton="0" quotePrefix="0" xfId="0">
      <alignment horizontal="center" vertical="justify"/>
      <protection locked="1" hidden="1"/>
    </xf>
    <xf numFmtId="49" fontId="19" fillId="2" borderId="0" applyAlignment="1" applyProtection="1" pivotButton="0" quotePrefix="0" xfId="0">
      <alignment horizontal="center" vertical="top" wrapText="1"/>
      <protection locked="0" hidden="0"/>
    </xf>
    <xf numFmtId="49" fontId="8" fillId="2" borderId="0" applyAlignment="1" applyProtection="1" pivotButton="0" quotePrefix="0" xfId="0">
      <alignment horizontal="center" vertical="top" wrapText="1"/>
      <protection locked="0" hidden="0"/>
    </xf>
    <xf numFmtId="49" fontId="5" fillId="0" borderId="0" pivotButton="0" quotePrefix="0" xfId="0"/>
    <xf numFmtId="49" fontId="5" fillId="0" borderId="1" pivotButton="0" quotePrefix="0" xfId="0"/>
    <xf numFmtId="49" fontId="13" fillId="0" borderId="9" applyAlignment="1" applyProtection="1" pivotButton="0" quotePrefix="0" xfId="0">
      <alignment horizontal="center" vertical="top" wrapText="1"/>
      <protection locked="0" hidden="0"/>
    </xf>
    <xf numFmtId="1" fontId="13" fillId="0" borderId="11" applyAlignment="1" applyProtection="1" pivotButton="0" quotePrefix="0" xfId="0">
      <alignment horizontal="center" vertical="top" wrapText="1"/>
      <protection locked="0" hidden="0"/>
    </xf>
    <xf numFmtId="1" fontId="13" fillId="0" borderId="2" applyAlignment="1" applyProtection="1" pivotButton="0" quotePrefix="0" xfId="0">
      <alignment horizontal="center" vertical="top" wrapText="1"/>
      <protection locked="0" hidden="0"/>
    </xf>
    <xf numFmtId="1" fontId="6" fillId="0" borderId="1" applyAlignment="1" applyProtection="1" pivotButton="0" quotePrefix="0" xfId="0">
      <alignment horizontal="right"/>
      <protection locked="0" hidden="0"/>
    </xf>
    <xf numFmtId="0" fontId="5" fillId="0" borderId="10" applyAlignment="1" applyProtection="1" pivotButton="0" quotePrefix="0" xfId="0">
      <alignment horizontal="left" wrapText="1"/>
      <protection locked="0" hidden="0"/>
    </xf>
    <xf numFmtId="0" fontId="5" fillId="0" borderId="1" applyAlignment="1" applyProtection="1" pivotButton="0" quotePrefix="0" xfId="0">
      <alignment horizontal="left"/>
      <protection locked="0" hidden="0"/>
    </xf>
    <xf numFmtId="0" fontId="6" fillId="0" borderId="1" applyAlignment="1" applyProtection="1" pivotButton="0" quotePrefix="0" xfId="0">
      <alignment horizontal="left"/>
      <protection locked="0" hidden="0"/>
    </xf>
    <xf numFmtId="1" fontId="5" fillId="0" borderId="1" applyAlignment="1" applyProtection="1" pivotButton="0" quotePrefix="0" xfId="0">
      <alignment horizontal="right"/>
      <protection locked="0" hidden="0"/>
    </xf>
    <xf numFmtId="49" fontId="5" fillId="0" borderId="10" applyAlignment="1" applyProtection="1" pivotButton="0" quotePrefix="0" xfId="0">
      <alignment horizontal="right"/>
      <protection locked="0" hidden="0"/>
    </xf>
    <xf numFmtId="0" fontId="7" fillId="0" borderId="12" applyAlignment="1" applyProtection="1" pivotButton="0" quotePrefix="0" xfId="0">
      <alignment horizontal="center" vertical="top" wrapText="1"/>
      <protection locked="0" hidden="0"/>
    </xf>
    <xf numFmtId="49" fontId="13" fillId="0" borderId="13" applyAlignment="1" applyProtection="1" pivotButton="0" quotePrefix="0" xfId="0">
      <alignment horizontal="center" wrapText="1"/>
      <protection locked="0" hidden="0"/>
    </xf>
    <xf numFmtId="49" fontId="13" fillId="0" borderId="13" applyAlignment="1" applyProtection="1" pivotButton="0" quotePrefix="0" xfId="0">
      <alignment horizontal="center" vertical="top" wrapText="1"/>
      <protection locked="0" hidden="0"/>
    </xf>
    <xf numFmtId="0" fontId="7" fillId="0" borderId="13" applyAlignment="1" applyProtection="1" pivotButton="0" quotePrefix="0" xfId="0">
      <alignment horizontal="center" wrapText="1"/>
      <protection locked="0" hidden="0"/>
    </xf>
    <xf numFmtId="2" fontId="7" fillId="0" borderId="12" applyAlignment="1" applyProtection="1" pivotButton="0" quotePrefix="0" xfId="0">
      <alignment horizontal="center" wrapText="1"/>
      <protection locked="1" hidden="1"/>
    </xf>
    <xf numFmtId="2" fontId="21" fillId="0" borderId="14" applyAlignment="1" applyProtection="1" pivotButton="0" quotePrefix="0" xfId="0">
      <alignment horizontal="left"/>
      <protection locked="0" hidden="0"/>
    </xf>
    <xf numFmtId="2" fontId="20" fillId="0" borderId="14" applyAlignment="1" pivotButton="0" quotePrefix="0" xfId="0">
      <alignment horizontal="left"/>
    </xf>
    <xf numFmtId="2" fontId="21" fillId="0" borderId="15" applyAlignment="1" applyProtection="1" pivotButton="0" quotePrefix="0" xfId="0">
      <alignment horizontal="left"/>
      <protection locked="0" hidden="0"/>
    </xf>
    <xf numFmtId="2" fontId="20" fillId="0" borderId="15" applyAlignment="1" pivotButton="0" quotePrefix="0" xfId="0">
      <alignment horizontal="left"/>
    </xf>
    <xf numFmtId="49" fontId="5" fillId="0" borderId="1" applyAlignment="1" applyProtection="1" pivotButton="0" quotePrefix="0" xfId="0">
      <alignment horizontal="left"/>
      <protection locked="0" hidden="0"/>
    </xf>
    <xf numFmtId="0" fontId="5" fillId="0" borderId="1" applyAlignment="1" applyProtection="1" pivotButton="0" quotePrefix="0" xfId="0">
      <alignment horizontal="right"/>
      <protection locked="0" hidden="0"/>
    </xf>
    <xf numFmtId="49" fontId="7" fillId="0" borderId="13" applyAlignment="1" applyProtection="1" pivotButton="0" quotePrefix="0" xfId="0">
      <alignment horizontal="center" wrapText="1"/>
      <protection locked="0" hidden="0"/>
    </xf>
    <xf numFmtId="49" fontId="7" fillId="0" borderId="6" applyAlignment="1" applyProtection="1" pivotButton="0" quotePrefix="0" xfId="0">
      <alignment horizontal="center" wrapText="1"/>
      <protection locked="0" hidden="0"/>
    </xf>
    <xf numFmtId="49" fontId="17" fillId="0" borderId="13" applyAlignment="1" applyProtection="1" pivotButton="0" quotePrefix="0" xfId="0">
      <alignment horizontal="center" vertical="center" wrapText="1"/>
      <protection locked="0" hidden="0"/>
    </xf>
    <xf numFmtId="0" fontId="5" fillId="0" borderId="2" applyAlignment="1" pivotButton="0" quotePrefix="0" xfId="0">
      <alignment horizontal="center"/>
    </xf>
    <xf numFmtId="49" fontId="6" fillId="0" borderId="0" applyAlignment="1" applyProtection="1" pivotButton="0" quotePrefix="0" xfId="0">
      <alignment vertical="top"/>
      <protection locked="0" hidden="0"/>
    </xf>
    <xf numFmtId="0" fontId="6" fillId="0" borderId="0" applyAlignment="1" applyProtection="1" pivotButton="0" quotePrefix="0" xfId="0">
      <alignment vertical="top"/>
      <protection locked="0" hidden="0"/>
    </xf>
    <xf numFmtId="0" fontId="5" fillId="0" borderId="0" pivotButton="0" quotePrefix="0" xfId="0"/>
    <xf numFmtId="0" fontId="23" fillId="0" borderId="1" applyAlignment="1" pivotButton="0" quotePrefix="0" xfId="0">
      <alignment horizontal="right"/>
    </xf>
    <xf numFmtId="0" fontId="23" fillId="0" borderId="1" pivotButton="0" quotePrefix="0" xfId="0"/>
    <xf numFmtId="0" fontId="24" fillId="0" borderId="1" pivotButton="0" quotePrefix="0" xfId="0"/>
    <xf numFmtId="0" fontId="24" fillId="0" borderId="1" applyAlignment="1" pivotButton="0" quotePrefix="0" xfId="0">
      <alignment horizontal="right"/>
    </xf>
    <xf numFmtId="0" fontId="6" fillId="0" borderId="0" applyAlignment="1" pivotButton="0" quotePrefix="0" xfId="0">
      <alignment vertical="top"/>
    </xf>
    <xf numFmtId="0" fontId="26" fillId="0" borderId="16" applyAlignment="1" applyProtection="1" pivotButton="0" quotePrefix="0" xfId="0">
      <alignment horizontal="center"/>
      <protection locked="0" hidden="0"/>
    </xf>
    <xf numFmtId="0" fontId="26" fillId="0" borderId="10" applyAlignment="1" applyProtection="1" pivotButton="0" quotePrefix="0" xfId="0">
      <alignment horizontal="center" vertical="top" wrapText="1"/>
      <protection locked="0" hidden="0"/>
    </xf>
    <xf numFmtId="4" fontId="6" fillId="0" borderId="1" applyAlignment="1" applyProtection="1" pivotButton="0" quotePrefix="0" xfId="0">
      <alignment horizontal="right"/>
      <protection locked="1" hidden="1"/>
    </xf>
    <xf numFmtId="2" fontId="7" fillId="0" borderId="17" applyAlignment="1" applyProtection="1" pivotButton="0" quotePrefix="0" xfId="0">
      <alignment horizontal="left" vertical="top"/>
      <protection locked="0" hidden="0"/>
    </xf>
    <xf numFmtId="2" fontId="6" fillId="0" borderId="11" applyAlignment="1" applyProtection="1" pivotButton="0" quotePrefix="0" xfId="0">
      <alignment horizontal="center" vertical="top"/>
      <protection locked="1" hidden="1"/>
    </xf>
    <xf numFmtId="2" fontId="6" fillId="0" borderId="1" applyAlignment="1" applyProtection="1" pivotButton="0" quotePrefix="0" xfId="0">
      <alignment horizontal="right"/>
      <protection locked="1" hidden="1"/>
    </xf>
    <xf numFmtId="49" fontId="6" fillId="0" borderId="11" applyAlignment="1" applyProtection="1" pivotButton="0" quotePrefix="0" xfId="0">
      <alignment horizontal="left"/>
      <protection locked="0" hidden="0"/>
    </xf>
    <xf numFmtId="0" fontId="13" fillId="0" borderId="1" applyAlignment="1" applyProtection="1" pivotButton="0" quotePrefix="0" xfId="0">
      <alignment horizontal="left"/>
      <protection locked="0" hidden="0"/>
    </xf>
    <xf numFmtId="0" fontId="6" fillId="0" borderId="9" applyAlignment="1" applyProtection="1" pivotButton="0" quotePrefix="0" xfId="0">
      <alignment horizontal="right" wrapText="1"/>
      <protection locked="0" hidden="0"/>
    </xf>
    <xf numFmtId="0" fontId="6" fillId="0" borderId="7" applyAlignment="1" applyProtection="1" pivotButton="0" quotePrefix="0" xfId="0">
      <alignment horizontal="left" wrapText="1"/>
      <protection locked="0" hidden="0"/>
    </xf>
    <xf numFmtId="0" fontId="6" fillId="0" borderId="8" applyAlignment="1" applyProtection="1" pivotButton="0" quotePrefix="0" xfId="0">
      <alignment horizontal="left" wrapText="1"/>
      <protection locked="0" hidden="0"/>
    </xf>
    <xf numFmtId="0" fontId="6" fillId="0" borderId="11" applyAlignment="1" applyProtection="1" pivotButton="0" quotePrefix="0" xfId="0">
      <alignment horizontal="left"/>
      <protection locked="0" hidden="0"/>
    </xf>
    <xf numFmtId="0" fontId="6" fillId="0" borderId="11" applyAlignment="1" applyProtection="1" pivotButton="0" quotePrefix="0" xfId="0">
      <alignment horizontal="left" vertical="top"/>
      <protection locked="0" hidden="0"/>
    </xf>
    <xf numFmtId="0" fontId="6" fillId="0" borderId="13" applyAlignment="1" applyProtection="1" pivotButton="0" quotePrefix="0" xfId="0">
      <alignment horizontal="center" vertical="top" wrapText="1"/>
      <protection locked="0" hidden="0"/>
    </xf>
    <xf numFmtId="0" fontId="6" fillId="0" borderId="0" applyAlignment="1" applyProtection="1" pivotButton="0" quotePrefix="0" xfId="0">
      <alignment horizontal="center" vertical="top" wrapText="1"/>
      <protection locked="0" hidden="0"/>
    </xf>
    <xf numFmtId="0" fontId="6" fillId="0" borderId="6" applyAlignment="1" applyProtection="1" pivotButton="0" quotePrefix="0" xfId="0">
      <alignment horizontal="center" vertical="top" wrapText="1"/>
      <protection locked="0" hidden="0"/>
    </xf>
    <xf numFmtId="0" fontId="13" fillId="0" borderId="11" applyAlignment="1" applyProtection="1" pivotButton="0" quotePrefix="0" xfId="0">
      <alignment horizontal="left" vertical="top"/>
      <protection locked="0" hidden="0"/>
    </xf>
    <xf numFmtId="0" fontId="6" fillId="0" borderId="9" applyAlignment="1" applyProtection="1" pivotButton="0" quotePrefix="0" xfId="0">
      <alignment horizontal="center" vertical="top" wrapText="1"/>
      <protection locked="0" hidden="0"/>
    </xf>
    <xf numFmtId="0" fontId="6" fillId="0" borderId="7" applyAlignment="1" applyProtection="1" pivotButton="0" quotePrefix="0" xfId="0">
      <alignment horizontal="center" vertical="top" wrapText="1"/>
      <protection locked="0" hidden="0"/>
    </xf>
    <xf numFmtId="0" fontId="6" fillId="0" borderId="8" applyAlignment="1" applyProtection="1" pivotButton="0" quotePrefix="0" xfId="0">
      <alignment horizontal="center" vertical="top" wrapText="1"/>
      <protection locked="0" hidden="0"/>
    </xf>
    <xf numFmtId="0" fontId="6" fillId="0" borderId="3" applyAlignment="1" applyProtection="1" pivotButton="0" quotePrefix="0" xfId="0">
      <alignment vertical="top"/>
      <protection locked="0" hidden="0"/>
    </xf>
    <xf numFmtId="0" fontId="6" fillId="0" borderId="4" applyAlignment="1" applyProtection="1" pivotButton="0" quotePrefix="0" xfId="0">
      <alignment vertical="top"/>
      <protection locked="0" hidden="0"/>
    </xf>
    <xf numFmtId="0" fontId="6" fillId="0" borderId="5" applyAlignment="1" applyProtection="1" pivotButton="0" quotePrefix="0" xfId="0">
      <alignment vertical="top"/>
      <protection locked="0" hidden="0"/>
    </xf>
    <xf numFmtId="0" fontId="6" fillId="0" borderId="9" applyAlignment="1" applyProtection="1" pivotButton="0" quotePrefix="0" xfId="0">
      <alignment vertical="top"/>
      <protection locked="0" hidden="0"/>
    </xf>
    <xf numFmtId="0" fontId="6" fillId="0" borderId="7" applyAlignment="1" applyProtection="1" pivotButton="0" quotePrefix="0" xfId="0">
      <alignment vertical="top"/>
      <protection locked="0" hidden="0"/>
    </xf>
    <xf numFmtId="0" fontId="6" fillId="0" borderId="8" applyAlignment="1" applyProtection="1" pivotButton="0" quotePrefix="0" xfId="0">
      <alignment vertical="top"/>
      <protection locked="0" hidden="0"/>
    </xf>
    <xf numFmtId="0" fontId="6" fillId="0" borderId="2" applyProtection="1" pivotButton="0" quotePrefix="0" xfId="0">
      <protection locked="0" hidden="0"/>
    </xf>
    <xf numFmtId="49" fontId="6" fillId="0" borderId="18" applyAlignment="1" applyProtection="1" pivotButton="0" quotePrefix="0" xfId="0">
      <alignment horizontal="center" vertical="top"/>
      <protection locked="0" hidden="0"/>
    </xf>
    <xf numFmtId="0" fontId="6" fillId="0" borderId="18" applyAlignment="1" applyProtection="1" pivotButton="0" quotePrefix="0" xfId="0">
      <alignment horizontal="left" vertical="top" wrapText="1"/>
      <protection locked="0" hidden="0"/>
    </xf>
    <xf numFmtId="49" fontId="6" fillId="0" borderId="1" applyAlignment="1" applyProtection="1" pivotButton="0" quotePrefix="0" xfId="0">
      <alignment horizontal="left"/>
      <protection locked="0" hidden="0"/>
    </xf>
    <xf numFmtId="0" fontId="23" fillId="0" borderId="5" applyAlignment="1" pivotButton="0" quotePrefix="0" xfId="0">
      <alignment wrapText="1"/>
    </xf>
    <xf numFmtId="0" fontId="23" fillId="0" borderId="9" pivotButton="0" quotePrefix="0" xfId="0"/>
    <xf numFmtId="0" fontId="23" fillId="0" borderId="19" pivotButton="0" quotePrefix="0" xfId="0"/>
    <xf numFmtId="0" fontId="23" fillId="0" borderId="20" pivotButton="0" quotePrefix="0" xfId="0"/>
    <xf numFmtId="0" fontId="23" fillId="2" borderId="0" pivotButton="0" quotePrefix="0" xfId="0"/>
    <xf numFmtId="0" fontId="23" fillId="3" borderId="0" pivotButton="0" quotePrefix="0" xfId="0"/>
    <xf numFmtId="0" fontId="5" fillId="0" borderId="0" applyAlignment="1" applyProtection="1" pivotButton="0" quotePrefix="0" xfId="0">
      <alignment wrapText="1"/>
      <protection locked="0" hidden="0"/>
    </xf>
    <xf numFmtId="0" fontId="5" fillId="0" borderId="0" applyAlignment="1" applyProtection="1" pivotButton="0" quotePrefix="0" xfId="0">
      <alignment vertical="top" wrapText="1"/>
      <protection locked="0" hidden="0"/>
    </xf>
    <xf numFmtId="0" fontId="6" fillId="0" borderId="1" applyAlignment="1" applyProtection="1" pivotButton="0" quotePrefix="0" xfId="0">
      <alignment horizontal="center"/>
      <protection locked="0" hidden="0"/>
    </xf>
    <xf numFmtId="0" fontId="6" fillId="0" borderId="1" applyAlignment="1" applyProtection="1" pivotButton="0" quotePrefix="0" xfId="0">
      <alignment horizontal="center" vertical="top"/>
      <protection locked="0" hidden="0"/>
    </xf>
    <xf numFmtId="1" fontId="28" fillId="0" borderId="1" applyAlignment="1" applyProtection="1" pivotButton="0" quotePrefix="0" xfId="0">
      <alignment horizontal="right"/>
      <protection locked="0" hidden="0"/>
    </xf>
    <xf numFmtId="49" fontId="6" fillId="0" borderId="11" applyAlignment="1" applyProtection="1" pivotButton="0" quotePrefix="0" xfId="0">
      <alignment horizontal="right"/>
      <protection locked="0" hidden="0"/>
    </xf>
    <xf numFmtId="49" fontId="6" fillId="0" borderId="11" applyAlignment="1" applyProtection="1" pivotButton="0" quotePrefix="0" xfId="0">
      <alignment horizontal="right" vertical="top"/>
      <protection locked="0" hidden="0"/>
    </xf>
    <xf numFmtId="0" fontId="17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/>
      <protection locked="0" hidden="0"/>
    </xf>
    <xf numFmtId="0" fontId="6" fillId="0" borderId="0" applyAlignment="1" applyProtection="1" pivotButton="0" quotePrefix="0" xfId="0">
      <alignment horizontal="center" vertical="top"/>
      <protection locked="0" hidden="0"/>
    </xf>
    <xf numFmtId="0" fontId="6" fillId="0" borderId="0" applyAlignment="1" applyProtection="1" pivotButton="0" quotePrefix="0" xfId="0">
      <alignment horizontal="left" vertical="top"/>
      <protection locked="0" hidden="0"/>
    </xf>
    <xf numFmtId="1" fontId="11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24" fillId="4" borderId="0" applyAlignment="1" applyProtection="1" pivotButton="0" quotePrefix="0" xfId="0">
      <alignment horizontal="center" vertical="center"/>
      <protection locked="0" hidden="0"/>
    </xf>
    <xf numFmtId="0" fontId="23" fillId="0" borderId="0" applyAlignment="1" pivotButton="0" quotePrefix="0" xfId="0">
      <alignment horizontal="right"/>
    </xf>
    <xf numFmtId="4" fontId="6" fillId="0" borderId="2" applyAlignment="1" applyProtection="1" pivotButton="0" quotePrefix="0" xfId="0">
      <alignment horizontal="right"/>
      <protection locked="1" hidden="1"/>
    </xf>
    <xf numFmtId="4" fontId="6" fillId="0" borderId="0" applyAlignment="1" applyProtection="1" pivotButton="0" quotePrefix="0" xfId="0">
      <alignment horizontal="right"/>
      <protection locked="1" hidden="1"/>
    </xf>
    <xf numFmtId="49" fontId="23" fillId="0" borderId="0" pivotButton="0" quotePrefix="0" xfId="0"/>
    <xf numFmtId="2" fontId="30" fillId="0" borderId="0" applyProtection="1" pivotButton="0" quotePrefix="0" xfId="0">
      <protection locked="1" hidden="1"/>
    </xf>
    <xf numFmtId="2" fontId="13" fillId="0" borderId="10" applyAlignment="1" applyProtection="1" pivotButton="0" quotePrefix="0" xfId="0">
      <alignment horizontal="right"/>
      <protection locked="1" hidden="1"/>
    </xf>
    <xf numFmtId="2" fontId="3" fillId="0" borderId="0" applyAlignment="1" applyProtection="1" pivotButton="0" quotePrefix="0" xfId="0">
      <alignment horizontal="center"/>
      <protection locked="1" hidden="1"/>
    </xf>
    <xf numFmtId="2" fontId="13" fillId="0" borderId="0" applyAlignment="1" applyProtection="1" pivotButton="0" quotePrefix="0" xfId="0">
      <alignment horizontal="center" vertical="top"/>
      <protection locked="1" hidden="1"/>
    </xf>
    <xf numFmtId="14" fontId="9" fillId="0" borderId="0" applyProtection="1" pivotButton="0" quotePrefix="0" xfId="0">
      <protection locked="0" hidden="0"/>
    </xf>
    <xf numFmtId="49" fontId="6" fillId="0" borderId="10" applyAlignment="1" applyProtection="1" pivotButton="0" quotePrefix="0" xfId="0">
      <alignment horizontal="center" vertical="top"/>
      <protection locked="0" hidden="0"/>
    </xf>
    <xf numFmtId="0" fontId="6" fillId="0" borderId="10" applyProtection="1" pivotButton="0" quotePrefix="0" xfId="0">
      <protection locked="0" hidden="0"/>
    </xf>
    <xf numFmtId="1" fontId="6" fillId="0" borderId="10" applyAlignment="1" applyProtection="1" pivotButton="0" quotePrefix="0" xfId="0">
      <alignment horizontal="right"/>
      <protection locked="0" hidden="0"/>
    </xf>
    <xf numFmtId="49" fontId="6" fillId="0" borderId="10" applyAlignment="1" applyProtection="1" pivotButton="0" quotePrefix="0" xfId="0">
      <alignment horizontal="center"/>
      <protection locked="0" hidden="0"/>
    </xf>
    <xf numFmtId="2" fontId="6" fillId="0" borderId="21" applyAlignment="1" applyProtection="1" pivotButton="0" quotePrefix="0" xfId="0">
      <alignment horizontal="left"/>
      <protection locked="0" hidden="0"/>
    </xf>
    <xf numFmtId="2" fontId="6" fillId="0" borderId="8" applyAlignment="1" applyProtection="1" pivotButton="0" quotePrefix="0" xfId="0">
      <alignment horizontal="center"/>
      <protection locked="1" hidden="1"/>
    </xf>
    <xf numFmtId="4" fontId="6" fillId="0" borderId="10" applyAlignment="1" applyProtection="1" pivotButton="0" quotePrefix="0" xfId="0">
      <alignment horizontal="right"/>
      <protection locked="1" hidden="1"/>
    </xf>
    <xf numFmtId="49" fontId="6" fillId="0" borderId="10" applyAlignment="1" applyProtection="1" pivotButton="0" quotePrefix="0" xfId="0">
      <alignment horizontal="left" wrapText="1"/>
      <protection locked="0" hidden="0"/>
    </xf>
    <xf numFmtId="0" fontId="9" fillId="0" borderId="8" applyAlignment="1" applyProtection="1" pivotButton="0" quotePrefix="0" xfId="0">
      <alignment horizontal="center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14" fillId="0" borderId="4" applyAlignment="1" applyProtection="1" pivotButton="0" quotePrefix="0" xfId="0">
      <alignment horizontal="right"/>
      <protection locked="0" hidden="0"/>
    </xf>
    <xf numFmtId="0" fontId="6" fillId="0" borderId="3" applyAlignment="1" applyProtection="1" pivotButton="0" quotePrefix="0" xfId="0">
      <alignment horizontal="right"/>
      <protection locked="0" hidden="0"/>
    </xf>
    <xf numFmtId="0" fontId="28" fillId="0" borderId="0" applyProtection="1" pivotButton="0" quotePrefix="0" xfId="0">
      <protection locked="0" hidden="0"/>
    </xf>
    <xf numFmtId="1" fontId="6" fillId="0" borderId="10" applyAlignment="1" applyProtection="1" pivotButton="0" quotePrefix="0" xfId="0">
      <alignment horizontal="center"/>
      <protection locked="0" hidden="0"/>
    </xf>
    <xf numFmtId="1" fontId="6" fillId="0" borderId="1" applyAlignment="1" applyProtection="1" pivotButton="0" quotePrefix="0" xfId="0">
      <alignment horizontal="center"/>
      <protection locked="0" hidden="0"/>
    </xf>
    <xf numFmtId="49" fontId="5" fillId="0" borderId="1" applyAlignment="1" applyProtection="1" pivotButton="0" quotePrefix="0" xfId="0">
      <alignment horizontal="center" vertical="top"/>
      <protection locked="0" hidden="0"/>
    </xf>
    <xf numFmtId="1" fontId="28" fillId="0" borderId="1" applyAlignment="1" applyProtection="1" pivotButton="0" quotePrefix="0" xfId="0">
      <alignment horizont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49" fontId="5" fillId="0" borderId="1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1" fontId="5" fillId="0" borderId="1" applyAlignment="1" applyProtection="1" pivotButton="0" quotePrefix="0" xfId="0">
      <alignment horizontal="center"/>
      <protection locked="0" hidden="0"/>
    </xf>
    <xf numFmtId="49" fontId="5" fillId="0" borderId="10" applyAlignment="1" applyProtection="1" pivotButton="0" quotePrefix="0" xfId="0">
      <alignment horizontal="center" vertical="center"/>
      <protection locked="0" hidden="0"/>
    </xf>
    <xf numFmtId="0" fontId="6" fillId="0" borderId="13" applyAlignment="1" applyProtection="1" pivotButton="0" quotePrefix="0" xfId="0">
      <alignment horizontal="right"/>
      <protection locked="0" hidden="0"/>
    </xf>
    <xf numFmtId="164" fontId="28" fillId="0" borderId="14" applyAlignment="1" pivotButton="0" quotePrefix="0" xfId="0">
      <alignment horizontal="left"/>
    </xf>
    <xf numFmtId="164" fontId="28" fillId="0" borderId="15" applyAlignment="1" pivotButton="0" quotePrefix="0" xfId="0">
      <alignment horizontal="left"/>
    </xf>
    <xf numFmtId="164" fontId="5" fillId="0" borderId="0" pivotButton="0" quotePrefix="0" xfId="0"/>
    <xf numFmtId="49" fontId="5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23" fillId="0" borderId="0" pivotButton="0" quotePrefix="0" xfId="0"/>
    <xf numFmtId="0" fontId="23" fillId="0" borderId="1" applyAlignment="1" pivotButton="0" quotePrefix="0" xfId="0">
      <alignment horizont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49" fontId="22" fillId="0" borderId="2" applyAlignment="1" applyProtection="1" pivotButton="0" quotePrefix="0" xfId="0">
      <alignment horizontal="left" vertical="justify" wrapText="1"/>
      <protection locked="0" hidden="0"/>
    </xf>
    <xf numFmtId="0" fontId="0" fillId="0" borderId="18" applyProtection="1" pivotButton="0" quotePrefix="0" xfId="0">
      <protection locked="0" hidden="0"/>
    </xf>
    <xf numFmtId="0" fontId="6" fillId="0" borderId="16" applyAlignment="1" applyProtection="1" pivotButton="0" quotePrefix="0" xfId="0">
      <alignment horizontal="center" vertical="top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6" fillId="0" borderId="12" applyAlignment="1" applyProtection="1" pivotButton="0" quotePrefix="0" xfId="0">
      <alignment horizontal="right"/>
      <protection locked="0" hidden="0"/>
    </xf>
    <xf numFmtId="0" fontId="0" fillId="0" borderId="6" applyProtection="1" pivotButton="0" quotePrefix="0" xfId="0">
      <protection locked="0" hidden="0"/>
    </xf>
    <xf numFmtId="0" fontId="4" fillId="0" borderId="18" applyAlignment="1" applyProtection="1" pivotButton="0" quotePrefix="0" xfId="0">
      <alignment horizontal="right" vertical="justify"/>
      <protection locked="0" hidden="0"/>
    </xf>
    <xf numFmtId="0" fontId="4" fillId="0" borderId="7" applyAlignment="1" applyProtection="1" pivotButton="0" quotePrefix="0" xfId="0">
      <alignment horizontal="right" vertical="justify"/>
      <protection locked="0" hidden="0"/>
    </xf>
    <xf numFmtId="0" fontId="0" fillId="0" borderId="7" applyProtection="1" pivotButton="0" quotePrefix="0" xfId="0">
      <protection locked="0" hidden="0"/>
    </xf>
    <xf numFmtId="0" fontId="28" fillId="0" borderId="0" applyAlignment="1" applyProtection="1" pivotButton="0" quotePrefix="0" xfId="0">
      <alignment horizontal="left"/>
      <protection locked="0" hidden="0"/>
    </xf>
    <xf numFmtId="49" fontId="22" fillId="0" borderId="27" applyAlignment="1" applyProtection="1" pivotButton="0" quotePrefix="0" xfId="0">
      <alignment horizontal="left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wrapText="1"/>
      <protection locked="0" hidden="0"/>
    </xf>
    <xf numFmtId="1" fontId="31" fillId="5" borderId="0" applyAlignment="1" applyProtection="1" pivotButton="0" quotePrefix="0" xfId="0">
      <alignment horizontal="center" vertical="center" wrapText="1"/>
      <protection locked="0" hidden="0"/>
    </xf>
    <xf numFmtId="1" fontId="18" fillId="4" borderId="22" applyAlignment="1" applyProtection="1" pivotButton="0" quotePrefix="0" xfId="0">
      <alignment horizontal="left" vertical="center" wrapText="1"/>
      <protection locked="0" hidden="0"/>
    </xf>
    <xf numFmtId="0" fontId="0" fillId="0" borderId="23" applyProtection="1" pivotButton="0" quotePrefix="0" xfId="0">
      <protection locked="0" hidden="0"/>
    </xf>
    <xf numFmtId="1" fontId="18" fillId="4" borderId="24" applyAlignment="1" applyProtection="1" pivotButton="0" quotePrefix="0" xfId="0">
      <alignment horizontal="left" wrapText="1"/>
      <protection locked="0" hidden="0"/>
    </xf>
    <xf numFmtId="0" fontId="0" fillId="0" borderId="25" applyProtection="1" pivotButton="0" quotePrefix="0" xfId="0">
      <protection locked="0" hidden="0"/>
    </xf>
    <xf numFmtId="165" fontId="27" fillId="4" borderId="22" applyAlignment="1" applyProtection="1" pivotButton="0" quotePrefix="0" xfId="0">
      <alignment horizontal="left" wrapText="1"/>
      <protection locked="0" hidden="0"/>
    </xf>
    <xf numFmtId="165" fontId="27" fillId="4" borderId="24" applyAlignment="1" applyProtection="1" pivotButton="0" quotePrefix="0" xfId="0">
      <alignment horizontal="left" wrapText="1"/>
      <protection locked="0" hidden="0"/>
    </xf>
    <xf numFmtId="1" fontId="13" fillId="0" borderId="10" applyAlignment="1" applyProtection="1" pivotButton="0" quotePrefix="0" xfId="0">
      <alignment horizontal="left" vertical="top" wrapText="1"/>
      <protection locked="0" hidden="0"/>
    </xf>
    <xf numFmtId="0" fontId="0" fillId="0" borderId="8" applyProtection="1" pivotButton="0" quotePrefix="0" xfId="0">
      <protection locked="0" hidden="0"/>
    </xf>
    <xf numFmtId="1" fontId="18" fillId="4" borderId="22" applyAlignment="1" applyProtection="1" pivotButton="0" quotePrefix="0" xfId="0">
      <alignment horizontal="left" wrapText="1"/>
      <protection locked="0" hidden="0"/>
    </xf>
    <xf numFmtId="1" fontId="29" fillId="0" borderId="0" applyAlignment="1" pivotButton="0" quotePrefix="0" xfId="0">
      <alignment horizontal="center" vertical="justify"/>
    </xf>
    <xf numFmtId="0" fontId="23" fillId="0" borderId="0" pivotButton="0" quotePrefix="0" xfId="0"/>
    <xf numFmtId="0" fontId="23" fillId="0" borderId="1" applyAlignment="1" pivotButton="0" quotePrefix="0" xfId="0">
      <alignment horizontal="center" wrapText="1"/>
    </xf>
    <xf numFmtId="0" fontId="0" fillId="0" borderId="10" pivotButton="0" quotePrefix="0" xfId="0"/>
    <xf numFmtId="0" fontId="23" fillId="0" borderId="1" applyAlignment="1" pivotButton="0" quotePrefix="0" xfId="0">
      <alignment horizontal="center"/>
    </xf>
    <xf numFmtId="0" fontId="0" fillId="0" borderId="18" pivotButton="0" quotePrefix="0" xfId="0"/>
    <xf numFmtId="0" fontId="0" fillId="0" borderId="11" pivotButton="0" quotePrefix="0" xfId="0"/>
    <xf numFmtId="0" fontId="25" fillId="0" borderId="0" applyAlignment="1" pivotButton="0" quotePrefix="0" xfId="0">
      <alignment horizontal="center"/>
    </xf>
    <xf numFmtId="0" fontId="25" fillId="0" borderId="7" applyAlignment="1" pivotButton="0" quotePrefix="0" xfId="0">
      <alignment horizontal="center" vertical="center"/>
    </xf>
    <xf numFmtId="0" fontId="0" fillId="0" borderId="7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view3D>
      <rotX val="15"/>
      <rotY val="20"/>
      <rAngAx val="1"/>
    </view3D>
    <floor>
      <thickness val="0"/>
      <spPr>
        <a:solidFill xmlns:a="http://schemas.openxmlformats.org/drawingml/2006/main">
          <a:srgbClr val="C0C0C0"/>
        </a:solidFill>
        <a:ln xmlns:a="http://schemas.openxmlformats.org/drawingml/2006/main" w="3175">
          <a:solidFill>
            <a:srgbClr val="000000"/>
          </a:solidFill>
          <a:prstDash val="solid"/>
        </a:ln>
      </spPr>
    </floor>
    <sideWall>
      <thickness val="0"/>
      <spPr>
        <a:solidFill xmlns:a="http://schemas.openxmlformats.org/drawingml/2006/main">
          <a:srgbClr val="C0C0C0"/>
        </a:solidFill>
        <a:ln xmlns:a="http://schemas.openxmlformats.org/drawingml/2006/main" w="12700">
          <a:solidFill>
            <a:srgbClr val="808080"/>
          </a:solidFill>
          <a:prstDash val="solid"/>
        </a:ln>
      </spPr>
    </sideWall>
    <backWall>
      <thickness val="0"/>
      <spPr>
        <a:solidFill xmlns:a="http://schemas.openxmlformats.org/drawingml/2006/main">
          <a:srgbClr val="C0C0C0"/>
        </a:solidFill>
        <a:ln xmlns:a="http://schemas.openxmlformats.org/drawingml/2006/main" w="12700">
          <a:solidFill>
            <a:srgbClr val="808080"/>
          </a:solidFill>
          <a:prstDash val="solid"/>
        </a:ln>
      </spPr>
    </backWall>
    <plotArea>
      <layout>
        <manualLayout>
          <layoutTarget val="inner"/>
          <xMode val="edge"/>
          <yMode val="edge"/>
          <wMode val="factor"/>
          <hMode val="factor"/>
          <x val="0.06242978603527136"/>
          <y val="0.009260539723367026"/>
          <w val="0.8994985498143152"/>
          <h val="0.8751210038581837"/>
        </manualLayout>
      </layout>
      <surface3DChart>
        <wireframe val="0"/>
        <ser>
          <idx val="0"/>
          <order val="0"/>
          <tx>
            <strRef>
              <f>'Объемы на смету'!$K$31</f>
              <strCache>
                <ptCount val="1"/>
                <pt idx="0">
                  <v>10</v>
                </pt>
              </strCache>
            </strRef>
          </tx>
          <spPr>
            <a:solidFill xmlns:a="http://schemas.openxmlformats.org/drawingml/2006/main">
              <a:srgbClr val="9999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смету'!$L$31:$AF$31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5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1"/>
          <order val="1"/>
          <tx>
            <strRef>
              <f>'Объемы на смету'!$K$32</f>
              <strCache>
                <ptCount val="1"/>
                <pt idx="0">
                  <v>50</v>
                </pt>
              </strCache>
            </strRef>
          </tx>
          <spPr>
            <a:solidFill xmlns:a="http://schemas.openxmlformats.org/drawingml/2006/main">
              <a:srgbClr val="993366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смету'!$L$32:$AF$32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2"/>
          <order val="2"/>
          <tx>
            <strRef>
              <f>'Объемы на смету'!$K$33</f>
              <strCache>
                <ptCount val="1"/>
                <pt idx="0">
                  <v>100</v>
                </pt>
              </strCache>
            </strRef>
          </tx>
          <spPr>
            <a:solidFill xmlns:a="http://schemas.openxmlformats.org/drawingml/2006/main">
              <a:srgbClr val="FFFFCC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смету'!$L$33:$AF$33</f>
              <numCache>
                <formatCode>General</formatCode>
                <ptCount val="21"/>
                <pt idx="0">
                  <v>100</v>
                </pt>
                <pt idx="1">
                  <v>90</v>
                </pt>
                <pt idx="2">
                  <v>80</v>
                </pt>
                <pt idx="3">
                  <v>70</v>
                </pt>
                <pt idx="4">
                  <v>60</v>
                </pt>
                <pt idx="5">
                  <v>50</v>
                </pt>
                <pt idx="6">
                  <v>40</v>
                </pt>
                <pt idx="7">
                  <v>30</v>
                </pt>
                <pt idx="8">
                  <v>20</v>
                </pt>
                <pt idx="9">
                  <v>10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3"/>
          <order val="3"/>
          <tx>
            <strRef>
              <f>'Объемы на смету'!$K$34</f>
              <strCache>
                <ptCount val="1"/>
                <pt idx="0">
                  <v>150</v>
                </pt>
              </strCache>
            </strRef>
          </tx>
          <spPr>
            <a:solidFill xmlns:a="http://schemas.openxmlformats.org/drawingml/2006/main">
              <a:srgbClr val="CCFF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смету'!$L$34:$AF$34</f>
              <numCache>
                <formatCode>General</formatCode>
                <ptCount val="21"/>
                <pt idx="0">
                  <v>200</v>
                </pt>
                <pt idx="1">
                  <v>185</v>
                </pt>
                <pt idx="2">
                  <v>170</v>
                </pt>
                <pt idx="3">
                  <v>155</v>
                </pt>
                <pt idx="4">
                  <v>140</v>
                </pt>
                <pt idx="5">
                  <v>125</v>
                </pt>
                <pt idx="6">
                  <v>110</v>
                </pt>
                <pt idx="7">
                  <v>95</v>
                </pt>
                <pt idx="8">
                  <v>80</v>
                </pt>
                <pt idx="9">
                  <v>65</v>
                </pt>
                <pt idx="10">
                  <v>50</v>
                </pt>
                <pt idx="11">
                  <v>35</v>
                </pt>
                <pt idx="12">
                  <v>20</v>
                </pt>
                <pt idx="13">
                  <v>5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4"/>
          <order val="4"/>
          <tx>
            <strRef>
              <f>'Объемы на смету'!$K$35</f>
              <strCache>
                <ptCount val="1"/>
                <pt idx="0">
                  <v>200</v>
                </pt>
              </strCache>
            </strRef>
          </tx>
          <spPr>
            <a:solidFill xmlns:a="http://schemas.openxmlformats.org/drawingml/2006/main">
              <a:srgbClr val="660066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смету'!$L$35:$AF$35</f>
              <numCache>
                <formatCode>General</formatCode>
                <ptCount val="21"/>
                <pt idx="0">
                  <v>300</v>
                </pt>
                <pt idx="1">
                  <v>280</v>
                </pt>
                <pt idx="2">
                  <v>260</v>
                </pt>
                <pt idx="3">
                  <v>240</v>
                </pt>
                <pt idx="4">
                  <v>220</v>
                </pt>
                <pt idx="5">
                  <v>200</v>
                </pt>
                <pt idx="6">
                  <v>180</v>
                </pt>
                <pt idx="7">
                  <v>160</v>
                </pt>
                <pt idx="8">
                  <v>140</v>
                </pt>
                <pt idx="9">
                  <v>120</v>
                </pt>
                <pt idx="10">
                  <v>100</v>
                </pt>
                <pt idx="11">
                  <v>80</v>
                </pt>
                <pt idx="12">
                  <v>60</v>
                </pt>
                <pt idx="13">
                  <v>40</v>
                </pt>
                <pt idx="14">
                  <v>20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5"/>
          <order val="5"/>
          <tx>
            <strRef>
              <f>'Объемы на смету'!$K$36</f>
              <strCache>
                <ptCount val="1"/>
                <pt idx="0">
                  <v>250</v>
                </pt>
              </strCache>
            </strRef>
          </tx>
          <spPr>
            <a:solidFill xmlns:a="http://schemas.openxmlformats.org/drawingml/2006/main">
              <a:srgbClr val="FF808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смету'!$L$36:$AF$36</f>
              <numCache>
                <formatCode>General</formatCode>
                <ptCount val="21"/>
                <pt idx="0">
                  <v>400</v>
                </pt>
                <pt idx="1">
                  <v>375</v>
                </pt>
                <pt idx="2">
                  <v>350</v>
                </pt>
                <pt idx="3">
                  <v>325</v>
                </pt>
                <pt idx="4">
                  <v>300</v>
                </pt>
                <pt idx="5">
                  <v>275</v>
                </pt>
                <pt idx="6">
                  <v>250</v>
                </pt>
                <pt idx="7">
                  <v>225</v>
                </pt>
                <pt idx="8">
                  <v>200</v>
                </pt>
                <pt idx="9">
                  <v>175</v>
                </pt>
                <pt idx="10">
                  <v>150</v>
                </pt>
                <pt idx="11">
                  <v>125</v>
                </pt>
                <pt idx="12">
                  <v>100</v>
                </pt>
                <pt idx="13">
                  <v>75</v>
                </pt>
                <pt idx="14">
                  <v>50</v>
                </pt>
                <pt idx="15">
                  <v>25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6"/>
          <order val="6"/>
          <tx>
            <strRef>
              <f>'Объемы на смету'!$K$37</f>
              <strCache>
                <ptCount val="1"/>
                <pt idx="0">
                  <v>300</v>
                </pt>
              </strCache>
            </strRef>
          </tx>
          <spPr>
            <a:solidFill xmlns:a="http://schemas.openxmlformats.org/drawingml/2006/main">
              <a:srgbClr val="0066CC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смету'!$L$37:$AF$37</f>
              <numCache>
                <formatCode>General</formatCode>
                <ptCount val="21"/>
                <pt idx="0">
                  <v>500</v>
                </pt>
                <pt idx="1">
                  <v>470</v>
                </pt>
                <pt idx="2">
                  <v>440</v>
                </pt>
                <pt idx="3">
                  <v>410</v>
                </pt>
                <pt idx="4">
                  <v>380</v>
                </pt>
                <pt idx="5">
                  <v>350</v>
                </pt>
                <pt idx="6">
                  <v>320</v>
                </pt>
                <pt idx="7">
                  <v>290</v>
                </pt>
                <pt idx="8">
                  <v>260</v>
                </pt>
                <pt idx="9">
                  <v>230</v>
                </pt>
                <pt idx="10">
                  <v>200</v>
                </pt>
                <pt idx="11">
                  <v>170</v>
                </pt>
                <pt idx="12">
                  <v>140</v>
                </pt>
                <pt idx="13">
                  <v>110</v>
                </pt>
                <pt idx="14">
                  <v>80</v>
                </pt>
                <pt idx="15">
                  <v>50</v>
                </pt>
                <pt idx="16">
                  <v>20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7"/>
          <order val="7"/>
          <tx>
            <strRef>
              <f>'Объемы на смету'!$K$38</f>
              <strCache>
                <ptCount val="1"/>
                <pt idx="0">
                  <v>350</v>
                </pt>
              </strCache>
            </strRef>
          </tx>
          <spPr>
            <a:solidFill xmlns:a="http://schemas.openxmlformats.org/drawingml/2006/main">
              <a:srgbClr val="CCCC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смету'!$L$38:$AF$38</f>
              <numCache>
                <formatCode>General</formatCode>
                <ptCount val="21"/>
                <pt idx="0">
                  <v>600</v>
                </pt>
                <pt idx="1">
                  <v>565</v>
                </pt>
                <pt idx="2">
                  <v>530</v>
                </pt>
                <pt idx="3">
                  <v>495</v>
                </pt>
                <pt idx="4">
                  <v>460</v>
                </pt>
                <pt idx="5">
                  <v>425</v>
                </pt>
                <pt idx="6">
                  <v>390</v>
                </pt>
                <pt idx="7">
                  <v>355</v>
                </pt>
                <pt idx="8">
                  <v>320</v>
                </pt>
                <pt idx="9">
                  <v>285</v>
                </pt>
                <pt idx="10">
                  <v>250</v>
                </pt>
                <pt idx="11">
                  <v>215</v>
                </pt>
                <pt idx="12">
                  <v>180</v>
                </pt>
                <pt idx="13">
                  <v>145</v>
                </pt>
                <pt idx="14">
                  <v>110</v>
                </pt>
                <pt idx="15">
                  <v>75</v>
                </pt>
                <pt idx="16">
                  <v>40</v>
                </pt>
                <pt idx="17">
                  <v>5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8"/>
          <order val="8"/>
          <tx>
            <strRef>
              <f>'Объемы на смету'!$K$39</f>
              <strCache>
                <ptCount val="1"/>
                <pt idx="0">
                  <v>400</v>
                </pt>
              </strCache>
            </strRef>
          </tx>
          <spPr>
            <a:solidFill xmlns:a="http://schemas.openxmlformats.org/drawingml/2006/main">
              <a:srgbClr val="00008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смету'!$L$39:$AF$39</f>
              <numCache>
                <formatCode>General</formatCode>
                <ptCount val="21"/>
                <pt idx="0">
                  <v>700</v>
                </pt>
                <pt idx="1">
                  <v>660</v>
                </pt>
                <pt idx="2">
                  <v>620</v>
                </pt>
                <pt idx="3">
                  <v>580</v>
                </pt>
                <pt idx="4">
                  <v>540</v>
                </pt>
                <pt idx="5">
                  <v>500</v>
                </pt>
                <pt idx="6">
                  <v>460</v>
                </pt>
                <pt idx="7">
                  <v>420</v>
                </pt>
                <pt idx="8">
                  <v>380</v>
                </pt>
                <pt idx="9">
                  <v>340</v>
                </pt>
                <pt idx="10">
                  <v>300</v>
                </pt>
                <pt idx="11">
                  <v>260</v>
                </pt>
                <pt idx="12">
                  <v>220</v>
                </pt>
                <pt idx="13">
                  <v>180</v>
                </pt>
                <pt idx="14">
                  <v>140</v>
                </pt>
                <pt idx="15">
                  <v>100</v>
                </pt>
                <pt idx="16">
                  <v>60</v>
                </pt>
                <pt idx="17">
                  <v>20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9"/>
          <order val="9"/>
          <tx>
            <strRef>
              <f>'Объемы на смету'!$K$40</f>
              <strCache>
                <ptCount val="1"/>
                <pt idx="0">
                  <v>450</v>
                </pt>
              </strCache>
            </strRef>
          </tx>
          <spPr>
            <a:solidFill xmlns:a="http://schemas.openxmlformats.org/drawingml/2006/main">
              <a:srgbClr val="FF00FF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смету'!$L$40:$AF$40</f>
              <numCache>
                <formatCode>General</formatCode>
                <ptCount val="21"/>
                <pt idx="0">
                  <v>800</v>
                </pt>
                <pt idx="1">
                  <v>755</v>
                </pt>
                <pt idx="2">
                  <v>710</v>
                </pt>
                <pt idx="3">
                  <v>665</v>
                </pt>
                <pt idx="4">
                  <v>620</v>
                </pt>
                <pt idx="5">
                  <v>575</v>
                </pt>
                <pt idx="6">
                  <v>530</v>
                </pt>
                <pt idx="7">
                  <v>485</v>
                </pt>
                <pt idx="8">
                  <v>440</v>
                </pt>
                <pt idx="9">
                  <v>395</v>
                </pt>
                <pt idx="10">
                  <v>350</v>
                </pt>
                <pt idx="11">
                  <v>305</v>
                </pt>
                <pt idx="12">
                  <v>260</v>
                </pt>
                <pt idx="13">
                  <v>215</v>
                </pt>
                <pt idx="14">
                  <v>170</v>
                </pt>
                <pt idx="15">
                  <v>125</v>
                </pt>
                <pt idx="16">
                  <v>80</v>
                </pt>
                <pt idx="17">
                  <v>35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ser>
          <idx val="10"/>
          <order val="10"/>
          <tx>
            <strRef>
              <f>'Объемы на смету'!$K$41</f>
              <strCache>
                <ptCount val="1"/>
                <pt idx="0">
                  <v>500</v>
                </pt>
              </strCache>
            </strRef>
          </tx>
          <spPr>
            <a:solidFill xmlns:a="http://schemas.openxmlformats.org/drawingml/2006/main">
              <a:srgbClr val="FFFF00"/>
            </a:solidFill>
            <a:ln xmlns:a="http://schemas.openxmlformats.org/drawingml/2006/main" w="12700">
              <a:solidFill>
                <a:srgbClr val="000000"/>
              </a:solidFill>
              <a:prstDash val="solid"/>
            </a:ln>
            <a:sp3d xmlns:a="http://schemas.openxmlformats.org/drawingml/2006/main" prstMaterial="flat"/>
          </spPr>
          <cat>
            <numRef>
              <f>'Объемы на смету'!$L$30:$AF$30</f>
              <numCache>
                <formatCode>General</formatCode>
                <ptCount val="21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15</v>
                </pt>
                <pt idx="4">
                  <v>20</v>
                </pt>
                <pt idx="5">
                  <v>25</v>
                </pt>
                <pt idx="6">
                  <v>30</v>
                </pt>
                <pt idx="7">
                  <v>35</v>
                </pt>
                <pt idx="8">
                  <v>40</v>
                </pt>
                <pt idx="9">
                  <v>45</v>
                </pt>
                <pt idx="10">
                  <v>50</v>
                </pt>
                <pt idx="11">
                  <v>55</v>
                </pt>
                <pt idx="12">
                  <v>60</v>
                </pt>
                <pt idx="13">
                  <v>65</v>
                </pt>
                <pt idx="14">
                  <v>70</v>
                </pt>
                <pt idx="15">
                  <v>75</v>
                </pt>
                <pt idx="16">
                  <v>80</v>
                </pt>
                <pt idx="17">
                  <v>85</v>
                </pt>
                <pt idx="18">
                  <v>90</v>
                </pt>
                <pt idx="19">
                  <v>95</v>
                </pt>
                <pt idx="20">
                  <v>100</v>
                </pt>
              </numCache>
            </numRef>
          </cat>
          <val>
            <numRef>
              <f>'Объемы на смету'!$L$41:$AF$41</f>
              <numCache>
                <formatCode>General</formatCode>
                <ptCount val="21"/>
                <pt idx="0">
                  <v>900</v>
                </pt>
                <pt idx="1">
                  <v>850</v>
                </pt>
                <pt idx="2">
                  <v>800</v>
                </pt>
                <pt idx="3">
                  <v>750</v>
                </pt>
                <pt idx="4">
                  <v>700</v>
                </pt>
                <pt idx="5">
                  <v>650</v>
                </pt>
                <pt idx="6">
                  <v>600</v>
                </pt>
                <pt idx="7">
                  <v>550</v>
                </pt>
                <pt idx="8">
                  <v>500</v>
                </pt>
                <pt idx="9">
                  <v>450</v>
                </pt>
                <pt idx="10">
                  <v>400</v>
                </pt>
                <pt idx="11">
                  <v>350</v>
                </pt>
                <pt idx="12">
                  <v>300</v>
                </pt>
                <pt idx="13">
                  <v>250</v>
                </pt>
                <pt idx="14">
                  <v>200</v>
                </pt>
                <pt idx="15">
                  <v>150</v>
                </pt>
                <pt idx="16">
                  <v>100</v>
                </pt>
                <pt idx="17">
                  <v>50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val>
        </ser>
        <bandFmts>
          <bandFmt>
            <idx val="0"/>
            <spPr>
              <a:solidFill xmlns:a="http://schemas.openxmlformats.org/drawingml/2006/main">
                <a:srgbClr val="9999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1"/>
            <spPr>
              <a:solidFill xmlns:a="http://schemas.openxmlformats.org/drawingml/2006/main">
                <a:srgbClr val="993366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2"/>
            <spPr>
              <a:solidFill xmlns:a="http://schemas.openxmlformats.org/drawingml/2006/main">
                <a:srgbClr val="FFFFCC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3"/>
            <spPr>
              <a:solidFill xmlns:a="http://schemas.openxmlformats.org/drawingml/2006/main">
                <a:srgbClr val="CCFF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4"/>
            <spPr>
              <a:solidFill xmlns:a="http://schemas.openxmlformats.org/drawingml/2006/main">
                <a:srgbClr val="660066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5"/>
            <spPr>
              <a:solidFill xmlns:a="http://schemas.openxmlformats.org/drawingml/2006/main">
                <a:srgbClr val="FF8080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6"/>
            <spPr>
              <a:solidFill xmlns:a="http://schemas.openxmlformats.org/drawingml/2006/main">
                <a:srgbClr val="0066CC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7"/>
            <spPr>
              <a:solidFill xmlns:a="http://schemas.openxmlformats.org/drawingml/2006/main">
                <a:srgbClr val="CCCCFF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  <bandFmt>
            <idx val="8"/>
            <spPr>
              <a:solidFill xmlns:a="http://schemas.openxmlformats.org/drawingml/2006/main">
                <a:srgbClr val="000080"/>
              </a:solidFill>
              <a:ln xmlns:a="http://schemas.openxmlformats.org/drawingml/2006/main" w="12700">
                <a:solidFill>
                  <a:srgbClr val="000000"/>
                </a:solidFill>
                <a:prstDash val="solid"/>
              </a:ln>
              <a:sp3d xmlns:a="http://schemas.openxmlformats.org/drawingml/2006/main" prstMaterial="flat"/>
            </spPr>
          </bandFmt>
        </bandFmts>
        <axId val="135319936"/>
        <axId val="135321472"/>
        <axId val="135299968"/>
      </surface3DChart>
      <catAx>
        <axId val="13531993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21472"/>
        <crosses val="autoZero"/>
        <auto val="1"/>
        <lblAlgn val="ctr"/>
        <lblOffset val="100"/>
        <tickLblSkip val="2"/>
        <tickMarkSkip val="1"/>
        <noMultiLvlLbl val="1"/>
      </catAx>
      <valAx>
        <axId val="135321472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19936"/>
        <crosses val="autoZero"/>
        <crossBetween val="between"/>
      </valAx>
      <serAx>
        <axId val="135299968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50" b="0" i="0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t>None</a:t>
            </a:r>
            <a:endParaRPr lang="ru-RU"/>
          </a:p>
        </txPr>
        <crossAx val="135321472"/>
        <crosses val="autoZero"/>
        <tickLblSkip val="4"/>
        <tickMarkSkip val="1"/>
      </ser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1</author>
    <author>Руслана Александрова</author>
  </authors>
  <commentList>
    <comment ref="A2" authorId="0" shapeId="0">
      <text>
        <t xml:space="preserve">В этой строке следует указать адрес
</t>
      </text>
    </comment>
    <comment ref="E3" authorId="0" shapeId="0">
      <text>
        <t xml:space="preserve">Поле для ввода значения коэффициента КМ.
(возм.значения: 1; 2,5; 4)
</t>
      </text>
    </comment>
    <comment ref="H3" authorId="0" shapeId="0">
      <text>
        <t xml:space="preserve">Поле для ввода значения коэффициента КВ.
(возм.значения: 1; 2)
</t>
      </text>
    </comment>
    <comment ref="K3" authorId="0" shapeId="0">
      <text>
        <t>Изменять не рекомендуется!
Расчет производится согласно данного значения: 4,1615</t>
      </text>
    </comment>
    <comment ref="E4" authorId="0" shapeId="0">
      <text>
        <t xml:space="preserve">Поле для ввода значения коэффициента КБ.
(возм.значения: 1,2; 1,5; 3,3)
</t>
      </text>
    </comment>
    <comment ref="H4" authorId="0" shapeId="0">
      <text>
        <t xml:space="preserve">Поле для ввода значения коэффициента увеличения ст-сти комп.озеленения.
(возм.значения: 1-гор.заказ; 2-прочее)
</t>
      </text>
    </comment>
    <comment ref="K4" authorId="0" shapeId="0">
      <text>
        <t xml:space="preserve">Изменять не рекомендуется!
Расчет производится согласно данного значения: 1,05
</t>
      </text>
    </comment>
    <comment ref="B5" authorId="1" shapeId="0">
      <text>
        <t>Выберите породу зен.насаждения.
ВАЖНО! Деревья указаны с заглавной буквы;
кустарник- с прописной.</t>
      </text>
    </comment>
    <comment ref="H10" authorId="1" shapeId="0">
      <text>
        <t xml:space="preserve">Информационно ввести
ОБЩУЮ площадь травяного покрова
</t>
      </text>
    </comment>
    <comment ref="H11" authorId="1" shapeId="0">
      <text>
        <t xml:space="preserve">Указать площадь УНИЧТОЖАЕМОГО травяного покрова
(используется для расчета, см.ниже)
</t>
      </text>
    </comment>
    <comment ref="H12" authorId="1" shapeId="0">
      <text>
        <t>РАСЧЕТНЫЙ  БЛОК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6</col>
      <colOff>397452</colOff>
      <row>24</row>
      <rowOff>297007</rowOff>
    </from>
    <to>
      <col>8</col>
      <colOff>251963</colOff>
      <row>29</row>
      <rowOff>57150</rowOff>
    </to>
    <pic>
      <nvPicPr>
        <cNvPr id="2" name="Рисунок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545" t="8707"/>
        <a:stretch xmlns:a="http://schemas.openxmlformats.org/drawingml/2006/main">
          <a:fillRect/>
        </a:stretch>
      </blipFill>
      <spPr>
        <a:xfrm xmlns:a="http://schemas.openxmlformats.org/drawingml/2006/main">
          <a:off x="4969452" y="6354907"/>
          <a:ext cx="2073836" cy="92219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14</col>
      <colOff>114300</colOff>
      <row>12</row>
      <rowOff>104775</rowOff>
    </from>
    <to>
      <col>26</col>
      <colOff>323850</colOff>
      <row>29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A269"/>
  <sheetViews>
    <sheetView showZeros="0" tabSelected="1" showOutlineSymbols="0" view="pageBreakPreview" topLeftCell="A10" zoomScaleNormal="100" zoomScaleSheetLayoutView="100" workbookViewId="0">
      <selection activeCell="H24" sqref="H24"/>
    </sheetView>
  </sheetViews>
  <sheetFormatPr baseColWidth="8" defaultColWidth="9.140625" defaultRowHeight="15.75"/>
  <cols>
    <col width="5.28515625" customWidth="1" style="3" min="1" max="1"/>
    <col width="29.140625" customWidth="1" style="17" min="2" max="2"/>
    <col width="7.7109375" customWidth="1" style="1" min="3" max="3"/>
    <col width="6.7109375" customWidth="1" style="1" min="4" max="4"/>
    <col width="7.85546875" customWidth="1" style="3" min="5" max="5"/>
    <col width="11.85546875" customWidth="1" style="3" min="6" max="6"/>
    <col width="8" customWidth="1" style="3" min="7" max="7"/>
    <col width="25.28515625" customWidth="1" style="2" min="8" max="8"/>
    <col width="12.28515625" customWidth="1" style="18" min="9" max="9"/>
    <col width="14" customWidth="1" style="180" min="10" max="10"/>
    <col width="19.28515625" customWidth="1" style="19" min="11" max="11"/>
    <col hidden="1" width="4.85546875" customWidth="1" style="17" min="12" max="12"/>
    <col hidden="1" width="4.42578125" customWidth="1" style="17" min="13" max="13"/>
    <col hidden="1" width="8.28515625" customWidth="1" style="17" min="14" max="14"/>
    <col hidden="1" width="13" customWidth="1" style="17" min="15" max="15"/>
    <col width="12.140625" customWidth="1" style="17" min="16" max="16"/>
    <col width="9.140625" customWidth="1" style="17" min="17" max="25"/>
    <col width="1" customWidth="1" style="17" min="26" max="26"/>
    <col width="15.28515625" customWidth="1" style="17" min="27" max="27"/>
    <col width="9.140625" customWidth="1" style="17" min="28" max="28"/>
    <col width="2.85546875" customWidth="1" style="17" min="29" max="29"/>
    <col width="9.140625" customWidth="1" style="17" min="30" max="34"/>
    <col width="9.140625" customWidth="1" style="17" min="35" max="16384"/>
  </cols>
  <sheetData>
    <row r="1" ht="15.75" customFormat="1" customHeight="1" s="213">
      <c r="A1" s="66" t="n"/>
      <c r="B1" s="67" t="n"/>
      <c r="C1" s="66" t="n"/>
      <c r="D1" s="68" t="inlineStr">
        <is>
          <t xml:space="preserve">ПЕРЕЧЕТНАЯ  ВЕДОМОСТЬ  ДЕРЕВЬЕВ  И  КУСТАРНИКОВ </t>
        </is>
      </c>
      <c r="E1" s="69" t="n"/>
      <c r="F1" s="70" t="n"/>
      <c r="G1" s="69" t="n"/>
      <c r="H1" s="71" t="n"/>
      <c r="I1" s="70" t="n"/>
      <c r="J1" s="177" t="n"/>
      <c r="K1" s="72" t="n"/>
      <c r="M1" s="86" t="inlineStr">
        <is>
          <t>формат</t>
        </is>
      </c>
      <c r="N1" s="87" t="inlineStr">
        <is>
          <t>1.02</t>
        </is>
      </c>
    </row>
    <row r="2" ht="20.25" customFormat="1" customHeight="1" s="213" thickBot="1">
      <c r="A2" s="228" t="inlineStr">
        <is>
          <t>Перечетная ведомость деревьев и кустарников по адресу: г. Москва, ЮЗАО,Островитянова ул. 16 к.3</t>
        </is>
      </c>
      <c r="B2" s="213" t="n"/>
      <c r="C2" s="213" t="n"/>
      <c r="D2" s="213" t="n"/>
      <c r="E2" s="213" t="n"/>
      <c r="F2" s="213" t="n"/>
      <c r="G2" s="213" t="n"/>
      <c r="H2" s="213" t="n"/>
      <c r="I2" s="213" t="n"/>
      <c r="J2" s="213" t="n"/>
      <c r="K2" s="213" t="n"/>
    </row>
    <row r="3" ht="33.75" customFormat="1" customHeight="1" s="213" thickBot="1" thickTop="1">
      <c r="A3" s="66" t="n"/>
      <c r="B3" s="237" t="inlineStr">
        <is>
          <t xml:space="preserve">Коэфф.поправки на местополож.(1,0- 2,5- 4,0) (КМ)  - </t>
        </is>
      </c>
      <c r="C3" s="230" t="n"/>
      <c r="D3" s="230" t="n"/>
      <c r="E3" s="104" t="n">
        <v>1</v>
      </c>
      <c r="F3" s="229" t="inlineStr">
        <is>
          <t xml:space="preserve">(КВ) Коэфф.поправки на водоохр. ценность (1,0-2,0) - </t>
        </is>
      </c>
      <c r="G3" s="230" t="n"/>
      <c r="H3" s="105" t="n">
        <v>1</v>
      </c>
      <c r="I3" s="233" t="inlineStr">
        <is>
          <t>Коэфф.индексации стоимости строительных работ</t>
        </is>
      </c>
      <c r="J3" s="230" t="n"/>
      <c r="K3" s="205" t="n"/>
      <c r="L3" s="172" t="n">
        <v>2</v>
      </c>
      <c r="M3" s="227" t="inlineStr">
        <is>
          <t>Гор. заказ-2;
 комм. -1</t>
        </is>
      </c>
      <c r="N3" s="213" t="n"/>
      <c r="AA3" s="171" t="inlineStr">
        <is>
          <t>Гор. заказ-2;
 комм. -1</t>
        </is>
      </c>
    </row>
    <row r="4" ht="32.25" customFormat="1" customHeight="1" s="213" thickBot="1">
      <c r="A4" s="66" t="n"/>
      <c r="B4" s="231" t="inlineStr">
        <is>
          <t xml:space="preserve">Коэфф.благоустройства (1,2- 1,5- 3,3) (КБ) - </t>
        </is>
      </c>
      <c r="C4" s="232" t="n"/>
      <c r="D4" s="232" t="n"/>
      <c r="E4" s="106" t="n">
        <v>1.5</v>
      </c>
      <c r="F4" s="231" t="inlineStr">
        <is>
          <t xml:space="preserve">Коэф.увелич.ст-ти комп.озеленения.(1,0-2,0)- </t>
        </is>
      </c>
      <c r="G4" s="232" t="n"/>
      <c r="H4" s="107" t="n">
        <v>2</v>
      </c>
      <c r="I4" s="234" t="inlineStr">
        <is>
          <t>Коэфф.,учитывающий затраты на проектирование</t>
        </is>
      </c>
      <c r="J4" s="232" t="n"/>
      <c r="K4" s="206" t="n"/>
      <c r="O4" s="213">
        <f>GetKom(#REF!,#REF!,#REF!,#REF!)</f>
        <v/>
      </c>
    </row>
    <row r="5" ht="21" customFormat="1" customHeight="1" s="61" thickTop="1">
      <c r="A5" s="47" t="inlineStr">
        <is>
          <t>№№</t>
        </is>
      </c>
      <c r="B5" s="99" t="inlineStr">
        <is>
          <t xml:space="preserve">Наименование </t>
        </is>
      </c>
      <c r="C5" s="235" t="inlineStr">
        <is>
          <t xml:space="preserve">  Кол-во в шт.</t>
        </is>
      </c>
      <c r="D5" s="236" t="n"/>
      <c r="E5" s="112" t="inlineStr">
        <is>
          <t>Диаметр,</t>
        </is>
      </c>
      <c r="F5" s="100" t="inlineStr">
        <is>
          <t>Воз-</t>
        </is>
      </c>
      <c r="G5" s="101" t="inlineStr">
        <is>
          <t>Высота</t>
        </is>
      </c>
      <c r="H5" s="102" t="inlineStr">
        <is>
          <t xml:space="preserve">Характеристика состояния </t>
        </is>
      </c>
      <c r="I5" s="110" t="inlineStr">
        <is>
          <t>Заклю-</t>
        </is>
      </c>
      <c r="J5" s="103" t="inlineStr">
        <is>
          <t>Компенса-</t>
        </is>
      </c>
      <c r="K5" s="111" t="inlineStr">
        <is>
          <t>Примечание</t>
        </is>
      </c>
      <c r="L5" s="165" t="n"/>
      <c r="N5" s="62" t="n"/>
      <c r="AA5" s="122" t="inlineStr">
        <is>
          <t>Количество стволов</t>
        </is>
      </c>
    </row>
    <row r="6" ht="27" customFormat="1" customHeight="1" s="61">
      <c r="A6" s="48" t="inlineStr">
        <is>
          <t>п/п</t>
        </is>
      </c>
      <c r="B6" s="99" t="inlineStr">
        <is>
          <t xml:space="preserve">пород </t>
        </is>
      </c>
      <c r="C6" s="91" t="inlineStr">
        <is>
          <t>Дере-вьев</t>
        </is>
      </c>
      <c r="D6" s="92" t="inlineStr">
        <is>
          <t>Кустар-ников</t>
        </is>
      </c>
      <c r="E6" s="90" t="inlineStr">
        <is>
          <t>см</t>
        </is>
      </c>
      <c r="F6" s="90" t="inlineStr">
        <is>
          <t>раст, лет</t>
        </is>
      </c>
      <c r="G6" s="90" t="inlineStr">
        <is>
          <t>м</t>
        </is>
      </c>
      <c r="H6" s="49" t="inlineStr">
        <is>
          <t>зеленых насаждений</t>
        </is>
      </c>
      <c r="I6" s="48" t="inlineStr">
        <is>
          <t>чение</t>
        </is>
      </c>
      <c r="J6" s="82" t="inlineStr">
        <is>
          <t>ционная стоимость</t>
        </is>
      </c>
      <c r="K6" s="50" t="n"/>
      <c r="L6" s="166" t="n"/>
      <c r="M6" s="54" t="inlineStr">
        <is>
          <t>Коли-чество</t>
        </is>
      </c>
      <c r="N6" s="53" t="inlineStr">
        <is>
          <t>код породы</t>
        </is>
      </c>
      <c r="O6" s="73" t="n"/>
      <c r="P6" s="73" t="n"/>
      <c r="Q6" s="73" t="n"/>
      <c r="R6" s="73" t="n"/>
      <c r="S6" s="73" t="n"/>
      <c r="AA6" s="123" t="inlineStr">
        <is>
          <t>шт.</t>
        </is>
      </c>
    </row>
    <row r="7" ht="0.75" customHeight="1">
      <c r="A7" s="98" t="n"/>
      <c r="B7" s="108" t="n"/>
      <c r="C7" s="97" t="n"/>
      <c r="D7" s="109" t="n"/>
      <c r="E7" s="74" t="n"/>
      <c r="F7" s="74" t="n"/>
      <c r="G7" s="74" t="n"/>
      <c r="H7" s="94" t="n"/>
      <c r="I7" s="95" t="n"/>
      <c r="J7" s="178">
        <f>IF(OR(K7=Списки!$K$2,K7=Списки!$K$3,K7=Списки!$K$4,K7=Списки!$K$7,K7=Списки!$K$9,K7=Списки!$K$8,K7=Списки!$K$6),Списки!$J$2,PRODUCT(IF(Списки!$I$4=I7,1,0),$E$3,$H$3,IF(SUM(C7:D7)&lt;&gt;0,SUM(C7:D7),0),IF(C7&gt;0,SUMIF(Списки!$B$2:$B$77,B7,Списки!$D$2:D$77),Списки!$D$74)))</f>
        <v/>
      </c>
      <c r="K7" s="95" t="n"/>
      <c r="L7" s="167" t="n"/>
      <c r="M7" s="75">
        <f>IF(J7&gt;0,1,0)*C7*IF(J7="Без компенсац.",0,1)</f>
        <v/>
      </c>
      <c r="N7" s="75">
        <f>VLOOKUP(B7,Списки!$B$2:$C$77,2,FALSE)</f>
        <v/>
      </c>
    </row>
    <row r="8" ht="0.75" customHeight="1">
      <c r="A8" s="98" t="n"/>
      <c r="B8" s="108" t="n"/>
      <c r="C8" s="97" t="n"/>
      <c r="D8" s="109" t="n"/>
      <c r="E8" s="74" t="n"/>
      <c r="F8" s="74" t="n"/>
      <c r="G8" s="74" t="n"/>
      <c r="H8" s="94" t="n"/>
      <c r="I8" s="95" t="n"/>
      <c r="J8" s="178" t="n"/>
      <c r="K8" s="95" t="n"/>
      <c r="L8" s="167" t="n"/>
      <c r="M8" s="75" t="n"/>
      <c r="N8" s="75" t="n"/>
    </row>
    <row r="9" ht="59.25" customHeight="1">
      <c r="A9" s="203" t="inlineStr">
        <is>
          <t>1</t>
        </is>
      </c>
      <c r="B9" s="200" t="inlineStr">
        <is>
          <t>акация желтая куст</t>
        </is>
      </c>
      <c r="C9" s="198" t="inlineStr"/>
      <c r="D9" s="109" t="n"/>
      <c r="E9" s="203" t="inlineStr">
        <is>
          <t>23</t>
        </is>
      </c>
      <c r="F9" s="203" t="inlineStr">
        <is>
          <t>Менее 10</t>
        </is>
      </c>
      <c r="G9" s="208" t="inlineStr">
        <is>
          <t>13</t>
        </is>
      </c>
      <c r="H9" s="191" t="inlineStr">
        <is>
          <t>ствол на полшестого</t>
        </is>
      </c>
      <c r="I9" s="199" t="inlineStr">
        <is>
          <t>Сохранить</t>
        </is>
      </c>
      <c r="J9" s="178" t="n"/>
      <c r="K9" s="199" t="n"/>
      <c r="L9" s="167" t="n"/>
      <c r="M9" s="75">
        <f>IF(J9&gt;0,1,0)*C9*IF(J9="Без компенсац.",0,1)</f>
        <v/>
      </c>
      <c r="N9" s="75">
        <f>VLOOKUP(B9,Списки!$B$2:$C$77,2,FALSE)</f>
        <v/>
      </c>
    </row>
    <row r="10" ht="39.6" customHeight="1" thickBot="1">
      <c r="A10" s="182" t="n"/>
      <c r="B10" s="183" t="inlineStr">
        <is>
          <t>Итого:</t>
        </is>
      </c>
      <c r="C10" s="195" t="inlineStr"/>
      <c r="D10" s="184">
        <f>SUM(D7:D9)</f>
        <v/>
      </c>
      <c r="E10" s="185" t="n"/>
      <c r="F10" s="225" t="inlineStr">
        <is>
          <t xml:space="preserve">Общая площадь  травяного покрова  </t>
        </is>
      </c>
      <c r="G10" s="226" t="n"/>
      <c r="H10" s="186" t="n"/>
      <c r="I10" s="187" t="inlineStr">
        <is>
          <t>кв.м</t>
        </is>
      </c>
      <c r="J10" s="188" t="n">
        <v>0</v>
      </c>
      <c r="K10" s="189" t="n"/>
      <c r="L10" s="170" t="n"/>
      <c r="M10" s="75" t="n"/>
      <c r="N10" s="75" t="n"/>
      <c r="AA10" s="115" t="n"/>
    </row>
    <row r="11" ht="26.45" customHeight="1" thickBot="1" thickTop="1">
      <c r="A11" s="4" t="n"/>
      <c r="B11" s="42" t="inlineStr">
        <is>
          <t>Пересадить</t>
        </is>
      </c>
      <c r="C11" s="196">
        <f>SUMIF($I$7:$I$9,B11,$C$7:$C$9)</f>
        <v/>
      </c>
      <c r="D11" s="93">
        <f>SUMIF($I$7:$I$9,B11,$D$7:$D$9)</f>
        <v/>
      </c>
      <c r="E11" s="5" t="n"/>
      <c r="F11" s="214" t="inlineStr">
        <is>
          <t xml:space="preserve">в т.ч. площадь уничтожаемого трав.покрова  </t>
        </is>
      </c>
      <c r="G11" s="215" t="n"/>
      <c r="H11" s="125" t="n">
        <v>0</v>
      </c>
      <c r="I11" s="126" t="inlineStr">
        <is>
          <t>кв.м</t>
        </is>
      </c>
      <c r="J11" s="127" t="n"/>
      <c r="K11" s="96" t="n"/>
      <c r="L11" s="170" t="n"/>
      <c r="M11" s="75" t="n"/>
      <c r="N11" s="75" t="n"/>
      <c r="AA11" s="115" t="n"/>
    </row>
    <row r="12" ht="16.5" customHeight="1" thickTop="1">
      <c r="A12" s="4" t="n"/>
      <c r="B12" s="21" t="inlineStr">
        <is>
          <t>Сохранить</t>
        </is>
      </c>
      <c r="C12" t="inlineStr">
        <is>
          <t>1</t>
        </is>
      </c>
      <c r="D12" s="93">
        <f>SUMIF($I$7:$I$9,B12,$D$7:$D$9)</f>
        <v/>
      </c>
      <c r="E12" s="197" t="n"/>
      <c r="G12" s="192" t="n"/>
      <c r="H12" s="193" t="inlineStr">
        <is>
          <t>Компенсационная стоимость            за  шт.</t>
        </is>
      </c>
      <c r="I12" s="96" t="inlineStr">
        <is>
          <t>деревьев</t>
        </is>
      </c>
      <c r="J12" s="174">
        <f>SUMIF($C$7:$C$9,"&gt;0",$J$7:$J$9)</f>
        <v/>
      </c>
      <c r="K12" s="128" t="inlineStr">
        <is>
          <t>руб.</t>
        </is>
      </c>
      <c r="L12" s="170" t="n"/>
      <c r="M12" s="75" t="n"/>
      <c r="N12" s="75" t="n"/>
      <c r="AA12" s="115" t="n"/>
    </row>
    <row r="13">
      <c r="A13" s="4" t="n"/>
      <c r="B13" s="21" t="inlineStr">
        <is>
          <t>Вырубить</t>
        </is>
      </c>
      <c r="C13" s="93" t="inlineStr"/>
      <c r="D13" s="93">
        <f>SUMIF($I$7:$I$9,B13,$D$7:$D$9)</f>
        <v/>
      </c>
      <c r="E13" s="6" t="n"/>
      <c r="F13" s="219" t="inlineStr">
        <is>
          <t>за  шт.</t>
        </is>
      </c>
      <c r="G13" s="213" t="n"/>
      <c r="H13" s="220" t="n"/>
      <c r="I13" s="129" t="inlineStr">
        <is>
          <t>кустарников</t>
        </is>
      </c>
      <c r="J13" s="174">
        <f>SUMIF($D$7:$D$9,"&gt;0",$J$7:$J$9)</f>
        <v/>
      </c>
      <c r="K13" s="128" t="inlineStr">
        <is>
          <t>руб.</t>
        </is>
      </c>
      <c r="L13" s="170" t="n"/>
      <c r="M13" s="75" t="n"/>
      <c r="N13" s="75" t="n"/>
      <c r="AA13" s="115" t="n"/>
    </row>
    <row r="14">
      <c r="A14" s="39" t="inlineStr">
        <is>
          <t>в т.ч.</t>
        </is>
      </c>
      <c r="B14" s="21" t="inlineStr">
        <is>
          <t>из них:</t>
        </is>
      </c>
      <c r="C14" s="93" t="n"/>
      <c r="D14" s="93" t="n"/>
      <c r="E14" s="6" t="n"/>
      <c r="G14" s="201" t="n"/>
      <c r="H14" s="204" t="inlineStr">
        <is>
          <t>за  кв. м .</t>
        </is>
      </c>
      <c r="I14" s="129" t="inlineStr">
        <is>
          <t>трав. покрова</t>
        </is>
      </c>
      <c r="J14" s="174">
        <f>PRODUCT(IF($H$11&gt;0,$H$11,0),Списки!$D$15,$E$3,$H$3)</f>
        <v/>
      </c>
      <c r="K14" s="128" t="inlineStr">
        <is>
          <t>руб.</t>
        </is>
      </c>
      <c r="L14" s="170" t="n"/>
      <c r="M14" s="75" t="n"/>
      <c r="N14" s="75" t="n"/>
      <c r="AA14" s="115" t="n"/>
    </row>
    <row r="15">
      <c r="A15" s="4" t="n"/>
      <c r="B15" s="21" t="inlineStr">
        <is>
          <t>за компенсацию</t>
        </is>
      </c>
      <c r="C15" s="162">
        <f>SUMIF($J$7:$J$9,"&gt;0",$C$7:$C$9)</f>
        <v/>
      </c>
      <c r="D15" s="93">
        <f>SUMIF($J$7:$J$9,"&gt;0",$D$7:$D$9)</f>
        <v/>
      </c>
      <c r="E15" s="6" t="n"/>
      <c r="F15" s="130" t="n"/>
      <c r="G15" s="131" t="n"/>
      <c r="H15" s="132" t="n"/>
      <c r="I15" s="96" t="inlineStr">
        <is>
          <t>Всего</t>
        </is>
      </c>
      <c r="J15" s="174">
        <f>SUM(J12:J14)</f>
        <v/>
      </c>
      <c r="K15" s="128" t="inlineStr">
        <is>
          <t>руб.</t>
        </is>
      </c>
      <c r="L15" s="170" t="n"/>
      <c r="M15" s="75" t="n"/>
      <c r="N15" s="75" t="n"/>
      <c r="AA15" s="115" t="n"/>
    </row>
    <row r="16" ht="13.5" customFormat="1" customHeight="1" s="159">
      <c r="A16" s="4" t="n"/>
      <c r="B16" s="76" t="inlineStr">
        <is>
          <t xml:space="preserve">хвойные </t>
        </is>
      </c>
      <c r="C16" s="97">
        <f>SUMIF($N$7:$N$246,"=1",$M$7:$M$246)</f>
        <v/>
      </c>
      <c r="D16" s="93" t="n"/>
      <c r="E16" s="6" t="n"/>
      <c r="F16" s="115" t="n"/>
      <c r="G16" s="115" t="n"/>
      <c r="H16" s="115" t="n"/>
      <c r="I16" s="115" t="n"/>
      <c r="J16" s="175" t="n"/>
      <c r="K16" s="133" t="n"/>
      <c r="L16" s="170" t="n"/>
      <c r="M16" s="158" t="n"/>
      <c r="N16" s="158" t="n"/>
      <c r="AA16" s="115" t="n"/>
    </row>
    <row r="17">
      <c r="A17" s="4" t="n"/>
      <c r="B17" s="77" t="inlineStr">
        <is>
          <t xml:space="preserve">лиственные I гр. </t>
        </is>
      </c>
      <c r="C17" s="97">
        <f>SUMIF($N$7:$N$246,"=2",$M$7:$M$246)</f>
        <v/>
      </c>
      <c r="D17" s="93" t="n"/>
      <c r="E17" s="8" t="n"/>
      <c r="F17" s="216" t="inlineStr">
        <is>
          <t>Стоимость компенсационного озеленения:</t>
        </is>
      </c>
      <c r="G17" s="217" t="n"/>
      <c r="H17" s="218" t="n"/>
      <c r="I17" s="134" t="inlineStr">
        <is>
          <t>деревья</t>
        </is>
      </c>
      <c r="J17" s="174">
        <f>IF(P17&lt;0,"",P17)</f>
        <v/>
      </c>
      <c r="K17" s="128" t="inlineStr">
        <is>
          <t>руб.</t>
        </is>
      </c>
      <c r="L17" s="170" t="n"/>
      <c r="M17" s="75" t="n"/>
      <c r="N17" s="75" t="n"/>
      <c r="P17" s="115">
        <f>(PRODUCT(IF($C$15&gt;0,$C$15,0),Списки!$D$80,$E$4,$H$4))-L3*(PRODUCT(IF($J$21&gt;0,$J$21,0),Списки!$D$80,$E$4,$H$4))</f>
        <v/>
      </c>
      <c r="AA17" s="115" t="n"/>
    </row>
    <row r="18">
      <c r="A18" s="4" t="n"/>
      <c r="B18" s="77" t="inlineStr">
        <is>
          <t xml:space="preserve">лиственные II гр. </t>
        </is>
      </c>
      <c r="C18" s="97">
        <f>SUMIF($N$7:$N$246,"=3",$M$7:$M$246)</f>
        <v/>
      </c>
      <c r="D18" s="93" t="n"/>
      <c r="E18" s="8" t="n"/>
      <c r="F18" s="135" t="n"/>
      <c r="G18" s="136" t="n"/>
      <c r="H18" s="137" t="n"/>
      <c r="I18" s="134" t="inlineStr">
        <is>
          <t>кустарники</t>
        </is>
      </c>
      <c r="J18" s="174">
        <f>IF(P18&lt;0,"",P18)</f>
        <v/>
      </c>
      <c r="K18" s="128" t="inlineStr">
        <is>
          <t>руб.</t>
        </is>
      </c>
      <c r="L18" s="170" t="n"/>
      <c r="M18" s="75" t="n"/>
      <c r="N18" s="75" t="n"/>
      <c r="P18" s="115">
        <f>(PRODUCT(IF(D15&gt;0,D15,0),Списки!$D$78,$E$4,$H$4))-L3*(PRODUCT(IF($J$22&gt;0,$J$22,0),Списки!$D$78,$E$4,$H$4))</f>
        <v/>
      </c>
      <c r="AA18" s="115" t="n"/>
    </row>
    <row r="19">
      <c r="A19" s="4" t="inlineStr">
        <is>
          <t>в т.ч.</t>
        </is>
      </c>
      <c r="B19" s="77" t="inlineStr">
        <is>
          <t>лиственные III гр.</t>
        </is>
      </c>
      <c r="C19" s="97">
        <f>SUMIF($N$7:$N$246,"=4",$M$7:$M$246)</f>
        <v/>
      </c>
      <c r="D19" s="93" t="n"/>
      <c r="E19" s="8" t="n"/>
      <c r="F19" s="135" t="n"/>
      <c r="G19" s="136" t="n"/>
      <c r="H19" s="137" t="n"/>
      <c r="I19" s="138" t="inlineStr">
        <is>
          <t>трав. покров</t>
        </is>
      </c>
      <c r="J19" s="174">
        <f>IF(P19&lt;0,"",P19)</f>
        <v/>
      </c>
      <c r="K19" s="128" t="inlineStr">
        <is>
          <t>руб.</t>
        </is>
      </c>
      <c r="L19" s="170" t="n"/>
      <c r="M19" s="75" t="n"/>
      <c r="N19" s="75" t="n"/>
      <c r="P19" s="115">
        <f>(PRODUCT(IF($H$11&gt;0,$H$11,0),Списки!$D$79,$E$4,$H$4))-L3*(PRODUCT(IF($J$23&gt;0,$J$23,0),Списки!$D$79,$E$4,$H$4))</f>
        <v/>
      </c>
      <c r="AA19" s="115" t="n"/>
    </row>
    <row r="20">
      <c r="A20" s="4" t="n"/>
      <c r="B20" s="23" t="inlineStr">
        <is>
          <t>без компенсац.</t>
        </is>
      </c>
      <c r="C20" s="93">
        <f>SUMIF($J$7:$J$9,Списки!$J$2,$C$7:$C$9)</f>
        <v/>
      </c>
      <c r="D20" s="93">
        <f>SUMIF($J$7:$J$9,B20,$D$7:$D$9)</f>
        <v/>
      </c>
      <c r="E20" s="8" t="n"/>
      <c r="F20" s="139" t="n"/>
      <c r="G20" s="140" t="n"/>
      <c r="H20" s="141" t="n"/>
      <c r="I20" s="134" t="inlineStr">
        <is>
          <t>Всего</t>
        </is>
      </c>
      <c r="J20" s="174">
        <f>SUM(J17:J19)</f>
        <v/>
      </c>
      <c r="K20" s="128" t="inlineStr">
        <is>
          <t>руб.</t>
        </is>
      </c>
      <c r="L20" s="170" t="n"/>
      <c r="M20" s="75" t="n"/>
      <c r="N20" s="75" t="n"/>
      <c r="AA20" s="115" t="n"/>
    </row>
    <row r="21">
      <c r="A21" s="4" t="n"/>
      <c r="B21" s="21" t="inlineStr">
        <is>
          <t>охр. зона ком.</t>
        </is>
      </c>
      <c r="C21" s="97">
        <f>SUMIF($K$7:$K$9,Списки!$K$2,$C$7:$C$9)</f>
        <v/>
      </c>
      <c r="D21" s="97">
        <f>SUMIF($K$7:$K$9,Списки!$K$2,$D$7:$D$9)</f>
        <v/>
      </c>
      <c r="E21" s="115" t="n"/>
      <c r="F21" s="142" t="inlineStr">
        <is>
          <t xml:space="preserve">     Высаживается по проекту благоустройства:</t>
        </is>
      </c>
      <c r="G21" s="143" t="n"/>
      <c r="H21" s="144" t="n"/>
      <c r="I21" s="96" t="inlineStr">
        <is>
          <t>деревьев</t>
        </is>
      </c>
      <c r="J21" s="124" t="n"/>
      <c r="K21" s="96" t="inlineStr">
        <is>
          <t>шт.</t>
        </is>
      </c>
      <c r="L21" s="170" t="n"/>
      <c r="M21" s="75" t="n"/>
      <c r="N21" s="75" t="n"/>
      <c r="AA21" s="115" t="n"/>
    </row>
    <row r="22">
      <c r="A22" s="4" t="n"/>
      <c r="B22" s="21" t="inlineStr">
        <is>
          <t>аварийное</t>
        </is>
      </c>
      <c r="C22" s="202" t="inlineStr"/>
      <c r="D22" s="97">
        <f>SUMIF($K$7:$K$9,Списки!$K$3,$D$7:$D$9)</f>
        <v/>
      </c>
      <c r="E22" s="9" t="n"/>
      <c r="F22" s="145" t="n"/>
      <c r="G22" s="146" t="n"/>
      <c r="H22" s="147" t="n"/>
      <c r="I22" s="129" t="inlineStr">
        <is>
          <t>кустарников</t>
        </is>
      </c>
      <c r="J22" s="124" t="n"/>
      <c r="K22" s="96" t="inlineStr">
        <is>
          <t>шт.</t>
        </is>
      </c>
      <c r="L22" s="170" t="n"/>
      <c r="M22" s="75" t="n"/>
      <c r="N22" s="75" t="n"/>
      <c r="AA22" s="115" t="n"/>
    </row>
    <row r="23">
      <c r="A23" s="4" t="n"/>
      <c r="B23" s="21" t="inlineStr">
        <is>
          <t>сухостой</t>
        </is>
      </c>
      <c r="C23" s="97" t="inlineStr">
        <is>
          <t>1</t>
        </is>
      </c>
      <c r="D23" s="97">
        <f>SUMIF($K$7:$K$9,Списки!$K$4,$D$7:$D$9)</f>
        <v/>
      </c>
      <c r="E23" s="9" t="n"/>
      <c r="F23" s="148" t="inlineStr">
        <is>
          <t xml:space="preserve">     Создается  по проекту благоустройства:</t>
        </is>
      </c>
      <c r="G23" s="149" t="n"/>
      <c r="H23" s="150" t="n"/>
      <c r="I23" s="151" t="inlineStr">
        <is>
          <t>газонов</t>
        </is>
      </c>
      <c r="J23" s="124" t="n"/>
      <c r="K23" s="96" t="inlineStr">
        <is>
          <t>кв. м.</t>
        </is>
      </c>
      <c r="L23" s="170" t="n"/>
      <c r="M23" s="75" t="n"/>
      <c r="N23" s="75" t="n"/>
      <c r="AA23" s="115" t="n"/>
    </row>
    <row r="24" ht="13.5" customHeight="1">
      <c r="A24" s="4" t="n"/>
      <c r="B24" s="42" t="inlineStr">
        <is>
          <t>неудовлетв.</t>
        </is>
      </c>
      <c r="C24" s="97" t="inlineStr"/>
      <c r="D24" s="97">
        <f>SUMIF($K$7:$K$9,Списки!$K$5,$D$7:$D$9)</f>
        <v/>
      </c>
      <c r="E24" s="30" t="n"/>
      <c r="F24" s="31" t="n"/>
      <c r="G24" s="31" t="n"/>
      <c r="H24" s="32" t="n"/>
      <c r="I24" s="33" t="n"/>
      <c r="J24" s="83" t="n"/>
      <c r="K24" s="34" t="n"/>
      <c r="L24" s="170" t="n"/>
      <c r="M24" s="75" t="n"/>
      <c r="N24" s="75" t="n"/>
      <c r="AA24" s="115" t="n"/>
    </row>
    <row r="25" ht="30.75" customHeight="1">
      <c r="A25" s="42" t="n"/>
      <c r="B25" s="25" t="inlineStr">
        <is>
          <t>поросль и само-
сев листв. пород</t>
        </is>
      </c>
      <c r="C25" s="97">
        <f>PRODUCT(SUM((SUMIF($K$7:$K$9,Списки!$K$6,$C$7:$C$9)),(SUMIF($K$7:$K$9,Списки!$K$7,$C$7:$C$9))))</f>
        <v/>
      </c>
      <c r="D25" s="97">
        <f>PRODUCT(SUM((SUMIF($K$7:$K$9,Списки!$K$6,$D$7:$D$9)),(SUMIF($K$7:$K$9,Списки!$K$7,$D$7:$D$9))))</f>
        <v/>
      </c>
      <c r="E25" s="9" t="n"/>
      <c r="F25" s="163" t="inlineStr">
        <is>
          <t>Пень</t>
        </is>
      </c>
      <c r="G25" s="160">
        <f>SUMIF(B7:B9,F25,H7:H9)</f>
        <v/>
      </c>
      <c r="H25" s="10" t="n"/>
      <c r="I25" s="7" t="n"/>
      <c r="K25" s="35" t="n"/>
      <c r="L25" s="170" t="n"/>
      <c r="M25" s="75" t="n"/>
      <c r="N25" s="75" t="n"/>
      <c r="AA25" s="22" t="n"/>
    </row>
    <row r="26" ht="13.5" customHeight="1">
      <c r="A26" s="190" t="n"/>
      <c r="B26" s="96" t="inlineStr">
        <is>
          <t>5-ти м зона</t>
        </is>
      </c>
      <c r="C26" s="97">
        <f>SUMIF($K$7:$K$9,Списки!$K$8,$C$7:$C$9)</f>
        <v/>
      </c>
      <c r="D26" s="97">
        <f>SUMIF($K$7:$K$9,Списки!$K$8,$D$7:$D$9)</f>
        <v/>
      </c>
      <c r="E26" s="9" t="n"/>
      <c r="F26" s="164" t="inlineStr">
        <is>
          <t>Остолоп</t>
        </is>
      </c>
      <c r="G26" s="161">
        <f>SUMIF(B7:B9,F26,H7:H9)</f>
        <v/>
      </c>
      <c r="H26" s="36" t="n"/>
      <c r="I26" s="37" t="n"/>
      <c r="J26" s="84" t="n"/>
      <c r="K26" s="38" t="n"/>
      <c r="L26" s="170" t="n"/>
      <c r="M26" s="75" t="n"/>
      <c r="N26" s="75" t="n"/>
      <c r="AA26" s="22" t="n"/>
    </row>
    <row r="27">
      <c r="A27" s="22" t="n"/>
      <c r="B27" s="22" t="n"/>
      <c r="C27" s="22" t="n"/>
      <c r="D27" s="194" t="inlineStr">
        <is>
          <t xml:space="preserve">Зам директора:       </t>
        </is>
      </c>
      <c r="E27" s="194" t="n"/>
      <c r="F27" s="194" t="n"/>
      <c r="G27" s="194" t="n"/>
      <c r="H27" s="222" t="inlineStr">
        <is>
          <t>Маршавин В.А.</t>
        </is>
      </c>
      <c r="I27" s="223" t="n"/>
      <c r="J27" s="65" t="n"/>
      <c r="K27" s="15" t="n"/>
      <c r="L27" s="170" t="n"/>
      <c r="M27" s="75" t="n"/>
      <c r="N27" s="75" t="n"/>
      <c r="AA27" s="22" t="n"/>
    </row>
    <row r="28">
      <c r="A28" s="22" t="n"/>
      <c r="B28" s="22" t="n"/>
      <c r="C28" s="22" t="n"/>
      <c r="D28" s="224" t="inlineStr">
        <is>
          <t>Специалист:</t>
        </is>
      </c>
      <c r="E28" s="213" t="n"/>
      <c r="F28" s="213" t="n"/>
      <c r="G28" s="213" t="n"/>
      <c r="H28" s="221" t="inlineStr">
        <is>
          <t>Щебланов В.В.</t>
        </is>
      </c>
      <c r="I28" s="215" t="n"/>
      <c r="J28" s="65" t="n"/>
      <c r="K28" s="15" t="n"/>
      <c r="L28" s="170" t="n"/>
      <c r="M28" s="75" t="n"/>
      <c r="N28" s="75" t="n"/>
      <c r="AA28" s="22" t="n"/>
    </row>
    <row r="29">
      <c r="A29" s="11" t="n"/>
      <c r="B29" s="22" t="n"/>
      <c r="C29" s="78" t="n"/>
      <c r="D29" s="212" t="inlineStr">
        <is>
          <t>Дата 11.10.2023 г.</t>
        </is>
      </c>
      <c r="E29" s="213" t="n"/>
      <c r="F29" s="213" t="n"/>
      <c r="G29" s="181" t="n"/>
      <c r="H29" s="12" t="n"/>
      <c r="I29" s="79" t="n"/>
      <c r="J29" s="85" t="n"/>
      <c r="K29" s="15" t="n"/>
      <c r="L29" s="170" t="n"/>
      <c r="M29" s="75" t="n"/>
      <c r="N29" s="75" t="n"/>
    </row>
    <row r="30">
      <c r="A30" s="11" t="n"/>
      <c r="B30" s="22" t="n"/>
      <c r="C30" s="22" t="n"/>
      <c r="D30" s="22" t="n"/>
      <c r="E30" s="22" t="n"/>
      <c r="F30" s="22" t="n"/>
      <c r="G30" s="22" t="n"/>
      <c r="H30" s="22" t="n"/>
      <c r="I30" s="22" t="n"/>
      <c r="J30" s="179" t="n"/>
      <c r="K30" s="15" t="n"/>
      <c r="L30" s="170" t="n"/>
      <c r="M30" s="75" t="n"/>
      <c r="N30" s="75" t="n"/>
    </row>
    <row r="31">
      <c r="A31" s="11" t="n"/>
      <c r="B31" s="22" t="n"/>
      <c r="C31" s="11" t="n"/>
      <c r="D31" s="22" t="n"/>
      <c r="E31" s="22" t="n"/>
      <c r="F31" s="22" t="n"/>
      <c r="G31" s="22" t="n"/>
      <c r="H31" s="22" t="n"/>
      <c r="I31" s="22" t="n"/>
      <c r="J31" s="179" t="n"/>
      <c r="K31" s="15" t="n"/>
      <c r="L31" s="170" t="n"/>
      <c r="M31" s="75" t="n"/>
      <c r="N31" s="75" t="n"/>
    </row>
    <row r="32" ht="25.5" customHeight="1">
      <c r="A32" s="11" t="n"/>
      <c r="B32" s="80" t="inlineStr">
        <is>
          <t>размер кома</t>
        </is>
      </c>
      <c r="C32" s="80" t="inlineStr">
        <is>
          <t>Кол-во дер.</t>
        </is>
      </c>
      <c r="D32" s="80" t="inlineStr">
        <is>
          <t>Кол-во куст.</t>
        </is>
      </c>
      <c r="E32" s="13" t="n"/>
      <c r="F32" s="22" t="n"/>
      <c r="G32" s="14" t="n"/>
      <c r="H32" s="12" t="n"/>
      <c r="I32" s="16" t="n"/>
      <c r="J32" s="179" t="n"/>
      <c r="K32" s="15" t="n"/>
      <c r="L32" s="170" t="n"/>
      <c r="M32" s="75" t="n"/>
      <c r="N32" s="75" t="n"/>
    </row>
    <row r="33">
      <c r="A33" s="11" t="n"/>
      <c r="B33" s="167" t="inlineStr">
        <is>
          <t>0,5х0,5х0,4</t>
        </is>
      </c>
      <c r="C33" s="81">
        <f>SUMIF($K$7:$K$9,"0,5х0,5х0,4",$C$7:$C$9)</f>
        <v/>
      </c>
      <c r="D33" s="81">
        <f>SUMIF($K$7:$K$9,"0,5х0,5х0,4",$D$7:$D$9)</f>
        <v/>
      </c>
      <c r="E33" s="13" t="n"/>
      <c r="H33" s="28" t="n"/>
      <c r="L33" s="170" t="n"/>
      <c r="M33" s="75" t="n"/>
      <c r="N33" s="75" t="n"/>
    </row>
    <row r="34">
      <c r="A34" s="11" t="n"/>
      <c r="B34" s="167" t="inlineStr">
        <is>
          <t>0,8х0,8х0,6</t>
        </is>
      </c>
      <c r="C34" s="81">
        <f>SUMIF($K$7:$K$9,"0,8х0,8х0,6",$C$7:$C$9)</f>
        <v/>
      </c>
      <c r="D34" s="81">
        <f>SUMIF($K$7:$K$9,"0,8х0,8х0,6",$D$7:$D$9)</f>
        <v/>
      </c>
      <c r="H34" s="28" t="n"/>
      <c r="L34" s="170" t="n"/>
      <c r="M34" s="75" t="n"/>
      <c r="N34" s="75" t="n"/>
    </row>
    <row r="35">
      <c r="A35" s="11" t="n"/>
      <c r="B35" s="167" t="inlineStr">
        <is>
          <t>1,0х1,0х0,6</t>
        </is>
      </c>
      <c r="C35" s="81">
        <f>SUMIF($K$7:$K$9,"1,0х1,0х0,6",$C$7:$C$9)</f>
        <v/>
      </c>
      <c r="D35" s="81">
        <f>SUMIF($K$7:$K$9,"1,0х1,0х0,6",$D$7:$D$9)</f>
        <v/>
      </c>
      <c r="L35" s="170" t="n"/>
      <c r="M35" s="75" t="n"/>
      <c r="N35" s="75" t="n"/>
    </row>
    <row r="36">
      <c r="A36" s="11" t="n"/>
      <c r="B36" s="167" t="inlineStr">
        <is>
          <t>1,3х1,3х0,6</t>
        </is>
      </c>
      <c r="C36" s="81">
        <f>SUMIF($K$7:$K$9,"1,3х1,3х0,6",$C$7:$C$9)</f>
        <v/>
      </c>
      <c r="D36" s="81">
        <f>SUMIF($K$7:$K$9,"1,3х1,3х0,6",$D$7:$D$9)</f>
        <v/>
      </c>
      <c r="L36" s="170" t="n"/>
      <c r="M36" s="75" t="n"/>
      <c r="N36" s="75" t="n"/>
    </row>
    <row r="37">
      <c r="B37" s="167" t="inlineStr">
        <is>
          <t>1,5х1,5х0,65</t>
        </is>
      </c>
      <c r="C37" s="81">
        <f>SUMIF($K$7:$K$9,"1,5х1,5х0,65",$C$7:$C$9)</f>
        <v/>
      </c>
      <c r="D37" s="81">
        <f>SUMIF($K$7:$K$9,"1,5х1,5х0,65",$D$7:$D$9)</f>
        <v/>
      </c>
      <c r="L37" s="170" t="n"/>
      <c r="M37" s="75" t="n"/>
      <c r="N37" s="75" t="n"/>
    </row>
    <row r="38">
      <c r="B38" s="167" t="inlineStr">
        <is>
          <t>1,7х1,7х0,65</t>
        </is>
      </c>
      <c r="C38" s="81">
        <f>SUMIF($K$7:$K$9,"1,7х1,7х0,65",$C$7:$C$9)</f>
        <v/>
      </c>
      <c r="D38" s="81">
        <f>SUMIF($K$7:$K$9,"1,7х1,7х0,65",$D$7:$D$9)</f>
        <v/>
      </c>
      <c r="L38" s="170" t="n"/>
      <c r="M38" s="75" t="n"/>
      <c r="N38" s="75" t="n"/>
    </row>
    <row r="39">
      <c r="B39" s="167" t="inlineStr">
        <is>
          <t>2,0х2,0х0,8</t>
        </is>
      </c>
      <c r="C39" s="81">
        <f>SUMIF($K$7:$K$9,"2,0х2,0х0,8",$C$7:$C$9)</f>
        <v/>
      </c>
      <c r="D39" s="81">
        <f>SUMIF($K$7:$K$9,"2,0х2,0х0,8",$D$7:$D$9)</f>
        <v/>
      </c>
      <c r="L39" s="170" t="n"/>
      <c r="M39" s="75" t="n"/>
      <c r="N39" s="75" t="n"/>
    </row>
    <row r="40">
      <c r="B40" s="167" t="inlineStr">
        <is>
          <t>2,4х2,4х0,95</t>
        </is>
      </c>
      <c r="C40" s="81">
        <f>SUMIF($K$7:$K$9,"2,4х2,4х0,95",$C$7:$C$9)</f>
        <v/>
      </c>
      <c r="D40" s="81">
        <f>SUMIF($K$7:$K$9,"2,4х2,4х0,95",$D$7:$D$42)</f>
        <v/>
      </c>
      <c r="L40" s="170" t="n"/>
      <c r="M40" s="75" t="n"/>
      <c r="N40" s="75" t="n"/>
    </row>
    <row r="41">
      <c r="B41" s="80" t="inlineStr">
        <is>
          <t>Итого:</t>
        </is>
      </c>
      <c r="C41" s="81">
        <f>SUM(C33:C40)</f>
        <v/>
      </c>
      <c r="D41" s="81">
        <f>SUM(D33:D40)</f>
        <v/>
      </c>
      <c r="L41" s="170" t="n"/>
      <c r="M41" s="75" t="n"/>
      <c r="N41" s="75" t="n"/>
    </row>
    <row r="42">
      <c r="L42" s="170" t="n"/>
      <c r="M42" s="75" t="n"/>
      <c r="N42" s="75" t="n"/>
    </row>
    <row r="43">
      <c r="L43" s="170" t="n"/>
      <c r="M43" s="75" t="n"/>
      <c r="N43" s="75" t="n"/>
    </row>
    <row r="44">
      <c r="L44" s="170" t="n"/>
      <c r="M44" s="75" t="n"/>
      <c r="N44" s="75" t="n"/>
    </row>
    <row r="45">
      <c r="L45" s="170" t="n"/>
      <c r="M45" s="75" t="n"/>
      <c r="N45" s="75" t="n"/>
    </row>
    <row r="46">
      <c r="L46" s="170" t="n"/>
      <c r="M46" s="75" t="n"/>
      <c r="N46" s="75" t="n"/>
    </row>
    <row r="47">
      <c r="B47" s="75" t="n"/>
      <c r="L47" s="170" t="n"/>
      <c r="M47" s="75" t="n"/>
      <c r="N47" s="75" t="n"/>
    </row>
    <row r="48">
      <c r="L48" s="170" t="n"/>
      <c r="M48" s="75" t="n"/>
      <c r="N48" s="75" t="n"/>
    </row>
    <row r="49">
      <c r="L49" s="170" t="n"/>
      <c r="M49" s="75" t="n"/>
      <c r="N49" s="75" t="n"/>
    </row>
    <row r="50">
      <c r="L50" s="170" t="n"/>
      <c r="M50" s="75" t="n"/>
      <c r="N50" s="75" t="n"/>
    </row>
    <row r="51">
      <c r="L51" s="170" t="n"/>
      <c r="M51" s="75" t="n"/>
      <c r="N51" s="75" t="n"/>
    </row>
    <row r="52">
      <c r="L52" s="170" t="n"/>
      <c r="M52" s="75" t="n"/>
      <c r="N52" s="75" t="n"/>
    </row>
    <row r="53">
      <c r="L53" s="170" t="n"/>
      <c r="M53" s="75" t="n"/>
      <c r="N53" s="75" t="n"/>
    </row>
    <row r="54">
      <c r="L54" s="170" t="n"/>
      <c r="M54" s="75" t="n"/>
      <c r="N54" s="75" t="n"/>
    </row>
    <row r="55">
      <c r="L55" s="170" t="n"/>
      <c r="M55" s="75" t="n"/>
      <c r="N55" s="75" t="n"/>
    </row>
    <row r="56">
      <c r="L56" s="170" t="n"/>
      <c r="M56" s="75" t="n"/>
      <c r="N56" s="75" t="n"/>
    </row>
    <row r="57">
      <c r="L57" s="170" t="n"/>
      <c r="M57" s="75" t="n"/>
      <c r="N57" s="75" t="n"/>
    </row>
    <row r="58">
      <c r="L58" s="170" t="n"/>
      <c r="M58" s="75" t="n"/>
      <c r="N58" s="75" t="n"/>
    </row>
    <row r="59">
      <c r="L59" s="170" t="n"/>
      <c r="M59" s="75" t="n"/>
      <c r="N59" s="75" t="n"/>
    </row>
    <row r="60">
      <c r="L60" s="170" t="n"/>
      <c r="M60" s="75" t="n"/>
      <c r="N60" s="75" t="n"/>
    </row>
    <row r="61">
      <c r="L61" s="170" t="n"/>
      <c r="M61" s="75" t="n"/>
      <c r="N61" s="75" t="n"/>
    </row>
    <row r="62">
      <c r="L62" s="170" t="n"/>
      <c r="M62" s="75" t="n"/>
      <c r="N62" s="75" t="n"/>
    </row>
    <row r="63">
      <c r="L63" s="170" t="n"/>
      <c r="M63" s="75" t="n"/>
      <c r="N63" s="75" t="n"/>
    </row>
    <row r="64">
      <c r="L64" s="170" t="n"/>
      <c r="M64" s="75" t="n"/>
      <c r="N64" s="75" t="n"/>
    </row>
    <row r="65">
      <c r="L65" s="170" t="n"/>
      <c r="M65" s="75" t="n"/>
      <c r="N65" s="75" t="n"/>
    </row>
    <row r="66">
      <c r="L66" s="170" t="n"/>
      <c r="M66" s="75" t="n"/>
      <c r="N66" s="75" t="n"/>
    </row>
    <row r="67">
      <c r="L67" s="170" t="n"/>
      <c r="M67" s="75" t="n"/>
      <c r="N67" s="75" t="n"/>
    </row>
    <row r="68">
      <c r="L68" s="170" t="n"/>
      <c r="M68" s="75" t="n"/>
      <c r="N68" s="75" t="n"/>
    </row>
    <row r="69">
      <c r="L69" s="170" t="n"/>
      <c r="M69" s="75" t="n"/>
      <c r="N69" s="75" t="n"/>
    </row>
    <row r="70">
      <c r="L70" s="170" t="n"/>
      <c r="M70" s="75" t="n"/>
      <c r="N70" s="75" t="n"/>
    </row>
    <row r="71">
      <c r="L71" s="170" t="n"/>
      <c r="M71" s="75" t="n"/>
      <c r="N71" s="75" t="n"/>
    </row>
    <row r="72">
      <c r="L72" s="170" t="n"/>
      <c r="M72" s="75" t="n"/>
      <c r="N72" s="75" t="n"/>
    </row>
    <row r="73">
      <c r="L73" s="170" t="n"/>
      <c r="M73" s="75" t="n"/>
      <c r="N73" s="75" t="n"/>
    </row>
    <row r="74">
      <c r="L74" s="170" t="n"/>
      <c r="M74" s="75" t="n"/>
      <c r="N74" s="75" t="n"/>
    </row>
    <row r="75">
      <c r="L75" s="170" t="n"/>
      <c r="M75" s="75" t="n"/>
      <c r="N75" s="75" t="n"/>
    </row>
    <row r="76">
      <c r="L76" s="170" t="n"/>
      <c r="M76" s="75" t="n"/>
      <c r="N76" s="75" t="n"/>
    </row>
    <row r="77">
      <c r="L77" s="170" t="n"/>
      <c r="M77" s="75" t="n"/>
      <c r="N77" s="75" t="n"/>
    </row>
    <row r="78">
      <c r="L78" s="170" t="n"/>
      <c r="M78" s="75" t="n"/>
      <c r="N78" s="75" t="n"/>
    </row>
    <row r="79">
      <c r="L79" s="170" t="n"/>
      <c r="M79" s="75" t="n"/>
      <c r="N79" s="75" t="n"/>
    </row>
    <row r="80">
      <c r="L80" s="170" t="n"/>
      <c r="M80" s="75" t="n"/>
      <c r="N80" s="75" t="n"/>
    </row>
    <row r="81">
      <c r="L81" s="170" t="n"/>
      <c r="M81" s="75" t="n"/>
      <c r="N81" s="75" t="n"/>
    </row>
    <row r="82">
      <c r="L82" s="170" t="n"/>
      <c r="M82" s="75" t="n"/>
      <c r="N82" s="75" t="n"/>
    </row>
    <row r="83">
      <c r="L83" s="170" t="n"/>
      <c r="M83" s="75" t="n"/>
      <c r="N83" s="75" t="n"/>
    </row>
    <row r="84">
      <c r="L84" s="170" t="n"/>
      <c r="M84" s="75" t="n"/>
      <c r="N84" s="75" t="n"/>
    </row>
    <row r="85">
      <c r="L85" s="170" t="n"/>
      <c r="M85" s="75" t="n"/>
      <c r="N85" s="75" t="n"/>
    </row>
    <row r="86">
      <c r="L86" s="170" t="n"/>
      <c r="M86" s="75" t="n"/>
      <c r="N86" s="75" t="n"/>
    </row>
    <row r="87">
      <c r="L87" s="170" t="n"/>
      <c r="M87" s="75" t="n"/>
      <c r="N87" s="75" t="n"/>
    </row>
    <row r="88">
      <c r="L88" s="170" t="n"/>
      <c r="M88" s="75" t="n"/>
      <c r="N88" s="75" t="n"/>
    </row>
    <row r="89">
      <c r="L89" s="170" t="n"/>
      <c r="M89" s="75" t="n"/>
      <c r="N89" s="75" t="n"/>
    </row>
    <row r="90">
      <c r="L90" s="170" t="n"/>
      <c r="M90" s="75" t="n"/>
      <c r="N90" s="75" t="n"/>
    </row>
    <row r="91">
      <c r="L91" s="170" t="n"/>
      <c r="M91" s="75" t="n"/>
      <c r="N91" s="75" t="n"/>
    </row>
    <row r="92">
      <c r="L92" s="170" t="n"/>
      <c r="M92" s="75" t="n"/>
      <c r="N92" s="75" t="n"/>
    </row>
    <row r="93">
      <c r="L93" s="170" t="n"/>
      <c r="M93" s="75" t="n"/>
      <c r="N93" s="75" t="n"/>
    </row>
    <row r="94">
      <c r="L94" s="170" t="n"/>
      <c r="M94" s="75" t="n"/>
      <c r="N94" s="75" t="n"/>
    </row>
    <row r="95">
      <c r="L95" s="170" t="n"/>
      <c r="M95" s="75" t="n"/>
      <c r="N95" s="75" t="n"/>
    </row>
    <row r="96">
      <c r="L96" s="170" t="n"/>
      <c r="M96" s="75" t="n"/>
      <c r="N96" s="75" t="n"/>
    </row>
    <row r="97">
      <c r="L97" s="170" t="n"/>
      <c r="M97" s="75" t="n"/>
      <c r="N97" s="75" t="n"/>
    </row>
    <row r="98">
      <c r="L98" s="170" t="n"/>
      <c r="M98" s="75" t="n"/>
      <c r="N98" s="75" t="n"/>
    </row>
    <row r="99">
      <c r="L99" s="170" t="n"/>
      <c r="M99" s="75" t="n"/>
      <c r="N99" s="75" t="n"/>
    </row>
    <row r="100">
      <c r="L100" s="170" t="n"/>
      <c r="M100" s="75" t="n"/>
      <c r="N100" s="75" t="n"/>
    </row>
    <row r="101">
      <c r="L101" s="170" t="n"/>
      <c r="M101" s="75" t="n"/>
      <c r="N101" s="75" t="n"/>
    </row>
    <row r="102">
      <c r="L102" s="170" t="n"/>
      <c r="M102" s="75" t="n"/>
      <c r="N102" s="75" t="n"/>
    </row>
    <row r="103">
      <c r="L103" s="170" t="n"/>
      <c r="M103" s="75" t="n"/>
      <c r="N103" s="75" t="n"/>
    </row>
    <row r="104">
      <c r="L104" s="170" t="n"/>
      <c r="M104" s="75" t="n"/>
      <c r="N104" s="75" t="n"/>
    </row>
    <row r="105">
      <c r="L105" s="170" t="n"/>
      <c r="M105" s="75" t="n"/>
      <c r="N105" s="75" t="n"/>
    </row>
    <row r="106">
      <c r="L106" s="170" t="n"/>
      <c r="M106" s="75" t="n"/>
      <c r="N106" s="75" t="n"/>
    </row>
    <row r="107">
      <c r="L107" s="170" t="n"/>
      <c r="M107" s="75" t="n"/>
      <c r="N107" s="75" t="n"/>
    </row>
    <row r="108">
      <c r="L108" s="170" t="n"/>
      <c r="M108" s="75" t="n"/>
      <c r="N108" s="75" t="n"/>
    </row>
    <row r="109">
      <c r="L109" s="170" t="n"/>
      <c r="M109" s="75" t="n"/>
      <c r="N109" s="75" t="n"/>
    </row>
    <row r="110">
      <c r="L110" s="170" t="n"/>
      <c r="M110" s="75" t="n"/>
      <c r="N110" s="75" t="n"/>
    </row>
    <row r="111">
      <c r="L111" s="170" t="n"/>
      <c r="M111" s="75" t="n"/>
      <c r="N111" s="75" t="n"/>
    </row>
    <row r="112">
      <c r="L112" s="170" t="n"/>
      <c r="M112" s="75" t="n"/>
      <c r="N112" s="75" t="n"/>
    </row>
    <row r="113">
      <c r="L113" s="170" t="n"/>
      <c r="M113" s="75" t="n"/>
      <c r="N113" s="75" t="n"/>
    </row>
    <row r="114">
      <c r="L114" s="170" t="n"/>
      <c r="M114" s="75" t="n"/>
      <c r="N114" s="75" t="n"/>
    </row>
    <row r="115">
      <c r="L115" s="170" t="n"/>
      <c r="M115" s="75" t="n"/>
      <c r="N115" s="75" t="n"/>
    </row>
    <row r="116">
      <c r="L116" s="170" t="n"/>
      <c r="M116" s="75" t="n"/>
      <c r="N116" s="75" t="n"/>
    </row>
    <row r="117">
      <c r="L117" s="170" t="n"/>
      <c r="M117" s="75" t="n"/>
      <c r="N117" s="75" t="n"/>
    </row>
    <row r="118">
      <c r="L118" s="170" t="n"/>
      <c r="M118" s="75" t="n"/>
      <c r="N118" s="75" t="n"/>
    </row>
    <row r="119">
      <c r="L119" s="170" t="n"/>
      <c r="M119" s="75" t="n"/>
      <c r="N119" s="75" t="n"/>
    </row>
    <row r="120">
      <c r="L120" s="170" t="n"/>
      <c r="M120" s="75" t="n"/>
      <c r="N120" s="75" t="n"/>
    </row>
    <row r="121">
      <c r="L121" s="170" t="n"/>
      <c r="M121" s="75" t="n"/>
      <c r="N121" s="75" t="n"/>
    </row>
    <row r="122">
      <c r="L122" s="170" t="n"/>
      <c r="M122" s="75" t="n"/>
      <c r="N122" s="75" t="n"/>
    </row>
    <row r="123">
      <c r="L123" s="170" t="n"/>
      <c r="M123" s="75" t="n"/>
      <c r="N123" s="75" t="n"/>
    </row>
    <row r="124">
      <c r="L124" s="170" t="n"/>
      <c r="M124" s="75" t="n"/>
      <c r="N124" s="75" t="n"/>
    </row>
    <row r="125">
      <c r="L125" s="170" t="n"/>
      <c r="M125" s="75" t="n"/>
      <c r="N125" s="75" t="n"/>
    </row>
    <row r="126">
      <c r="L126" s="170" t="n"/>
      <c r="M126" s="75" t="n"/>
      <c r="N126" s="75" t="n"/>
    </row>
    <row r="127">
      <c r="L127" s="170" t="n"/>
      <c r="M127" s="75" t="n"/>
      <c r="N127" s="75" t="n"/>
    </row>
    <row r="128">
      <c r="L128" s="170" t="n"/>
      <c r="M128" s="75" t="n"/>
      <c r="N128" s="75" t="n"/>
    </row>
    <row r="129">
      <c r="L129" s="170" t="n"/>
      <c r="M129" s="75" t="n"/>
      <c r="N129" s="75" t="n"/>
    </row>
    <row r="130">
      <c r="L130" s="170" t="n"/>
      <c r="M130" s="75" t="n"/>
      <c r="N130" s="75" t="n"/>
    </row>
    <row r="131">
      <c r="L131" s="170" t="n"/>
      <c r="M131" s="75" t="n"/>
      <c r="N131" s="75" t="n"/>
    </row>
    <row r="132">
      <c r="L132" s="170" t="n"/>
      <c r="M132" s="75" t="n"/>
      <c r="N132" s="75" t="n"/>
    </row>
    <row r="133">
      <c r="L133" s="170" t="n"/>
      <c r="M133" s="75" t="n"/>
      <c r="N133" s="75" t="n"/>
    </row>
    <row r="134">
      <c r="L134" s="170" t="n"/>
      <c r="M134" s="75" t="n"/>
      <c r="N134" s="75" t="n"/>
    </row>
    <row r="135">
      <c r="L135" s="170" t="n"/>
      <c r="M135" s="75" t="n"/>
      <c r="N135" s="75" t="n"/>
    </row>
    <row r="136">
      <c r="L136" s="170" t="n"/>
      <c r="M136" s="75" t="n"/>
      <c r="N136" s="75" t="n"/>
    </row>
    <row r="137">
      <c r="L137" s="170" t="n"/>
      <c r="M137" s="75" t="n"/>
      <c r="N137" s="75" t="n"/>
    </row>
    <row r="138">
      <c r="L138" s="170" t="n"/>
      <c r="M138" s="75" t="n"/>
      <c r="N138" s="75" t="n"/>
    </row>
    <row r="139">
      <c r="L139" s="170" t="n"/>
      <c r="M139" s="75" t="n"/>
      <c r="N139" s="75" t="n"/>
    </row>
    <row r="140">
      <c r="L140" s="170" t="n"/>
      <c r="M140" s="75" t="n"/>
      <c r="N140" s="75" t="n"/>
    </row>
    <row r="141">
      <c r="L141" s="170" t="n"/>
      <c r="M141" s="75" t="n"/>
      <c r="N141" s="75" t="n"/>
    </row>
    <row r="142">
      <c r="L142" s="170" t="n"/>
      <c r="M142" s="75" t="n"/>
      <c r="N142" s="75" t="n"/>
    </row>
    <row r="143">
      <c r="L143" s="170" t="n"/>
      <c r="M143" s="75" t="n"/>
      <c r="N143" s="75" t="n"/>
    </row>
    <row r="144">
      <c r="L144" s="170" t="n"/>
      <c r="M144" s="75" t="n"/>
      <c r="N144" s="75" t="n"/>
    </row>
    <row r="145">
      <c r="L145" s="170" t="n"/>
      <c r="M145" s="75" t="n"/>
      <c r="N145" s="75" t="n"/>
    </row>
    <row r="146">
      <c r="L146" s="170" t="n"/>
      <c r="M146" s="75" t="n"/>
      <c r="N146" s="75" t="n"/>
    </row>
    <row r="147">
      <c r="L147" s="170" t="n"/>
      <c r="M147" s="75" t="n"/>
      <c r="N147" s="75" t="n"/>
    </row>
    <row r="148">
      <c r="L148" s="170" t="n"/>
      <c r="M148" s="75" t="n"/>
      <c r="N148" s="75" t="n"/>
    </row>
    <row r="149">
      <c r="L149" s="170" t="n"/>
      <c r="M149" s="75" t="n"/>
      <c r="N149" s="75" t="n"/>
    </row>
    <row r="150">
      <c r="L150" s="170" t="n"/>
      <c r="M150" s="75" t="n"/>
      <c r="N150" s="75" t="n"/>
    </row>
    <row r="151">
      <c r="L151" s="170" t="n"/>
      <c r="M151" s="75" t="n"/>
      <c r="N151" s="75" t="n"/>
    </row>
    <row r="152">
      <c r="L152" s="170" t="n"/>
      <c r="M152" s="75" t="n"/>
      <c r="N152" s="75" t="n"/>
    </row>
    <row r="153">
      <c r="L153" s="170" t="n"/>
      <c r="M153" s="75" t="n"/>
      <c r="N153" s="75" t="n"/>
    </row>
    <row r="154">
      <c r="L154" s="170" t="n"/>
      <c r="M154" s="75" t="n"/>
      <c r="N154" s="75" t="n"/>
    </row>
    <row r="155">
      <c r="L155" s="170" t="n"/>
      <c r="M155" s="75" t="n"/>
      <c r="N155" s="75" t="n"/>
    </row>
    <row r="156">
      <c r="L156" s="170" t="n"/>
      <c r="M156" s="75" t="n"/>
      <c r="N156" s="75" t="n"/>
    </row>
    <row r="157">
      <c r="L157" s="170" t="n"/>
      <c r="M157" s="75" t="n"/>
      <c r="N157" s="75" t="n"/>
    </row>
    <row r="158">
      <c r="L158" s="170" t="n"/>
      <c r="M158" s="75" t="n"/>
      <c r="N158" s="75" t="n"/>
    </row>
    <row r="159">
      <c r="L159" s="170" t="n"/>
      <c r="M159" s="75" t="n"/>
      <c r="N159" s="75" t="n"/>
    </row>
    <row r="160">
      <c r="L160" s="170" t="n"/>
      <c r="M160" s="75" t="n"/>
      <c r="N160" s="75" t="n"/>
    </row>
    <row r="161">
      <c r="L161" s="170" t="n"/>
      <c r="M161" s="75" t="n"/>
      <c r="N161" s="75" t="n"/>
    </row>
    <row r="162">
      <c r="L162" s="170" t="n"/>
      <c r="M162" s="75" t="n"/>
      <c r="N162" s="75" t="n"/>
    </row>
    <row r="163">
      <c r="L163" s="170" t="n"/>
      <c r="M163" s="75" t="n"/>
      <c r="N163" s="75" t="n"/>
    </row>
    <row r="164">
      <c r="L164" s="170" t="n"/>
      <c r="M164" s="75" t="n"/>
      <c r="N164" s="75" t="n"/>
    </row>
    <row r="165">
      <c r="L165" s="170" t="n"/>
      <c r="M165" s="75" t="n"/>
      <c r="N165" s="75" t="n"/>
    </row>
    <row r="166">
      <c r="L166" s="170" t="n"/>
      <c r="M166" s="75" t="n"/>
      <c r="N166" s="75" t="n"/>
    </row>
    <row r="167">
      <c r="L167" s="170" t="n"/>
      <c r="M167" s="75" t="n"/>
      <c r="N167" s="75" t="n"/>
    </row>
    <row r="168">
      <c r="L168" s="170" t="n"/>
      <c r="M168" s="75" t="n"/>
      <c r="N168" s="75" t="n"/>
    </row>
    <row r="169">
      <c r="L169" s="170" t="n"/>
      <c r="M169" s="75" t="n"/>
      <c r="N169" s="75" t="n"/>
    </row>
    <row r="170">
      <c r="L170" s="170" t="n"/>
      <c r="M170" s="75" t="n"/>
      <c r="N170" s="75" t="n"/>
    </row>
    <row r="171">
      <c r="L171" s="170" t="n"/>
      <c r="M171" s="75" t="n"/>
      <c r="N171" s="75" t="n"/>
    </row>
    <row r="172">
      <c r="L172" s="170" t="n"/>
      <c r="M172" s="75" t="n"/>
      <c r="N172" s="75" t="n"/>
    </row>
    <row r="173">
      <c r="L173" s="170" t="n"/>
      <c r="M173" s="75" t="n"/>
      <c r="N173" s="75" t="n"/>
    </row>
    <row r="174">
      <c r="L174" s="170" t="n"/>
      <c r="M174" s="75" t="n"/>
      <c r="N174" s="75" t="n"/>
    </row>
    <row r="175">
      <c r="L175" s="170" t="n"/>
      <c r="M175" s="75" t="n"/>
      <c r="N175" s="75" t="n"/>
    </row>
    <row r="176">
      <c r="L176" s="170" t="n"/>
      <c r="M176" s="75" t="n"/>
      <c r="N176" s="75" t="n"/>
    </row>
    <row r="177">
      <c r="L177" s="170" t="n"/>
      <c r="M177" s="75" t="n"/>
      <c r="N177" s="75" t="n"/>
    </row>
    <row r="178">
      <c r="L178" s="170" t="n"/>
      <c r="M178" s="75" t="n"/>
      <c r="N178" s="75" t="n"/>
    </row>
    <row r="179">
      <c r="L179" s="170" t="n"/>
      <c r="M179" s="75" t="n"/>
      <c r="N179" s="75" t="n"/>
    </row>
    <row r="180">
      <c r="L180" s="170" t="n"/>
      <c r="M180" s="75" t="n"/>
      <c r="N180" s="75" t="n"/>
    </row>
    <row r="181">
      <c r="L181" s="170" t="n"/>
      <c r="M181" s="75" t="n"/>
      <c r="N181" s="75" t="n"/>
    </row>
    <row r="182">
      <c r="L182" s="170" t="n"/>
      <c r="M182" s="75" t="n"/>
      <c r="N182" s="75" t="n"/>
    </row>
    <row r="183">
      <c r="L183" s="170" t="n"/>
      <c r="M183" s="75" t="n"/>
      <c r="N183" s="75" t="n"/>
    </row>
    <row r="184">
      <c r="L184" s="170" t="n"/>
      <c r="M184" s="75" t="n"/>
      <c r="N184" s="75" t="n"/>
    </row>
    <row r="185">
      <c r="L185" s="170" t="n"/>
      <c r="M185" s="75" t="n"/>
      <c r="N185" s="75" t="n"/>
    </row>
    <row r="186">
      <c r="L186" s="170" t="n"/>
      <c r="M186" s="75" t="n"/>
      <c r="N186" s="75" t="n"/>
    </row>
    <row r="187">
      <c r="L187" s="170" t="n"/>
      <c r="M187" s="75" t="n"/>
      <c r="N187" s="75" t="n"/>
    </row>
    <row r="188">
      <c r="L188" s="170" t="n"/>
      <c r="M188" s="75" t="n"/>
      <c r="N188" s="75" t="n"/>
    </row>
    <row r="189">
      <c r="L189" s="170" t="n"/>
      <c r="M189" s="75" t="n"/>
      <c r="N189" s="75" t="n"/>
    </row>
    <row r="190">
      <c r="L190" s="170" t="n"/>
      <c r="M190" s="75" t="n"/>
      <c r="N190" s="75" t="n"/>
    </row>
    <row r="191">
      <c r="L191" s="170" t="n"/>
      <c r="M191" s="75" t="n"/>
      <c r="N191" s="75" t="n"/>
    </row>
    <row r="192">
      <c r="L192" s="170" t="n"/>
      <c r="M192" s="75" t="n"/>
      <c r="N192" s="75" t="n"/>
    </row>
    <row r="193">
      <c r="L193" s="170" t="n"/>
      <c r="M193" s="75" t="n"/>
      <c r="N193" s="75" t="n"/>
    </row>
    <row r="194">
      <c r="L194" s="170" t="n"/>
      <c r="M194" s="75" t="n"/>
      <c r="N194" s="75" t="n"/>
    </row>
    <row r="195">
      <c r="L195" s="170" t="n"/>
      <c r="M195" s="75" t="n"/>
      <c r="N195" s="75" t="n"/>
    </row>
    <row r="196">
      <c r="L196" s="170" t="n"/>
      <c r="M196" s="75" t="n"/>
      <c r="N196" s="75" t="n"/>
    </row>
    <row r="197">
      <c r="L197" s="170" t="n"/>
      <c r="M197" s="75" t="n"/>
      <c r="N197" s="75" t="n"/>
    </row>
    <row r="198">
      <c r="L198" s="170" t="n"/>
      <c r="M198" s="75" t="n"/>
      <c r="N198" s="75" t="n"/>
    </row>
    <row r="199">
      <c r="L199" s="170" t="n"/>
      <c r="M199" s="75" t="n"/>
      <c r="N199" s="75" t="n"/>
    </row>
    <row r="200">
      <c r="L200" s="170" t="n"/>
      <c r="M200" s="75" t="n"/>
      <c r="N200" s="75" t="n"/>
    </row>
    <row r="201">
      <c r="L201" s="170" t="n"/>
      <c r="M201" s="75" t="n"/>
      <c r="N201" s="75" t="n"/>
    </row>
    <row r="202">
      <c r="L202" s="170" t="n"/>
      <c r="M202" s="75" t="n"/>
      <c r="N202" s="75" t="n"/>
    </row>
    <row r="203">
      <c r="L203" s="170" t="n"/>
      <c r="M203" s="75" t="n"/>
      <c r="N203" s="75" t="n"/>
    </row>
    <row r="204">
      <c r="L204" s="170" t="n"/>
      <c r="M204" s="75" t="n"/>
      <c r="N204" s="75" t="n"/>
    </row>
    <row r="205">
      <c r="L205" s="170" t="n"/>
      <c r="M205" s="75" t="n"/>
      <c r="N205" s="75" t="n"/>
    </row>
    <row r="206">
      <c r="L206" s="170" t="n"/>
      <c r="M206" s="75" t="n"/>
      <c r="N206" s="75" t="n"/>
    </row>
    <row r="207">
      <c r="L207" s="170" t="n"/>
      <c r="M207" s="75" t="n"/>
      <c r="N207" s="75" t="n"/>
    </row>
    <row r="208">
      <c r="L208" s="170" t="n"/>
      <c r="M208" s="75" t="n"/>
      <c r="N208" s="75" t="n"/>
    </row>
    <row r="209">
      <c r="L209" s="170" t="n"/>
      <c r="M209" s="75" t="n"/>
      <c r="N209" s="75" t="n"/>
    </row>
    <row r="210">
      <c r="L210" s="170" t="n"/>
      <c r="M210" s="75" t="n"/>
      <c r="N210" s="75" t="n"/>
    </row>
    <row r="211">
      <c r="L211" s="170" t="n"/>
      <c r="M211" s="75" t="n"/>
      <c r="N211" s="75" t="n"/>
    </row>
    <row r="212">
      <c r="L212" s="170" t="n"/>
      <c r="M212" s="75" t="n"/>
      <c r="N212" s="75" t="n"/>
    </row>
    <row r="213">
      <c r="L213" s="170" t="n"/>
      <c r="M213" s="75" t="n"/>
      <c r="N213" s="75" t="n"/>
    </row>
    <row r="214">
      <c r="L214" s="170" t="n"/>
      <c r="M214" s="75" t="n"/>
      <c r="N214" s="75" t="n"/>
    </row>
    <row r="215">
      <c r="L215" s="170" t="n"/>
      <c r="M215" s="75" t="n"/>
      <c r="N215" s="75" t="n"/>
    </row>
    <row r="216">
      <c r="L216" s="170" t="n"/>
      <c r="M216" s="75" t="n"/>
      <c r="N216" s="75" t="n"/>
    </row>
    <row r="217">
      <c r="L217" s="170" t="n"/>
      <c r="M217" s="75" t="n"/>
      <c r="N217" s="75" t="n"/>
    </row>
    <row r="218">
      <c r="L218" s="170" t="n"/>
      <c r="M218" s="75" t="n"/>
      <c r="N218" s="75" t="n"/>
    </row>
    <row r="219">
      <c r="L219" s="170" t="n"/>
      <c r="M219" s="75" t="n"/>
      <c r="N219" s="75" t="n"/>
    </row>
    <row r="220">
      <c r="L220" s="170" t="n"/>
      <c r="M220" s="75" t="n"/>
      <c r="N220" s="75" t="n"/>
    </row>
    <row r="221">
      <c r="L221" s="170" t="n"/>
      <c r="M221" s="75" t="n"/>
      <c r="N221" s="75" t="n"/>
    </row>
    <row r="222">
      <c r="L222" s="170" t="n"/>
      <c r="M222" s="75" t="n"/>
      <c r="N222" s="75" t="n"/>
    </row>
    <row r="223">
      <c r="L223" s="170" t="n"/>
      <c r="M223" s="75" t="n"/>
      <c r="N223" s="75" t="n"/>
    </row>
    <row r="224">
      <c r="L224" s="170" t="n"/>
      <c r="M224" s="75" t="n"/>
      <c r="N224" s="75" t="n"/>
    </row>
    <row r="225">
      <c r="L225" s="170" t="n"/>
      <c r="M225" s="75" t="n"/>
      <c r="N225" s="75" t="n"/>
    </row>
    <row r="226">
      <c r="L226" s="170" t="n"/>
      <c r="M226" s="75" t="n"/>
      <c r="N226" s="75" t="n"/>
    </row>
    <row r="227">
      <c r="L227" s="170" t="n"/>
      <c r="M227" s="75" t="n"/>
      <c r="N227" s="75" t="n"/>
    </row>
    <row r="228">
      <c r="L228" s="170" t="n"/>
      <c r="M228" s="75" t="n"/>
      <c r="N228" s="75" t="n"/>
    </row>
    <row r="229">
      <c r="L229" s="170" t="n"/>
      <c r="M229" s="75" t="n"/>
      <c r="N229" s="75" t="n"/>
    </row>
    <row r="230">
      <c r="L230" s="170" t="n"/>
      <c r="M230" s="75" t="n"/>
      <c r="N230" s="75" t="n"/>
    </row>
    <row r="231">
      <c r="L231" s="170" t="n"/>
      <c r="M231" s="75" t="n"/>
      <c r="N231" s="75" t="n"/>
    </row>
    <row r="232">
      <c r="L232" s="170" t="n"/>
      <c r="M232" s="75" t="n"/>
      <c r="N232" s="75" t="n"/>
    </row>
    <row r="233">
      <c r="L233" s="170" t="n"/>
      <c r="M233" s="75" t="n"/>
      <c r="N233" s="75" t="n"/>
    </row>
    <row r="234">
      <c r="L234" s="170" t="n"/>
      <c r="M234" s="75" t="n"/>
      <c r="N234" s="75" t="n"/>
    </row>
    <row r="235">
      <c r="L235" s="170" t="n"/>
      <c r="M235" s="75" t="n"/>
      <c r="N235" s="75" t="n"/>
    </row>
    <row r="236">
      <c r="L236" s="170" t="n"/>
      <c r="M236" s="75" t="n"/>
      <c r="N236" s="75" t="n"/>
    </row>
    <row r="237">
      <c r="L237" s="170" t="n"/>
      <c r="M237" s="75" t="n"/>
      <c r="N237" s="75" t="n"/>
    </row>
    <row r="238">
      <c r="L238" s="170" t="n"/>
      <c r="M238" s="75" t="n"/>
      <c r="N238" s="75" t="n"/>
    </row>
    <row r="239">
      <c r="L239" s="170" t="n"/>
      <c r="M239" s="75" t="n"/>
      <c r="N239" s="75" t="n"/>
    </row>
    <row r="240">
      <c r="L240" s="170" t="n"/>
      <c r="M240" s="75" t="n"/>
      <c r="N240" s="75" t="n"/>
    </row>
    <row r="241">
      <c r="L241" s="170" t="n"/>
      <c r="M241" s="75" t="n"/>
      <c r="N241" s="75" t="n"/>
    </row>
    <row r="242">
      <c r="L242" s="170" t="n"/>
      <c r="M242" s="75" t="n"/>
      <c r="N242" s="75" t="n"/>
    </row>
    <row r="243">
      <c r="L243" s="170" t="n"/>
      <c r="M243" s="75" t="n"/>
      <c r="N243" s="75" t="n"/>
    </row>
    <row r="244">
      <c r="L244" s="170" t="n"/>
      <c r="M244" s="75" t="n"/>
      <c r="N244" s="75" t="n"/>
    </row>
    <row r="245">
      <c r="L245" s="170" t="n"/>
      <c r="M245" s="75" t="n"/>
      <c r="N245" s="75" t="n"/>
    </row>
    <row r="246">
      <c r="L246" s="167" t="n"/>
      <c r="M246" s="75" t="n"/>
      <c r="N246" s="75" t="n"/>
    </row>
    <row r="247" ht="27.75" customFormat="1" customHeight="1" s="115">
      <c r="A247" s="3" t="n"/>
      <c r="B247" s="17" t="n"/>
      <c r="C247" s="1" t="n"/>
      <c r="D247" s="1" t="n"/>
      <c r="E247" s="3" t="n"/>
      <c r="F247" s="3" t="n"/>
      <c r="G247" s="3" t="n"/>
      <c r="H247" s="2" t="n"/>
      <c r="I247" s="18" t="n"/>
      <c r="J247" s="180" t="n"/>
      <c r="K247" s="19" t="n"/>
      <c r="L247" s="168" t="n"/>
      <c r="AA247" s="17" t="n"/>
    </row>
    <row r="248" ht="38.25" customFormat="1" customHeight="1" s="115">
      <c r="A248" s="3" t="n"/>
      <c r="B248" s="17" t="n"/>
      <c r="C248" s="1" t="n"/>
      <c r="D248" s="1" t="n"/>
      <c r="E248" s="3" t="n"/>
      <c r="F248" s="3" t="n"/>
      <c r="G248" s="3" t="n"/>
      <c r="H248" s="2" t="n"/>
      <c r="I248" s="18" t="n"/>
      <c r="J248" s="180" t="n"/>
      <c r="K248" s="19" t="n"/>
      <c r="AA248" s="17" t="n"/>
    </row>
    <row r="249" ht="15.75" customFormat="1" customHeight="1" s="115">
      <c r="A249" s="3" t="n"/>
      <c r="B249" s="17" t="n"/>
      <c r="C249" s="1" t="n"/>
      <c r="D249" s="1" t="n"/>
      <c r="E249" s="3" t="n"/>
      <c r="F249" s="3" t="n"/>
      <c r="G249" s="3" t="n"/>
      <c r="H249" s="2" t="n"/>
      <c r="I249" s="18" t="n"/>
      <c r="J249" s="180" t="n"/>
      <c r="K249" s="19" t="n"/>
      <c r="AA249" s="17" t="n"/>
    </row>
    <row r="250" ht="15.75" customFormat="1" customHeight="1" s="115">
      <c r="A250" s="3" t="n"/>
      <c r="B250" s="17" t="n"/>
      <c r="C250" s="1" t="n"/>
      <c r="D250" s="1" t="n"/>
      <c r="E250" s="3" t="n"/>
      <c r="F250" s="3" t="n"/>
      <c r="G250" s="3" t="n"/>
      <c r="H250" s="2" t="n"/>
      <c r="I250" s="18" t="n"/>
      <c r="J250" s="180" t="n"/>
      <c r="K250" s="19" t="n"/>
      <c r="O250" s="121">
        <f>GetKom(#REF!,#REF!,#REF!,#REF!)</f>
        <v/>
      </c>
      <c r="AA250" s="17" t="n"/>
    </row>
    <row r="251" ht="15.75" customFormat="1" customHeight="1" s="115">
      <c r="A251" s="3" t="n"/>
      <c r="B251" s="17" t="n"/>
      <c r="C251" s="1" t="n"/>
      <c r="D251" s="1" t="n"/>
      <c r="E251" s="3" t="n"/>
      <c r="F251" s="3" t="n"/>
      <c r="G251" s="3" t="n"/>
      <c r="H251" s="2" t="n"/>
      <c r="I251" s="18" t="n"/>
      <c r="J251" s="180" t="n"/>
      <c r="K251" s="19" t="n"/>
      <c r="AA251" s="17" t="n"/>
    </row>
    <row r="252" customFormat="1" s="115">
      <c r="A252" s="3" t="n"/>
      <c r="B252" s="17" t="n"/>
      <c r="C252" s="1" t="n"/>
      <c r="D252" s="1" t="n"/>
      <c r="E252" s="3" t="n"/>
      <c r="F252" s="3" t="n"/>
      <c r="G252" s="3" t="n"/>
      <c r="H252" s="2" t="n"/>
      <c r="I252" s="18" t="n"/>
      <c r="J252" s="180" t="n"/>
      <c r="K252" s="19" t="n"/>
      <c r="O252" s="114" t="n"/>
      <c r="AA252" s="17" t="n"/>
    </row>
    <row r="253" ht="15.75" customFormat="1" customHeight="1" s="115">
      <c r="A253" s="3" t="n"/>
      <c r="B253" s="17" t="n"/>
      <c r="C253" s="1" t="n"/>
      <c r="D253" s="1" t="n"/>
      <c r="E253" s="3" t="n"/>
      <c r="F253" s="3" t="n"/>
      <c r="G253" s="3" t="n"/>
      <c r="H253" s="2" t="n"/>
      <c r="I253" s="18" t="n"/>
      <c r="J253" s="180" t="n"/>
      <c r="K253" s="19" t="n"/>
      <c r="AA253" s="17" t="n"/>
    </row>
    <row r="254" ht="15.75" customFormat="1" customHeight="1" s="115">
      <c r="A254" s="3" t="n"/>
      <c r="B254" s="17" t="n"/>
      <c r="C254" s="1" t="n"/>
      <c r="D254" s="1" t="n"/>
      <c r="E254" s="3" t="n"/>
      <c r="F254" s="3" t="n"/>
      <c r="G254" s="3" t="n"/>
      <c r="H254" s="2" t="n"/>
      <c r="I254" s="18" t="n"/>
      <c r="J254" s="180" t="n"/>
      <c r="K254" s="19" t="n"/>
      <c r="L254" s="169" t="n"/>
      <c r="AA254" s="17" t="n"/>
    </row>
    <row r="255" customFormat="1" s="115">
      <c r="A255" s="3" t="n"/>
      <c r="B255" s="17" t="n"/>
      <c r="C255" s="1" t="n"/>
      <c r="D255" s="1" t="n"/>
      <c r="E255" s="3" t="n"/>
      <c r="F255" s="3" t="n"/>
      <c r="G255" s="3" t="n"/>
      <c r="H255" s="2" t="n"/>
      <c r="I255" s="18" t="n"/>
      <c r="J255" s="180" t="n"/>
      <c r="K255" s="19" t="n"/>
      <c r="L255" s="169" t="n"/>
      <c r="AA255" s="17" t="n"/>
    </row>
    <row r="256" customFormat="1" s="115">
      <c r="A256" s="3" t="n"/>
      <c r="B256" s="17" t="n"/>
      <c r="C256" s="1" t="n"/>
      <c r="D256" s="1" t="n"/>
      <c r="E256" s="3" t="n"/>
      <c r="F256" s="3" t="n"/>
      <c r="G256" s="3" t="n"/>
      <c r="H256" s="2" t="n"/>
      <c r="I256" s="18" t="n"/>
      <c r="J256" s="180" t="n"/>
      <c r="K256" s="19" t="n"/>
      <c r="L256" s="169" t="n"/>
      <c r="AA256" s="17" t="n"/>
    </row>
    <row r="257" ht="16.5" customFormat="1" customHeight="1" s="115">
      <c r="A257" s="3" t="n"/>
      <c r="B257" s="17" t="n"/>
      <c r="C257" s="1" t="n"/>
      <c r="D257" s="1" t="n"/>
      <c r="E257" s="3" t="n"/>
      <c r="F257" s="3" t="n"/>
      <c r="G257" s="3" t="n"/>
      <c r="H257" s="2" t="n"/>
      <c r="I257" s="18" t="n"/>
      <c r="J257" s="180" t="n"/>
      <c r="K257" s="19" t="n"/>
      <c r="L257" s="169" t="n"/>
      <c r="AA257" s="17" t="n"/>
    </row>
    <row r="258" ht="17.25" customFormat="1" customHeight="1" s="115">
      <c r="A258" s="3" t="n"/>
      <c r="B258" s="17" t="n"/>
      <c r="C258" s="1" t="n"/>
      <c r="D258" s="1" t="n"/>
      <c r="E258" s="3" t="n"/>
      <c r="F258" s="3" t="n"/>
      <c r="G258" s="3" t="n"/>
      <c r="H258" s="2" t="n"/>
      <c r="I258" s="18" t="n"/>
      <c r="J258" s="180" t="n"/>
      <c r="K258" s="19" t="n"/>
      <c r="AA258" s="17" t="n"/>
    </row>
    <row r="259" customFormat="1" s="115">
      <c r="A259" s="3" t="n"/>
      <c r="B259" s="17" t="n"/>
      <c r="C259" s="1" t="n"/>
      <c r="D259" s="1" t="n"/>
      <c r="E259" s="3" t="n"/>
      <c r="F259" s="3" t="n"/>
      <c r="G259" s="3" t="n"/>
      <c r="H259" s="2" t="n"/>
      <c r="I259" s="18" t="n"/>
      <c r="J259" s="180" t="n"/>
      <c r="K259" s="19" t="n"/>
      <c r="AA259" s="17" t="n"/>
    </row>
    <row r="260" customFormat="1" s="115">
      <c r="A260" s="3" t="n"/>
      <c r="B260" s="17" t="n"/>
      <c r="C260" s="1" t="n"/>
      <c r="D260" s="1" t="n"/>
      <c r="E260" s="3" t="n"/>
      <c r="F260" s="3" t="n"/>
      <c r="G260" s="3" t="n"/>
      <c r="H260" s="2" t="n"/>
      <c r="I260" s="18" t="n"/>
      <c r="J260" s="180" t="n"/>
      <c r="K260" s="19" t="n"/>
      <c r="AA260" s="17" t="n"/>
    </row>
    <row r="261" customFormat="1" s="115">
      <c r="A261" s="3" t="n"/>
      <c r="B261" s="17" t="n"/>
      <c r="C261" s="1" t="n"/>
      <c r="D261" s="1" t="n"/>
      <c r="E261" s="3" t="n"/>
      <c r="F261" s="3" t="n"/>
      <c r="G261" s="3" t="n"/>
      <c r="H261" s="2" t="n"/>
      <c r="I261" s="18" t="n"/>
      <c r="J261" s="180" t="n"/>
      <c r="K261" s="19" t="n"/>
      <c r="AA261" s="17" t="n"/>
    </row>
    <row r="262" customFormat="1" s="22">
      <c r="A262" s="3" t="n"/>
      <c r="B262" s="17" t="n"/>
      <c r="C262" s="1" t="n"/>
      <c r="D262" s="1" t="n"/>
      <c r="E262" s="3" t="n"/>
      <c r="F262" s="3" t="n"/>
      <c r="G262" s="3" t="n"/>
      <c r="H262" s="2" t="n"/>
      <c r="I262" s="18" t="n"/>
      <c r="J262" s="180" t="n"/>
      <c r="K262" s="19" t="n"/>
      <c r="L262" s="115" t="n"/>
      <c r="M262" s="115" t="n"/>
      <c r="N262" s="115" t="n"/>
      <c r="AA262" s="17" t="n"/>
    </row>
    <row r="263" ht="15.75" customFormat="1" customHeight="1" s="22">
      <c r="A263" s="3" t="n"/>
      <c r="B263" s="17" t="n"/>
      <c r="C263" s="1" t="n"/>
      <c r="D263" s="1" t="n"/>
      <c r="E263" s="3" t="n"/>
      <c r="F263" s="3" t="n"/>
      <c r="G263" s="3" t="n"/>
      <c r="H263" s="2" t="n"/>
      <c r="I263" s="18" t="n"/>
      <c r="J263" s="180" t="n"/>
      <c r="K263" s="19" t="n"/>
      <c r="AA263" s="17" t="n"/>
    </row>
    <row r="264" ht="15.75" customFormat="1" customHeight="1" s="22">
      <c r="A264" s="3" t="n"/>
      <c r="B264" s="17" t="n"/>
      <c r="C264" s="1" t="n"/>
      <c r="D264" s="1" t="n"/>
      <c r="E264" s="3" t="n"/>
      <c r="F264" s="3" t="n"/>
      <c r="G264" s="3" t="n"/>
      <c r="H264" s="2" t="n"/>
      <c r="I264" s="18" t="n"/>
      <c r="J264" s="180" t="n"/>
      <c r="K264" s="19" t="n"/>
      <c r="AA264" s="17" t="n"/>
    </row>
    <row r="265" ht="15.75" customFormat="1" customHeight="1" s="22">
      <c r="A265" s="3" t="n"/>
      <c r="B265" s="17" t="n"/>
      <c r="C265" s="1" t="n"/>
      <c r="D265" s="1" t="n"/>
      <c r="E265" s="3" t="n"/>
      <c r="F265" s="3" t="n"/>
      <c r="G265" s="3" t="n"/>
      <c r="H265" s="2" t="n"/>
      <c r="I265" s="18" t="n"/>
      <c r="J265" s="180" t="n"/>
      <c r="K265" s="19" t="n"/>
      <c r="AA265" s="17" t="n"/>
    </row>
    <row r="266" ht="15.75" customFormat="1" customHeight="1" s="22">
      <c r="A266" s="3" t="n"/>
      <c r="B266" s="17" t="n"/>
      <c r="C266" s="1" t="n"/>
      <c r="D266" s="1" t="n"/>
      <c r="E266" s="3" t="n"/>
      <c r="F266" s="3" t="n"/>
      <c r="G266" s="3" t="n"/>
      <c r="H266" s="2" t="n"/>
      <c r="I266" s="18" t="n"/>
      <c r="J266" s="180" t="n"/>
      <c r="K266" s="19" t="n"/>
      <c r="AA266" s="17" t="n"/>
    </row>
    <row r="267" customFormat="1" s="22">
      <c r="A267" s="3" t="n"/>
      <c r="B267" s="17" t="n"/>
      <c r="C267" s="1" t="n"/>
      <c r="D267" s="1" t="n"/>
      <c r="E267" s="3" t="n"/>
      <c r="F267" s="3" t="n"/>
      <c r="G267" s="3" t="n"/>
      <c r="H267" s="2" t="n"/>
      <c r="I267" s="18" t="n"/>
      <c r="J267" s="180" t="n"/>
      <c r="K267" s="19" t="n"/>
      <c r="AA267" s="17" t="n"/>
    </row>
    <row r="268" customFormat="1" s="22">
      <c r="A268" s="3" t="n"/>
      <c r="B268" s="17" t="n"/>
      <c r="C268" s="1" t="n"/>
      <c r="D268" s="1" t="n"/>
      <c r="E268" s="3" t="n"/>
      <c r="F268" s="3" t="n"/>
      <c r="G268" s="3" t="n"/>
      <c r="H268" s="2" t="n"/>
      <c r="I268" s="18" t="n"/>
      <c r="J268" s="180" t="n"/>
      <c r="K268" s="19" t="n"/>
      <c r="AA268" s="17" t="n"/>
    </row>
    <row r="269">
      <c r="L269" s="22" t="n"/>
      <c r="M269" s="22" t="n"/>
      <c r="N269" s="22" t="n"/>
    </row>
    <row r="272" ht="36" customHeight="1"/>
    <row r="287" ht="15.75" customHeight="1"/>
  </sheetData>
  <mergeCells count="17">
    <mergeCell ref="F10:G10"/>
    <mergeCell ref="M3:N3"/>
    <mergeCell ref="A2:K2"/>
    <mergeCell ref="F3:G3"/>
    <mergeCell ref="F4:G4"/>
    <mergeCell ref="I3:J3"/>
    <mergeCell ref="I4:J4"/>
    <mergeCell ref="C5:D5"/>
    <mergeCell ref="B3:D3"/>
    <mergeCell ref="B4:D4"/>
    <mergeCell ref="D29:F29"/>
    <mergeCell ref="F11:G11"/>
    <mergeCell ref="F17:H17"/>
    <mergeCell ref="F13:H13"/>
    <mergeCell ref="H28:I28"/>
    <mergeCell ref="H27:I27"/>
    <mergeCell ref="D28:G28"/>
  </mergeCells>
  <dataValidations count="4">
    <dataValidation sqref="A10:B26" showErrorMessage="1" showInputMessage="1" allowBlank="0" errorTitle="Ошибка" error="Эти ячейки изменять нельзя" type="textLength" operator="greaterThan">
      <formula1>50000</formula1>
    </dataValidation>
    <dataValidation sqref="I7:I9" showErrorMessage="1" showInputMessage="1" allowBlank="1" errorTitle="Ошибка" error="Предложенное значение не находится в списке допустимых" type="list">
      <formula1>Заключение</formula1>
    </dataValidation>
    <dataValidation sqref="K7:K9" showErrorMessage="1" showInputMessage="1" allowBlank="1" errorTitle="Ошибка" error="Предложенное значение не находится в списке допустимых" type="list">
      <formula1>Примечание</formula1>
    </dataValidation>
    <dataValidation sqref="B7:B9" showErrorMessage="1" showInputMessage="1" allowBlank="1" errorTitle="Ошибка!" error="Введеное название не соответствует списку зеленых насаждений Департамента природопользования" type="list">
      <formula1>НаименованиеПород</formula1>
    </dataValidation>
  </dataValidations>
  <pageMargins left="0.3937007874015748" right="0.1968503937007874" top="0.22" bottom="0.24" header="0" footer="0.21"/>
  <pageSetup orientation="landscape" paperSize="9" scale="95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B1:L86"/>
  <sheetViews>
    <sheetView workbookViewId="0">
      <selection activeCell="C64" sqref="C64"/>
    </sheetView>
  </sheetViews>
  <sheetFormatPr baseColWidth="8" defaultColWidth="9.140625" defaultRowHeight="15.75"/>
  <cols>
    <col width="2.7109375" customWidth="1" style="116" min="1" max="1"/>
    <col width="29.5703125" customWidth="1" style="88" min="2" max="2"/>
    <col width="4.42578125" customWidth="1" style="52" min="3" max="3"/>
    <col width="14.140625" customWidth="1" style="63" min="4" max="4"/>
    <col width="8.5703125" customWidth="1" style="46" min="5" max="5"/>
    <col width="6.140625" customWidth="1" style="46" min="6" max="6"/>
    <col width="6.42578125" customWidth="1" style="46" min="7" max="8"/>
    <col width="17.140625" customWidth="1" style="44" min="9" max="9"/>
    <col width="16.28515625" customWidth="1" style="44" min="10" max="10"/>
    <col width="17.85546875" customWidth="1" style="44" min="11" max="11"/>
    <col width="21.42578125" customWidth="1" style="116" min="12" max="12"/>
    <col width="9.140625" customWidth="1" style="116" min="13" max="17"/>
    <col width="9.140625" customWidth="1" style="116" min="18" max="16384"/>
  </cols>
  <sheetData>
    <row r="1" ht="51" customHeight="1">
      <c r="B1" s="46" t="inlineStr">
        <is>
          <t>порода</t>
        </is>
      </c>
      <c r="C1" s="55" t="inlineStr">
        <is>
          <t>Код цен-ности</t>
        </is>
      </c>
      <c r="I1" s="44" t="inlineStr">
        <is>
          <t>заключение</t>
        </is>
      </c>
      <c r="K1" s="44" t="inlineStr">
        <is>
          <t>примечание</t>
        </is>
      </c>
      <c r="L1" s="116" t="inlineStr">
        <is>
          <t>диаметр пересадки</t>
        </is>
      </c>
    </row>
    <row r="2">
      <c r="B2" s="89" t="inlineStr">
        <is>
          <t>Акация белая</t>
        </is>
      </c>
      <c r="C2" s="116" t="n">
        <v>2</v>
      </c>
      <c r="D2" s="207">
        <f>ROUND(5065.91*'1'!$K$3,2)</f>
        <v/>
      </c>
      <c r="I2" s="24" t="inlineStr">
        <is>
          <t>Пересадить</t>
        </is>
      </c>
      <c r="J2" s="113" t="inlineStr">
        <is>
          <t>Без компенсац.</t>
        </is>
      </c>
      <c r="K2" s="24" t="inlineStr">
        <is>
          <t>охр. зона ком.</t>
        </is>
      </c>
      <c r="L2" s="43" t="n"/>
    </row>
    <row r="3">
      <c r="B3" s="89" t="inlineStr">
        <is>
          <t>акация желтая куст</t>
        </is>
      </c>
      <c r="C3" s="116" t="n">
        <v>5</v>
      </c>
      <c r="D3" s="207">
        <f>ROUND(219.83*'1'!$K$3,2)</f>
        <v/>
      </c>
      <c r="I3" s="24" t="inlineStr">
        <is>
          <t>Сохранить</t>
        </is>
      </c>
      <c r="J3" s="26" t="n"/>
      <c r="K3" s="24" t="inlineStr">
        <is>
          <t>аварийное</t>
        </is>
      </c>
    </row>
    <row r="4">
      <c r="B4" s="89" t="inlineStr">
        <is>
          <t>барбарис куст</t>
        </is>
      </c>
      <c r="C4" s="116" t="n">
        <v>5</v>
      </c>
      <c r="D4" s="207">
        <f>ROUND(219.83*'1'!$K$3,2)</f>
        <v/>
      </c>
      <c r="I4" s="24" t="inlineStr">
        <is>
          <t>Вырубить</t>
        </is>
      </c>
      <c r="J4" s="46" t="n"/>
      <c r="K4" s="24" t="inlineStr">
        <is>
          <t>сухостой</t>
        </is>
      </c>
    </row>
    <row r="5">
      <c r="B5" s="89" t="inlineStr">
        <is>
          <t>Бархат амурский</t>
        </is>
      </c>
      <c r="C5" s="116" t="n">
        <v>2</v>
      </c>
      <c r="D5" s="207">
        <f>ROUND(5065.91*'1'!$K$3,2)</f>
        <v/>
      </c>
      <c r="K5" s="24" t="inlineStr">
        <is>
          <t>неудовлетв.</t>
        </is>
      </c>
    </row>
    <row r="6">
      <c r="B6" s="89" t="inlineStr">
        <is>
          <t>Береза</t>
        </is>
      </c>
      <c r="C6" s="116" t="n">
        <v>3</v>
      </c>
      <c r="D6" s="207">
        <f>ROUND(4163.88*'1'!$K$3,2)</f>
        <v/>
      </c>
      <c r="K6" s="24" t="inlineStr">
        <is>
          <t>поросль</t>
        </is>
      </c>
    </row>
    <row r="7">
      <c r="B7" s="89" t="inlineStr">
        <is>
          <t>бересклет куст</t>
        </is>
      </c>
      <c r="C7" s="116" t="n">
        <v>5</v>
      </c>
      <c r="D7" s="207">
        <f>ROUND(219.83*'1'!$K$3,2)</f>
        <v/>
      </c>
      <c r="K7" s="24" t="inlineStr">
        <is>
          <t>самосев</t>
        </is>
      </c>
    </row>
    <row r="8">
      <c r="B8" s="89" t="inlineStr">
        <is>
          <t>бирючина куст</t>
        </is>
      </c>
      <c r="C8" s="116" t="n">
        <v>5</v>
      </c>
      <c r="D8" s="207">
        <f>ROUND(219.83*'1'!$K$3,2)</f>
        <v/>
      </c>
      <c r="K8" s="24" t="inlineStr">
        <is>
          <t>5-ти м зона</t>
        </is>
      </c>
    </row>
    <row r="9">
      <c r="B9" s="89" t="inlineStr">
        <is>
          <t>Боярышник</t>
        </is>
      </c>
      <c r="C9" s="116" t="n">
        <v>3</v>
      </c>
      <c r="D9" s="207">
        <f>ROUND(4163.88*'1'!$K$3,2)</f>
        <v/>
      </c>
      <c r="K9" s="24" t="inlineStr">
        <is>
          <t>учтено ранее*</t>
        </is>
      </c>
    </row>
    <row r="10">
      <c r="B10" s="89" t="inlineStr">
        <is>
          <t>боярышник куст</t>
        </is>
      </c>
      <c r="C10" s="116" t="n">
        <v>5</v>
      </c>
      <c r="D10" s="207">
        <f>ROUND(219.83*'1'!$K$3,2)</f>
        <v/>
      </c>
      <c r="K10" s="24" t="inlineStr">
        <is>
          <t>обрезка ветвей</t>
        </is>
      </c>
      <c r="L10" s="45" t="n"/>
    </row>
    <row r="11">
      <c r="B11" s="89" t="inlineStr">
        <is>
          <t>бузина куст</t>
        </is>
      </c>
      <c r="C11" s="116" t="n">
        <v>5</v>
      </c>
      <c r="D11" s="207">
        <f>ROUND(219.83*'1'!$K$3,2)</f>
        <v/>
      </c>
      <c r="K11" s="24" t="inlineStr">
        <is>
          <t>кронировать</t>
        </is>
      </c>
      <c r="L11" s="45" t="n"/>
    </row>
    <row r="12">
      <c r="B12" s="89" t="inlineStr">
        <is>
          <t>Вишня</t>
        </is>
      </c>
      <c r="C12" s="116" t="n">
        <v>3</v>
      </c>
      <c r="D12" s="207">
        <f>ROUND(4163.88*'1'!$K$3,2)</f>
        <v/>
      </c>
      <c r="K12" s="27" t="inlineStr">
        <is>
          <t>не входит в пятно</t>
        </is>
      </c>
      <c r="L12" s="45" t="n"/>
    </row>
    <row r="13">
      <c r="B13" s="89" t="inlineStr">
        <is>
          <t>вишня куст</t>
        </is>
      </c>
      <c r="C13" s="116" t="n">
        <v>5</v>
      </c>
      <c r="D13" s="207">
        <f>ROUND(219.83*'1'!$K$3,2)</f>
        <v/>
      </c>
      <c r="K13" s="24" t="inlineStr">
        <is>
          <t>удовлетв.</t>
        </is>
      </c>
    </row>
    <row r="14">
      <c r="B14" s="29" t="inlineStr">
        <is>
          <t>Вяз</t>
        </is>
      </c>
      <c r="C14" s="116" t="n">
        <v>2</v>
      </c>
      <c r="D14" s="207">
        <f>ROUND(5065.91*'1'!$K$3,2)</f>
        <v/>
      </c>
      <c r="I14" s="20" t="n"/>
      <c r="J14" s="46" t="n"/>
      <c r="K14" s="24" t="inlineStr">
        <is>
          <t>усыхающее</t>
        </is>
      </c>
    </row>
    <row r="15">
      <c r="B15" s="89" t="inlineStr">
        <is>
          <t>Газон</t>
        </is>
      </c>
      <c r="D15" s="207">
        <f>ROUND(194.97*'1'!$K$3,2)</f>
        <v/>
      </c>
      <c r="J15" s="46" t="n"/>
      <c r="K15" s="24" t="inlineStr">
        <is>
          <t>хорошее</t>
        </is>
      </c>
    </row>
    <row r="16">
      <c r="B16" s="89" t="inlineStr">
        <is>
          <t>Груша</t>
        </is>
      </c>
      <c r="C16" s="116" t="n">
        <v>3</v>
      </c>
      <c r="D16" s="207">
        <f>ROUND(4163.88*'1'!$K$3,2)</f>
        <v/>
      </c>
      <c r="K16" s="24" t="inlineStr">
        <is>
          <t>саженцы</t>
        </is>
      </c>
    </row>
    <row r="17">
      <c r="B17" s="89" t="inlineStr">
        <is>
          <t>дек.-лиственный кустарник</t>
        </is>
      </c>
      <c r="C17" s="116" t="n">
        <v>5</v>
      </c>
      <c r="D17" s="207">
        <f>ROUND(219.83*'1'!$K$3,2)</f>
        <v/>
      </c>
      <c r="K17" s="24" t="inlineStr">
        <is>
          <t>0,5х0,5х0,4</t>
        </is>
      </c>
    </row>
    <row r="18">
      <c r="B18" s="89" t="inlineStr">
        <is>
          <t>дерен куст</t>
        </is>
      </c>
      <c r="C18" s="116" t="n">
        <v>5</v>
      </c>
      <c r="D18" s="207">
        <f>ROUND(219.83*'1'!$K$3,2)</f>
        <v/>
      </c>
      <c r="K18" s="24" t="inlineStr">
        <is>
          <t>0,8х0,8х0,6</t>
        </is>
      </c>
      <c r="L18" s="45" t="inlineStr">
        <is>
          <t>куст</t>
        </is>
      </c>
    </row>
    <row r="19">
      <c r="B19" s="89" t="inlineStr">
        <is>
          <t>Дуб</t>
        </is>
      </c>
      <c r="C19" s="116" t="n">
        <v>2</v>
      </c>
      <c r="D19" s="207">
        <f>ROUND(5065.91*'1'!$K$3,2)</f>
        <v/>
      </c>
      <c r="K19" s="24" t="inlineStr">
        <is>
          <t>1,0х1,0х0,6</t>
        </is>
      </c>
      <c r="L19" s="45" t="inlineStr">
        <is>
          <t>до 5 см</t>
        </is>
      </c>
    </row>
    <row r="20">
      <c r="B20" s="89" t="inlineStr">
        <is>
          <t>Ель</t>
        </is>
      </c>
      <c r="C20" s="116" t="n">
        <v>1</v>
      </c>
      <c r="D20" s="207">
        <f>ROUND(6337.38*'1'!$K$3,2)</f>
        <v/>
      </c>
      <c r="K20" s="24" t="inlineStr">
        <is>
          <t>1,3х1,3х0,6</t>
        </is>
      </c>
      <c r="L20" s="45" t="inlineStr">
        <is>
          <t>5 см</t>
        </is>
      </c>
    </row>
    <row r="21">
      <c r="B21" s="89" t="inlineStr">
        <is>
          <t>жимолость куст</t>
        </is>
      </c>
      <c r="C21" s="116" t="n">
        <v>5</v>
      </c>
      <c r="D21" s="207">
        <f>ROUND(219.83*'1'!$K$3,2)</f>
        <v/>
      </c>
      <c r="K21" s="24" t="inlineStr">
        <is>
          <t>1,5х1,5х0,65</t>
        </is>
      </c>
      <c r="L21" s="45" t="inlineStr">
        <is>
          <t>6 см</t>
        </is>
      </c>
    </row>
    <row r="22">
      <c r="B22" s="89" t="inlineStr">
        <is>
          <t>Ива</t>
        </is>
      </c>
      <c r="C22" s="116" t="n">
        <v>4</v>
      </c>
      <c r="D22" s="207">
        <f>ROUND(2885.22*'1'!$K$3,2)</f>
        <v/>
      </c>
      <c r="K22" s="24" t="inlineStr">
        <is>
          <t>1,7х1,7х0,65</t>
        </is>
      </c>
      <c r="L22" s="45" t="inlineStr">
        <is>
          <t>7-9 см</t>
        </is>
      </c>
    </row>
    <row r="23">
      <c r="B23" s="89" t="inlineStr">
        <is>
          <t>ива (поросль)</t>
        </is>
      </c>
      <c r="D23" s="207" t="n"/>
      <c r="K23" s="24" t="inlineStr">
        <is>
          <t>2,0х2,0х0,8</t>
        </is>
      </c>
      <c r="L23" s="45" t="inlineStr">
        <is>
          <t>10-12 см</t>
        </is>
      </c>
    </row>
    <row r="24">
      <c r="B24" s="89" t="inlineStr">
        <is>
          <t>Ива белая</t>
        </is>
      </c>
      <c r="C24" s="116" t="n">
        <v>2</v>
      </c>
      <c r="D24" s="207">
        <f>ROUND(5065.91*'1'!$K$3,2)</f>
        <v/>
      </c>
      <c r="K24" s="24" t="inlineStr">
        <is>
          <t>2,4х2,4х0,95</t>
        </is>
      </c>
      <c r="L24" s="45" t="inlineStr">
        <is>
          <t>13-15 см</t>
        </is>
      </c>
    </row>
    <row r="25">
      <c r="B25" s="89" t="inlineStr">
        <is>
          <t>ирга куст</t>
        </is>
      </c>
      <c r="C25" s="116" t="n">
        <v>5</v>
      </c>
      <c r="D25" s="207">
        <f>ROUND(219.83*'1'!$K$3,2)</f>
        <v/>
      </c>
      <c r="K25" s="24" t="inlineStr">
        <is>
          <t>Ком земли</t>
        </is>
      </c>
      <c r="L25" s="45" t="inlineStr">
        <is>
          <t>больше 15 см</t>
        </is>
      </c>
    </row>
    <row r="26">
      <c r="B26" s="89" t="inlineStr">
        <is>
          <t>калина куст</t>
        </is>
      </c>
      <c r="C26" s="116" t="n">
        <v>5</v>
      </c>
      <c r="D26" s="207">
        <f>ROUND(219.83*'1'!$K$3,2)</f>
        <v/>
      </c>
      <c r="L26" s="45" t="n"/>
    </row>
    <row r="27">
      <c r="B27" s="89" t="inlineStr">
        <is>
          <t>Каштан</t>
        </is>
      </c>
      <c r="C27" s="116" t="n">
        <v>2</v>
      </c>
      <c r="D27" s="207">
        <f>ROUND(5065.91*'1'!$K$3,2)</f>
        <v/>
      </c>
      <c r="L27" s="45" t="n"/>
    </row>
    <row r="28">
      <c r="B28" s="89" t="inlineStr">
        <is>
          <t>кизильник куст</t>
        </is>
      </c>
      <c r="C28" s="116" t="n">
        <v>5</v>
      </c>
      <c r="D28" s="207">
        <f>ROUND(219.83*'1'!$K$3,2)</f>
        <v/>
      </c>
      <c r="L28" s="45" t="n"/>
    </row>
    <row r="29">
      <c r="B29" s="89" t="inlineStr">
        <is>
          <t>Клен</t>
        </is>
      </c>
      <c r="C29" s="116" t="n">
        <v>2</v>
      </c>
      <c r="D29" s="207">
        <f>ROUND(5065.91*'1'!$K$3,2)</f>
        <v/>
      </c>
      <c r="L29" s="45" t="n"/>
    </row>
    <row r="30">
      <c r="B30" s="89" t="inlineStr">
        <is>
          <t>клен куст</t>
        </is>
      </c>
      <c r="C30" s="116" t="n">
        <v>5</v>
      </c>
      <c r="D30" s="207">
        <f>ROUND(219.83*'1'!$K$3,2)</f>
        <v/>
      </c>
      <c r="L30" s="45" t="n"/>
    </row>
    <row r="31">
      <c r="B31" s="89" t="inlineStr">
        <is>
          <t>Клен ясенелистный</t>
        </is>
      </c>
      <c r="C31" s="116" t="n">
        <v>4</v>
      </c>
      <c r="D31" s="207">
        <f>ROUND(2885.22*'1'!$K$3,2)</f>
        <v/>
      </c>
      <c r="L31" s="45" t="n"/>
    </row>
    <row r="32">
      <c r="B32" s="89" t="inlineStr">
        <is>
          <t>клен ясенелистный (поросль)</t>
        </is>
      </c>
      <c r="D32" s="207" t="n"/>
    </row>
    <row r="33">
      <c r="B33" s="89" t="inlineStr">
        <is>
          <t>крушина куст</t>
        </is>
      </c>
      <c r="C33" s="116" t="n">
        <v>5</v>
      </c>
      <c r="D33" s="207">
        <f>ROUND(219.83*'1'!$K$3,2)</f>
        <v/>
      </c>
    </row>
    <row r="34">
      <c r="B34" s="89" t="inlineStr">
        <is>
          <t>кустарник разный</t>
        </is>
      </c>
      <c r="C34" s="116" t="n">
        <v>5</v>
      </c>
      <c r="D34" s="207">
        <f>ROUND(219.83*'1'!$K$3,2)</f>
        <v/>
      </c>
    </row>
    <row r="35">
      <c r="B35" s="89" t="inlineStr">
        <is>
          <t>лещина куст</t>
        </is>
      </c>
      <c r="C35" s="116" t="n">
        <v>5</v>
      </c>
      <c r="D35" s="207">
        <f>ROUND(219.83*'1'!$K$3,2)</f>
        <v/>
      </c>
    </row>
    <row r="36">
      <c r="B36" s="89" t="inlineStr">
        <is>
          <t>Лжетсуга</t>
        </is>
      </c>
      <c r="C36" s="52" t="n">
        <v>1</v>
      </c>
      <c r="D36" s="207">
        <f>ROUND(6337.38*'1'!$K$3,2)</f>
        <v/>
      </c>
    </row>
    <row r="37">
      <c r="B37" s="89" t="inlineStr">
        <is>
          <t>лиана куст</t>
        </is>
      </c>
      <c r="C37" s="116" t="n">
        <v>5</v>
      </c>
      <c r="D37" s="207">
        <f>ROUND(219.83*'1'!$K$3,2)</f>
        <v/>
      </c>
    </row>
    <row r="38">
      <c r="B38" s="89" t="inlineStr">
        <is>
          <t>Липа</t>
        </is>
      </c>
      <c r="C38" s="116" t="n">
        <v>2</v>
      </c>
      <c r="D38" s="207">
        <f>ROUND(5065.91*'1'!$K$3,2)</f>
        <v/>
      </c>
    </row>
    <row r="39">
      <c r="B39" s="89" t="inlineStr">
        <is>
          <t>Лиственница</t>
        </is>
      </c>
      <c r="C39" s="116" t="n">
        <v>1</v>
      </c>
      <c r="D39" s="207">
        <f>ROUND(6337.38*'1'!$K$3,2)</f>
        <v/>
      </c>
    </row>
    <row r="40">
      <c r="B40" s="89" t="inlineStr">
        <is>
          <t>можжевельник куст</t>
        </is>
      </c>
      <c r="C40" s="116" t="n">
        <v>5</v>
      </c>
      <c r="D40" s="207">
        <f>ROUND(219.83*'1'!$K$3,2)</f>
        <v/>
      </c>
    </row>
    <row r="41">
      <c r="B41" s="89" t="inlineStr">
        <is>
          <t>Ольха</t>
        </is>
      </c>
      <c r="C41" s="116" t="n">
        <v>4</v>
      </c>
      <c r="D41" s="207">
        <f>ROUND(2885.22*'1'!$K$3,2)</f>
        <v/>
      </c>
    </row>
    <row r="42">
      <c r="B42" s="89" t="inlineStr">
        <is>
          <t>Орех</t>
        </is>
      </c>
      <c r="C42" s="116" t="n">
        <v>2</v>
      </c>
      <c r="D42" s="207">
        <f>ROUND(5065.91*'1'!$K$3,2)</f>
        <v/>
      </c>
    </row>
    <row r="43">
      <c r="B43" s="89" t="inlineStr">
        <is>
          <t>Осина</t>
        </is>
      </c>
      <c r="C43" s="116" t="n">
        <v>4</v>
      </c>
      <c r="D43" s="207">
        <f>ROUND(2885.22*'1'!$K$3,2)</f>
        <v/>
      </c>
    </row>
    <row r="44">
      <c r="B44" s="89" t="inlineStr">
        <is>
          <t>Остолоп</t>
        </is>
      </c>
      <c r="D44" s="207" t="n"/>
    </row>
    <row r="45">
      <c r="B45" s="89" t="inlineStr">
        <is>
          <t>Пень</t>
        </is>
      </c>
      <c r="D45" s="207" t="n"/>
    </row>
    <row r="46">
      <c r="B46" s="89" t="inlineStr">
        <is>
          <t>Пихта</t>
        </is>
      </c>
      <c r="C46" s="116" t="n">
        <v>1</v>
      </c>
      <c r="D46" s="207">
        <f>ROUND(6337.38*'1'!$K$3,2)</f>
        <v/>
      </c>
    </row>
    <row r="47">
      <c r="B47" s="89" t="inlineStr">
        <is>
          <t>пл.-ягодный кустарник</t>
        </is>
      </c>
      <c r="C47" s="116" t="n">
        <v>5</v>
      </c>
      <c r="D47" s="207">
        <f>ROUND(219.83*'1'!$K$3,2)</f>
        <v/>
      </c>
    </row>
    <row r="48">
      <c r="B48" s="89" t="inlineStr">
        <is>
          <t>Плодовое</t>
        </is>
      </c>
      <c r="C48" s="116" t="n">
        <v>3</v>
      </c>
      <c r="D48" s="207">
        <f>ROUND(4163.88*'1'!$K$3,2)</f>
        <v/>
      </c>
    </row>
    <row r="49">
      <c r="B49" s="89" t="inlineStr">
        <is>
          <t>поросль</t>
        </is>
      </c>
      <c r="D49" s="207" t="n"/>
    </row>
    <row r="50">
      <c r="B50" s="89" t="inlineStr">
        <is>
          <t>пузыреплодник куст</t>
        </is>
      </c>
      <c r="C50" s="116" t="n">
        <v>5</v>
      </c>
      <c r="D50" s="207">
        <f>ROUND(219.83*'1'!$K$3,2)</f>
        <v/>
      </c>
    </row>
    <row r="51">
      <c r="B51" s="89" t="inlineStr">
        <is>
          <t>ракитник куст</t>
        </is>
      </c>
      <c r="C51" s="116" t="n">
        <v>5</v>
      </c>
      <c r="D51" s="207">
        <f>ROUND(219.83*'1'!$K$3,2)</f>
        <v/>
      </c>
    </row>
    <row r="52">
      <c r="B52" s="89" t="inlineStr">
        <is>
          <t>роза куст</t>
        </is>
      </c>
      <c r="C52" s="116" t="n">
        <v>5</v>
      </c>
      <c r="D52" s="207">
        <f>ROUND(219.83*'1'!$K$3,2)</f>
        <v/>
      </c>
    </row>
    <row r="53">
      <c r="B53" s="89" t="inlineStr">
        <is>
          <t>Рябина</t>
        </is>
      </c>
      <c r="C53" s="116" t="n">
        <v>3</v>
      </c>
      <c r="D53" s="207">
        <f>ROUND(4163.88*'1'!$K$3,2)</f>
        <v/>
      </c>
    </row>
    <row r="54">
      <c r="B54" s="89" t="inlineStr">
        <is>
          <t>Саженцы</t>
        </is>
      </c>
      <c r="D54" s="207" t="n"/>
    </row>
    <row r="55">
      <c r="B55" s="89" t="inlineStr">
        <is>
          <t>Самосев до 8 см.</t>
        </is>
      </c>
      <c r="D55" s="207" t="n"/>
    </row>
    <row r="56">
      <c r="B56" s="89" t="inlineStr">
        <is>
          <t>сирень куст</t>
        </is>
      </c>
      <c r="C56" s="116" t="n">
        <v>5</v>
      </c>
      <c r="D56" s="207">
        <f>ROUND(219.83*'1'!$K$3,2)</f>
        <v/>
      </c>
    </row>
    <row r="57">
      <c r="B57" s="89" t="inlineStr">
        <is>
          <t>Слива</t>
        </is>
      </c>
      <c r="C57" s="116" t="n">
        <v>3</v>
      </c>
      <c r="D57" s="207">
        <f>ROUND(4163.88*'1'!$K$3,2)</f>
        <v/>
      </c>
    </row>
    <row r="58">
      <c r="B58" s="89" t="inlineStr">
        <is>
          <t>слива куст</t>
        </is>
      </c>
      <c r="C58" s="116" t="n">
        <v>5</v>
      </c>
      <c r="D58" s="207">
        <f>ROUND(219.83*'1'!$K$3,2)</f>
        <v/>
      </c>
    </row>
    <row r="59">
      <c r="B59" s="89" t="inlineStr">
        <is>
          <t>смородина куст</t>
        </is>
      </c>
      <c r="C59" s="116" t="n">
        <v>5</v>
      </c>
      <c r="D59" s="207">
        <f>ROUND(219.83*'1'!$K$3,2)</f>
        <v/>
      </c>
    </row>
    <row r="60">
      <c r="B60" s="89" t="inlineStr">
        <is>
          <t>снежноягодник куст</t>
        </is>
      </c>
      <c r="C60" s="116" t="n">
        <v>5</v>
      </c>
      <c r="D60" s="207">
        <f>ROUND(219.83*'1'!$K$3,2)</f>
        <v/>
      </c>
    </row>
    <row r="61">
      <c r="B61" s="89" t="inlineStr">
        <is>
          <t>Сосна</t>
        </is>
      </c>
      <c r="C61" s="116" t="n">
        <v>1</v>
      </c>
      <c r="D61" s="207">
        <f>ROUND(6337.38*'1'!$K$3,2)</f>
        <v/>
      </c>
    </row>
    <row r="62">
      <c r="B62" s="89" t="inlineStr">
        <is>
          <t>спирея куст</t>
        </is>
      </c>
      <c r="C62" s="116" t="n">
        <v>5</v>
      </c>
      <c r="D62" s="207">
        <f>ROUND(219.83*'1'!$K$3,2)</f>
        <v/>
      </c>
    </row>
    <row r="63">
      <c r="B63" s="89" t="inlineStr">
        <is>
          <t>Сухостой</t>
        </is>
      </c>
      <c r="D63" s="207" t="n"/>
    </row>
    <row r="64">
      <c r="B64" s="89" t="inlineStr">
        <is>
          <t>Тополь</t>
        </is>
      </c>
      <c r="C64" s="116" t="n">
        <v>4</v>
      </c>
      <c r="D64" s="207">
        <f>ROUND(2885.22*'1'!$K$3,2)</f>
        <v/>
      </c>
    </row>
    <row r="65">
      <c r="B65" s="89" t="inlineStr">
        <is>
          <t>тополь (поросль)</t>
        </is>
      </c>
      <c r="D65" s="207" t="n"/>
    </row>
    <row r="66">
      <c r="B66" s="89" t="inlineStr">
        <is>
          <t>Тополь белый</t>
        </is>
      </c>
      <c r="C66" s="116" t="n">
        <v>3</v>
      </c>
      <c r="D66" s="207">
        <f>ROUND(4163.88*'1'!$K$3,2)</f>
        <v/>
      </c>
    </row>
    <row r="67">
      <c r="B67" s="89" t="inlineStr">
        <is>
          <t>Тополь пирамидальный</t>
        </is>
      </c>
      <c r="C67" s="116" t="n">
        <v>3</v>
      </c>
      <c r="D67" s="207">
        <f>ROUND(4163.88*'1'!$K$3,2)</f>
        <v/>
      </c>
    </row>
    <row r="68">
      <c r="B68" s="89" t="inlineStr">
        <is>
          <t>Травяной покров</t>
        </is>
      </c>
      <c r="D68" s="207" t="n">
        <v>811.367655</v>
      </c>
    </row>
    <row r="69">
      <c r="B69" s="89" t="inlineStr">
        <is>
          <t>Туя</t>
        </is>
      </c>
      <c r="C69" s="116" t="n">
        <v>1</v>
      </c>
      <c r="D69" s="207">
        <f>ROUND(6337.38*'1'!$K$3,2)</f>
        <v/>
      </c>
    </row>
    <row r="70">
      <c r="B70" s="89" t="inlineStr">
        <is>
          <t>туя куст</t>
        </is>
      </c>
      <c r="C70" s="116" t="n">
        <v>5</v>
      </c>
      <c r="D70" s="207">
        <f>ROUND(219.83*'1'!$K$3,2)</f>
        <v/>
      </c>
    </row>
    <row r="71">
      <c r="B71" s="89" t="inlineStr">
        <is>
          <t>хвойный кустарник</t>
        </is>
      </c>
      <c r="C71" s="116" t="n">
        <v>5</v>
      </c>
      <c r="D71" s="207">
        <f>ROUND(219.83*'1'!$K$3,2)</f>
        <v/>
      </c>
    </row>
    <row r="72">
      <c r="B72" s="89" t="inlineStr">
        <is>
          <t>Черемуха</t>
        </is>
      </c>
      <c r="C72" s="116" t="n">
        <v>3</v>
      </c>
      <c r="D72" s="207">
        <f>ROUND(4163.88*'1'!$K$3,2)</f>
        <v/>
      </c>
    </row>
    <row r="73">
      <c r="B73" s="89" t="inlineStr">
        <is>
          <t>черемуха куст</t>
        </is>
      </c>
      <c r="C73" s="116" t="n">
        <v>5</v>
      </c>
      <c r="D73" s="207">
        <f>ROUND(219.83*'1'!$K$3,2)</f>
        <v/>
      </c>
    </row>
    <row r="74">
      <c r="B74" s="89" t="inlineStr">
        <is>
          <t>чубушник куст</t>
        </is>
      </c>
      <c r="C74" s="116" t="n">
        <v>5</v>
      </c>
      <c r="D74" s="207">
        <f>ROUND(219.83*'1'!$K$3,2)</f>
        <v/>
      </c>
    </row>
    <row r="75">
      <c r="B75" s="88" t="inlineStr">
        <is>
          <t>Экзот</t>
        </is>
      </c>
      <c r="C75" s="116" t="n">
        <v>2</v>
      </c>
      <c r="D75" s="207">
        <f>ROUND(5065.91*'1'!$K$3,2)</f>
        <v/>
      </c>
    </row>
    <row r="76">
      <c r="B76" s="88" t="inlineStr">
        <is>
          <t>Яблоня</t>
        </is>
      </c>
      <c r="C76" s="116" t="n">
        <v>3</v>
      </c>
      <c r="D76" s="207">
        <f>ROUND(4163.88*'1'!$K$3,2)</f>
        <v/>
      </c>
    </row>
    <row r="77">
      <c r="B77" s="88" t="inlineStr">
        <is>
          <t>Ясень</t>
        </is>
      </c>
      <c r="C77" s="116" t="n">
        <v>2</v>
      </c>
      <c r="D77" s="207">
        <f>ROUND(5065.91*'1'!$K$3,2)</f>
        <v/>
      </c>
    </row>
    <row r="78">
      <c r="B78" s="88" t="inlineStr">
        <is>
          <t>*******************      ко/куст.</t>
        </is>
      </c>
      <c r="D78" s="207">
        <f>PRODUCT(219.83,1.05,'1'!K3)</f>
        <v/>
      </c>
    </row>
    <row r="79">
      <c r="B79" s="88" t="inlineStr">
        <is>
          <t>*******************    ко/трава</t>
        </is>
      </c>
      <c r="D79" s="207">
        <f>PRODUCT(194.976,1.05,'1'!K3)</f>
        <v/>
      </c>
    </row>
    <row r="80">
      <c r="B80" s="88" t="inlineStr">
        <is>
          <t>*******************     ко/дер.</t>
        </is>
      </c>
      <c r="D80" s="207">
        <f>PRODUCT(3167.08,1.05,'1'!K3)</f>
        <v/>
      </c>
    </row>
    <row r="81">
      <c r="B81" s="43" t="n"/>
      <c r="C81" s="51" t="n"/>
    </row>
    <row r="82" ht="51" customHeight="1">
      <c r="B82" s="56" t="inlineStr">
        <is>
          <t>группа пород</t>
        </is>
      </c>
      <c r="C82" s="57" t="inlineStr">
        <is>
          <t>Код цен-ности</t>
        </is>
      </c>
    </row>
    <row r="83">
      <c r="B83" s="40" t="inlineStr">
        <is>
          <t xml:space="preserve">хвойные </t>
        </is>
      </c>
      <c r="C83" s="58" t="inlineStr">
        <is>
          <t>1</t>
        </is>
      </c>
      <c r="D83" s="64" t="n"/>
    </row>
    <row r="84">
      <c r="B84" s="41" t="inlineStr">
        <is>
          <t xml:space="preserve">лиственные I гр. </t>
        </is>
      </c>
      <c r="C84" s="58" t="inlineStr">
        <is>
          <t>2</t>
        </is>
      </c>
      <c r="D84" s="64" t="n"/>
    </row>
    <row r="85">
      <c r="B85" s="41" t="inlineStr">
        <is>
          <t xml:space="preserve">лиственные II гр. </t>
        </is>
      </c>
      <c r="C85" s="59" t="n">
        <v>3</v>
      </c>
    </row>
    <row r="86">
      <c r="B86" s="41" t="inlineStr">
        <is>
          <t>лиственные III гр.</t>
        </is>
      </c>
      <c r="C86" s="60" t="n">
        <v>4</v>
      </c>
    </row>
  </sheetData>
  <autoFilter ref="B1:D80"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F41"/>
  <sheetViews>
    <sheetView view="pageBreakPreview" zoomScale="85" zoomScaleNormal="75" workbookViewId="0">
      <selection activeCell="D18" sqref="D18"/>
    </sheetView>
  </sheetViews>
  <sheetFormatPr baseColWidth="8" defaultColWidth="9.140625" defaultRowHeight="18"/>
  <cols>
    <col width="17.7109375" customWidth="1" style="239" min="1" max="7"/>
    <col width="9.140625" customWidth="1" style="239" min="8" max="9"/>
    <col width="15.5703125" customWidth="1" style="239" min="10" max="10"/>
    <col width="16" customWidth="1" style="239" min="11" max="11"/>
    <col width="13.28515625" customWidth="1" style="239" min="12" max="12"/>
    <col width="9.140625" customWidth="1" style="239" min="13" max="17"/>
    <col width="9.140625" customWidth="1" style="239" min="18" max="16384"/>
  </cols>
  <sheetData>
    <row r="1" ht="60" customHeight="1">
      <c r="A1" s="238">
        <f>'1'!A2</f>
        <v/>
      </c>
    </row>
    <row r="2">
      <c r="A2" s="245" t="inlineStr">
        <is>
          <t>Сводка по вырубке деревьев</t>
        </is>
      </c>
    </row>
    <row r="3" ht="12.75" customHeight="1">
      <c r="A3" s="246" t="n"/>
      <c r="B3" s="247" t="n"/>
      <c r="C3" s="247" t="n"/>
      <c r="D3" s="247" t="n"/>
      <c r="E3" s="247" t="n"/>
      <c r="F3" s="247" t="n"/>
      <c r="G3" s="247" t="n"/>
    </row>
    <row r="4">
      <c r="A4" s="240" t="inlineStr">
        <is>
          <t>Диаметр ствола (до)</t>
        </is>
      </c>
      <c r="B4" s="242" t="inlineStr">
        <is>
          <t>Мягколиственные</t>
        </is>
      </c>
      <c r="C4" s="243" t="n"/>
      <c r="D4" s="244" t="n"/>
      <c r="E4" s="242" t="inlineStr">
        <is>
          <t>Твердолиственные</t>
        </is>
      </c>
      <c r="F4" s="243" t="n"/>
      <c r="G4" s="244" t="n"/>
    </row>
    <row r="5">
      <c r="A5" s="241" t="n"/>
      <c r="B5" s="242" t="inlineStr">
        <is>
          <t>кол-во (дер.)</t>
        </is>
      </c>
      <c r="C5" s="242" t="inlineStr">
        <is>
          <t>кол-во (ств.)</t>
        </is>
      </c>
      <c r="D5" s="242" t="inlineStr">
        <is>
          <t>объем(т)</t>
        </is>
      </c>
      <c r="E5" s="242" t="inlineStr">
        <is>
          <t>кол-во (дер.)</t>
        </is>
      </c>
      <c r="F5" s="242" t="inlineStr">
        <is>
          <t>кол-во (ств.)</t>
        </is>
      </c>
      <c r="G5" s="242" t="inlineStr">
        <is>
          <t>объем(т)</t>
        </is>
      </c>
    </row>
    <row r="6">
      <c r="A6" s="242" t="inlineStr">
        <is>
          <t>16см</t>
        </is>
      </c>
      <c r="B6" s="117">
        <f>GetTreesCount('1'!#REF!,'1'!#REF!,'1'!#REF!,TRUE,16,'1'!#REF!)</f>
        <v/>
      </c>
      <c r="C6" s="117">
        <f>GetTreesCount('1'!#REF!,'1'!#REF!,'1'!#REF!,TRUE,16,'1'!#REF!)</f>
        <v/>
      </c>
      <c r="D6" s="117">
        <f>ROUND(C6*0.144,3)</f>
        <v/>
      </c>
      <c r="E6" s="117">
        <f>GetTreesCount('1'!#REF!,'1'!#REF!,'1'!#REF!,FALSE,16,'1'!#REF!)</f>
        <v/>
      </c>
      <c r="F6" s="117">
        <f>GetTreesCount('1'!#REF!,'1'!#REF!,'1'!#REF!,FALSE,16,'1'!#REF!)</f>
        <v/>
      </c>
      <c r="G6" s="117">
        <f>ROUND(F6*0.24,3)</f>
        <v/>
      </c>
    </row>
    <row r="7">
      <c r="A7" s="242" t="inlineStr">
        <is>
          <t>20см</t>
        </is>
      </c>
      <c r="B7" s="117">
        <f>GetTreesCount('1'!#REF!,'1'!#REF!,'1'!#REF!,TRUE,20,'1'!#REF!)</f>
        <v/>
      </c>
      <c r="C7" s="117">
        <f>GetTreesCount('1'!#REF!,'1'!#REF!,'1'!#REF!,TRUE,20,'1'!#REF!)</f>
        <v/>
      </c>
      <c r="D7" s="117">
        <f>ROUND(C7*0.2,3)</f>
        <v/>
      </c>
      <c r="E7" s="117">
        <f>GetTreesCount('1'!#REF!,'1'!#REF!,'1'!#REF!,FALSE,20,'1'!#REF!)</f>
        <v/>
      </c>
      <c r="F7" s="117">
        <f>GetTreesCount('1'!#REF!,'1'!#REF!,'1'!#REF!,FALSE,20,'1'!#REF!)</f>
        <v/>
      </c>
      <c r="G7" s="117">
        <f>ROUND(F7*0.296,3)</f>
        <v/>
      </c>
    </row>
    <row r="8">
      <c r="A8" s="242" t="inlineStr">
        <is>
          <t>24см</t>
        </is>
      </c>
      <c r="B8" s="117">
        <f>GetTreesCount('1'!#REF!,'1'!#REF!,'1'!#REF!,TRUE,24,'1'!#REF!)</f>
        <v/>
      </c>
      <c r="C8" s="117">
        <f>GetTreesCount('1'!#REF!,'1'!#REF!,'1'!#REF!,TRUE,24,'1'!#REF!)</f>
        <v/>
      </c>
      <c r="D8" s="117">
        <f>ROUND(C8*0.36,3)</f>
        <v/>
      </c>
      <c r="E8" s="117">
        <f>GetTreesCount('1'!#REF!,'1'!#REF!,'1'!#REF!,FALSE,24,'1'!#REF!)</f>
        <v/>
      </c>
      <c r="F8" s="117">
        <f>GetTreesCount('1'!#REF!,'1'!#REF!,'1'!#REF!,FALSE,24,'1'!#REF!)</f>
        <v/>
      </c>
      <c r="G8" s="117">
        <f>ROUND(F8*0.456,3)</f>
        <v/>
      </c>
    </row>
    <row r="9">
      <c r="A9" s="242" t="inlineStr">
        <is>
          <t>28см</t>
        </is>
      </c>
      <c r="B9" s="117">
        <f>GetTreesCount('1'!#REF!,'1'!#REF!,'1'!#REF!,TRUE,28,'1'!#REF!)</f>
        <v/>
      </c>
      <c r="C9" s="117">
        <f>GetTreesCount('1'!#REF!,'1'!#REF!,'1'!#REF!,TRUE,28,'1'!#REF!)</f>
        <v/>
      </c>
      <c r="D9" s="117">
        <f>ROUND(C9*0.528,3)</f>
        <v/>
      </c>
      <c r="E9" s="117">
        <f>GetTreesCount('1'!#REF!,'1'!#REF!,'1'!#REF!,FALSE,28,'1'!#REF!)</f>
        <v/>
      </c>
      <c r="F9" s="117">
        <f>GetTreesCount('1'!#REF!,'1'!#REF!,'1'!#REF!,FALSE,28,'1'!#REF!)</f>
        <v/>
      </c>
      <c r="G9" s="117">
        <f>ROUND(F9*0.624,3)</f>
        <v/>
      </c>
    </row>
    <row r="10">
      <c r="A10" s="242" t="inlineStr">
        <is>
          <t>32см</t>
        </is>
      </c>
      <c r="B10" s="117">
        <f>GetTreesCount('1'!#REF!,'1'!#REF!,'1'!#REF!,TRUE,32,'1'!#REF!)</f>
        <v/>
      </c>
      <c r="C10" s="117">
        <f t="array" aca="1" ref="C10" ca="1">GetTreesCount('1'!#REF!,'1'!#REF!,'1'!#REF!,TRUE,32,'1'!#REF!)</f>
        <v/>
      </c>
      <c r="D10" s="117">
        <f>ROUND(C10*0.696,3)</f>
        <v/>
      </c>
      <c r="E10" s="117">
        <f>GetTreesCount('1'!#REF!,'1'!#REF!,'1'!#REF!,FALSE,32,'1'!#REF!)</f>
        <v/>
      </c>
      <c r="F10" s="117">
        <f>GetTreesCount('1'!#REF!,'1'!#REF!,'1'!#REF!,FALSE,32,'1'!#REF!)</f>
        <v/>
      </c>
      <c r="G10" s="117">
        <f>ROUND(F10*0.792,3)</f>
        <v/>
      </c>
    </row>
    <row r="11">
      <c r="A11" s="242" t="inlineStr">
        <is>
          <t>45см</t>
        </is>
      </c>
      <c r="B11" s="117">
        <f>GetTreesCount('1'!#REF!,'1'!#REF!,'1'!#REF!,TRUE,45,'1'!#REF!)</f>
        <v/>
      </c>
      <c r="C11" s="117">
        <f>GetTreesCount('1'!#REF!,'1'!#REF!,'1'!#REF!,TRUE,45,'1'!#REF!)</f>
        <v/>
      </c>
      <c r="D11" s="117">
        <f>ROUND(C11*1.368,3)</f>
        <v/>
      </c>
      <c r="E11" s="117">
        <f>GetTreesCount('1'!#REF!,'1'!#REF!,'1'!#REF!,FALSE,45,'1'!#REF!)</f>
        <v/>
      </c>
      <c r="F11" s="117">
        <f>GetTreesCount('1'!#REF!,'1'!#REF!,'1'!#REF!,FALSE,45,'1'!#REF!)</f>
        <v/>
      </c>
      <c r="G11" s="117">
        <f>ROUND(F11*1.464,3)</f>
        <v/>
      </c>
    </row>
    <row r="12">
      <c r="A12" s="242" t="inlineStr">
        <is>
          <t>55см</t>
        </is>
      </c>
      <c r="B12" s="117">
        <f>GetTreesCount('1'!#REF!,'1'!#REF!,'1'!#REF!,TRUE,55,'1'!#REF!)</f>
        <v/>
      </c>
      <c r="C12" s="117">
        <f>GetTreesCount('1'!#REF!,'1'!#REF!,'1'!#REF!,TRUE,55,'1'!#REF!)</f>
        <v/>
      </c>
      <c r="D12" s="117">
        <f>ROUND(C12*2.152,3)</f>
        <v/>
      </c>
      <c r="E12" s="117">
        <f>GetTreesCount('1'!#REF!,'1'!#REF!,'1'!#REF!,FALSE,55,'1'!#REF!)</f>
        <v/>
      </c>
      <c r="F12" s="117">
        <f>GetTreesCount('1'!#REF!,'1'!#REF!,'1'!#REF!,FALSE,55,'1'!#REF!)</f>
        <v/>
      </c>
      <c r="G12" s="117">
        <f>ROUND(F12*2.248,3)</f>
        <v/>
      </c>
    </row>
    <row r="13">
      <c r="A13" s="242" t="inlineStr">
        <is>
          <t>65см</t>
        </is>
      </c>
      <c r="B13" s="117">
        <f>GetTreesCount('1'!#REF!,'1'!#REF!,'1'!#REF!,TRUE,65,'1'!#REF!)</f>
        <v/>
      </c>
      <c r="C13" s="117">
        <f>GetTreesCount('1'!#REF!,'1'!#REF!,'1'!#REF!,TRUE,65,'1'!#REF!)</f>
        <v/>
      </c>
      <c r="D13" s="117">
        <f>ROUND(C13*3.224,3)</f>
        <v/>
      </c>
      <c r="E13" s="117">
        <f>GetTreesCount('1'!#REF!,'1'!#REF!,'1'!#REF!,FALSE,65,'1'!#REF!)</f>
        <v/>
      </c>
      <c r="F13" s="117">
        <f>GetTreesCount('1'!#REF!,'1'!#REF!,'1'!#REF!,FALSE,65,'1'!#REF!)</f>
        <v/>
      </c>
      <c r="G13" s="117">
        <f>ROUND(F13*3.32,3)</f>
        <v/>
      </c>
    </row>
    <row r="14">
      <c r="A14" s="118" t="inlineStr">
        <is>
          <t>75см и более</t>
        </is>
      </c>
      <c r="B14" s="117">
        <f>GetTreesCount('1'!#REF!,'1'!#REF!,'1'!#REF!,TRUE,75,'1'!#REF!)</f>
        <v/>
      </c>
      <c r="C14" s="117">
        <f>GetTreesCount('1'!#REF!,'1'!#REF!,'1'!#REF!,TRUE,75,'1'!#REF!)</f>
        <v/>
      </c>
      <c r="D14" s="117">
        <f>ROUND(C14*4.384,3)</f>
        <v/>
      </c>
      <c r="E14" s="117">
        <f>GetTreesCount('1'!#REF!,'1'!#REF!,'1'!#REF!,FALSE,75,'1'!#REF!)</f>
        <v/>
      </c>
      <c r="F14" s="117">
        <f>GetTreesCount('1'!#REF!,'1'!#REF!,'1'!#REF!,FALSE,75,'1'!#REF!)</f>
        <v/>
      </c>
      <c r="G14" s="117">
        <f>ROUND(F14*4.48,3)</f>
        <v/>
      </c>
    </row>
    <row r="15">
      <c r="A15" s="119" t="inlineStr">
        <is>
          <t>Итого:</t>
        </is>
      </c>
      <c r="B15" s="120">
        <f>SUM(B6:B14)</f>
        <v/>
      </c>
      <c r="C15" s="120">
        <f>SUM(C6:C14)</f>
        <v/>
      </c>
      <c r="D15" s="120">
        <f>SUM(D6:D14)</f>
        <v/>
      </c>
      <c r="E15" s="120">
        <f>SUM(E6:E14)</f>
        <v/>
      </c>
      <c r="F15" s="120">
        <f>SUM(F6:F14)</f>
        <v/>
      </c>
      <c r="G15" s="120">
        <f>SUM(G6:G14)</f>
        <v/>
      </c>
    </row>
    <row r="17" ht="30.75" customHeight="1">
      <c r="C17" s="173" t="inlineStr">
        <is>
          <t>Инженер-дендролог</t>
        </is>
      </c>
      <c r="F17" s="239" t="inlineStr">
        <is>
          <t>Тумаков А.В.</t>
        </is>
      </c>
    </row>
    <row r="19">
      <c r="C19" s="239" t="inlineStr">
        <is>
          <t>Дата:</t>
        </is>
      </c>
      <c r="D19" s="176" t="inlineStr">
        <is>
          <t>22.08.2006</t>
        </is>
      </c>
    </row>
    <row r="29" ht="34.5" customHeight="1">
      <c r="J29" s="155" t="n"/>
      <c r="K29" s="152" t="inlineStr">
        <is>
          <t>процент восстановл</t>
        </is>
      </c>
    </row>
    <row r="30" ht="34.5" customHeight="1">
      <c r="J30" s="153" t="inlineStr">
        <is>
          <t>Кол-во дер</t>
        </is>
      </c>
      <c r="K30" s="154" t="n"/>
      <c r="L30" s="239" t="n">
        <v>0</v>
      </c>
      <c r="M30" s="239" t="n">
        <v>5</v>
      </c>
      <c r="N30" s="239" t="n">
        <v>10</v>
      </c>
      <c r="O30" s="239" t="n">
        <v>15</v>
      </c>
      <c r="P30" s="239" t="n">
        <v>20</v>
      </c>
      <c r="Q30" s="239" t="n">
        <v>25</v>
      </c>
      <c r="R30" s="239" t="n">
        <v>30</v>
      </c>
      <c r="S30" s="239" t="n">
        <v>35</v>
      </c>
      <c r="T30" s="239" t="n">
        <v>40</v>
      </c>
      <c r="U30" s="239" t="n">
        <v>45</v>
      </c>
      <c r="V30" s="239" t="n">
        <v>50</v>
      </c>
      <c r="W30" s="239" t="n">
        <v>55</v>
      </c>
      <c r="X30" s="239" t="n">
        <v>60</v>
      </c>
      <c r="Y30" s="239" t="n">
        <v>65</v>
      </c>
      <c r="Z30" s="239" t="n">
        <v>70</v>
      </c>
      <c r="AA30" s="239" t="n">
        <v>75</v>
      </c>
      <c r="AB30" s="239" t="n">
        <v>80</v>
      </c>
      <c r="AC30" s="239" t="n">
        <v>85</v>
      </c>
      <c r="AD30" s="239" t="n">
        <v>90</v>
      </c>
      <c r="AE30" s="239" t="n">
        <v>95</v>
      </c>
      <c r="AF30" s="239" t="n">
        <v>100</v>
      </c>
    </row>
    <row r="31">
      <c r="K31" s="239" t="n">
        <v>10</v>
      </c>
      <c r="L31" s="239" t="n">
        <v>0</v>
      </c>
      <c r="M31" s="239" t="n">
        <v>0</v>
      </c>
      <c r="N31" s="239" t="n">
        <v>0</v>
      </c>
      <c r="O31" s="239" t="n">
        <v>0</v>
      </c>
      <c r="P31" s="239" t="n">
        <v>0</v>
      </c>
      <c r="Q31" s="239" t="n">
        <v>0</v>
      </c>
      <c r="R31" s="239" t="n">
        <v>0</v>
      </c>
      <c r="S31" s="239" t="n">
        <v>0</v>
      </c>
      <c r="T31" s="239" t="n">
        <v>0</v>
      </c>
      <c r="U31" s="239" t="n">
        <v>0</v>
      </c>
      <c r="V31" s="239" t="n">
        <v>0</v>
      </c>
      <c r="W31" s="239" t="n">
        <v>0</v>
      </c>
      <c r="X31" s="239" t="n">
        <v>0</v>
      </c>
      <c r="Y31" s="239" t="n">
        <v>5</v>
      </c>
      <c r="Z31" s="239" t="n">
        <v>0</v>
      </c>
      <c r="AA31" s="239" t="n">
        <v>0</v>
      </c>
      <c r="AB31" s="239" t="n">
        <v>0</v>
      </c>
      <c r="AC31" s="239" t="n">
        <v>0</v>
      </c>
      <c r="AD31" s="239" t="n">
        <v>0</v>
      </c>
      <c r="AE31" s="239" t="n">
        <v>0</v>
      </c>
      <c r="AF31" s="239" t="n">
        <v>0</v>
      </c>
    </row>
    <row r="32">
      <c r="K32" s="239" t="n">
        <v>50</v>
      </c>
      <c r="L32" s="239" t="n">
        <v>0</v>
      </c>
      <c r="M32" s="239" t="n">
        <v>0</v>
      </c>
      <c r="N32" s="239" t="n">
        <v>0</v>
      </c>
      <c r="O32" s="239" t="n">
        <v>0</v>
      </c>
      <c r="P32" s="239" t="n">
        <v>0</v>
      </c>
      <c r="Q32" s="239" t="n">
        <v>0</v>
      </c>
      <c r="R32" s="239" t="n">
        <v>0</v>
      </c>
      <c r="S32" s="239" t="n">
        <v>0</v>
      </c>
      <c r="T32" s="239" t="n">
        <v>0</v>
      </c>
      <c r="U32" s="239" t="n">
        <v>0</v>
      </c>
      <c r="V32" s="239" t="n">
        <v>0</v>
      </c>
      <c r="W32" s="239" t="n">
        <v>0</v>
      </c>
      <c r="X32" s="239" t="n">
        <v>0</v>
      </c>
      <c r="Y32" s="239" t="n">
        <v>0</v>
      </c>
      <c r="Z32" s="239" t="n">
        <v>0</v>
      </c>
      <c r="AA32" s="239" t="n">
        <v>0</v>
      </c>
      <c r="AB32" s="239" t="n">
        <v>0</v>
      </c>
      <c r="AC32" s="239" t="n">
        <v>0</v>
      </c>
      <c r="AD32" s="239" t="n">
        <v>0</v>
      </c>
      <c r="AE32" s="239" t="n">
        <v>0</v>
      </c>
      <c r="AF32" s="239" t="n">
        <v>0</v>
      </c>
    </row>
    <row r="33">
      <c r="K33" s="239" t="n">
        <v>100</v>
      </c>
      <c r="L33" s="156">
        <f>($K$33-$K$33*L30/100)*2-100</f>
        <v/>
      </c>
      <c r="M33" s="157">
        <f>($K$33-$K$33*M30/100)*2-100</f>
        <v/>
      </c>
      <c r="N33" s="157">
        <f>($K$33-$K$33*N30/100)*2-100</f>
        <v/>
      </c>
      <c r="O33" s="157">
        <f>($K$33-$K$33*O30/100)*2-100</f>
        <v/>
      </c>
      <c r="P33" s="239">
        <f>($K$33-$K$33*P30/100)*2-100</f>
        <v/>
      </c>
      <c r="Q33" s="239">
        <f>($K$33-$K$33*Q30/100)*2-100</f>
        <v/>
      </c>
      <c r="R33" s="239">
        <f>($K$33-$K$33*R30/100)*2-100</f>
        <v/>
      </c>
      <c r="S33" s="239">
        <f>($K$33-$K$33*S30/100)*2-100</f>
        <v/>
      </c>
      <c r="T33" s="239">
        <f>($K$33-$K$33*T30/100)*2-100</f>
        <v/>
      </c>
      <c r="U33" s="239">
        <f>($K$33-$K$33*U30/100)*2-100</f>
        <v/>
      </c>
      <c r="V33" s="239" t="n">
        <v>0</v>
      </c>
      <c r="W33" s="239" t="n">
        <v>0</v>
      </c>
      <c r="X33" s="239" t="n">
        <v>0</v>
      </c>
      <c r="Y33" s="239" t="n">
        <v>0</v>
      </c>
      <c r="Z33" s="239" t="n">
        <v>0</v>
      </c>
      <c r="AA33" s="239" t="n">
        <v>0</v>
      </c>
      <c r="AB33" s="239" t="n">
        <v>0</v>
      </c>
      <c r="AC33" s="239" t="n">
        <v>0</v>
      </c>
      <c r="AD33" s="239" t="n">
        <v>0</v>
      </c>
      <c r="AE33" s="239" t="n">
        <v>0</v>
      </c>
      <c r="AF33" s="239" t="n">
        <v>0</v>
      </c>
    </row>
    <row r="34">
      <c r="K34" s="239" t="n">
        <v>150</v>
      </c>
      <c r="L34" s="239">
        <f>($K$34-$K$34*L30/100)*2-100</f>
        <v/>
      </c>
      <c r="M34" s="239">
        <f>($K$34-$K$34*M30/100)*2-100</f>
        <v/>
      </c>
      <c r="N34" s="239">
        <f>($K$34-$K$34*N30/100)*2-100</f>
        <v/>
      </c>
      <c r="O34" s="239">
        <f>($K$34-$K$34*O30/100)*2-100</f>
        <v/>
      </c>
      <c r="P34" s="157">
        <f>($K$34-$K$34*P30/100)*2-100</f>
        <v/>
      </c>
      <c r="Q34" s="239">
        <f>($K$34-$K$34*Q30/100)*2-100</f>
        <v/>
      </c>
      <c r="R34" s="239">
        <f>($K$34-$K$34*R30/100)*2-100</f>
        <v/>
      </c>
      <c r="S34" s="239">
        <f>($K$34-$K$34*S30/100)*2-100</f>
        <v/>
      </c>
      <c r="T34" s="239">
        <f>($K$34-$K$34*T30/100)*2-100</f>
        <v/>
      </c>
      <c r="U34" s="239">
        <f>($K$34-$K$34*U30/100)*2-100</f>
        <v/>
      </c>
      <c r="V34" s="239">
        <f>($K$34-$K$34*V30/100)*2-100</f>
        <v/>
      </c>
      <c r="W34" s="239">
        <f>($K$34-$K$34*W30/100)*2-100</f>
        <v/>
      </c>
      <c r="X34" s="239">
        <f>($K$34-$K$34*X30/100)*2-100</f>
        <v/>
      </c>
      <c r="Y34" s="239">
        <f>($K$34-$K$34*Y30/100)*2-100</f>
        <v/>
      </c>
      <c r="Z34" s="239" t="n">
        <v>0</v>
      </c>
      <c r="AA34" s="239" t="n">
        <v>0</v>
      </c>
      <c r="AB34" s="239" t="n">
        <v>0</v>
      </c>
      <c r="AC34" s="239" t="n">
        <v>0</v>
      </c>
      <c r="AD34" s="239" t="n">
        <v>0</v>
      </c>
      <c r="AE34" s="239" t="n">
        <v>0</v>
      </c>
      <c r="AF34" s="239" t="n">
        <v>0</v>
      </c>
    </row>
    <row r="35">
      <c r="K35" s="239" t="n">
        <v>200</v>
      </c>
      <c r="L35" s="239">
        <f>($K$35-$K$35*L30/100)*2-100</f>
        <v/>
      </c>
      <c r="M35" s="239">
        <f>($K$35-$K$35*M30/100)*2-100</f>
        <v/>
      </c>
      <c r="N35" s="239">
        <f>($K$35-$K$35*N30/100)*2-100</f>
        <v/>
      </c>
      <c r="O35" s="239">
        <f>($K$35-$K$35*O30/100)*2-100</f>
        <v/>
      </c>
      <c r="P35" s="239">
        <f>($K$35-$K$35*P30/100)*2-100</f>
        <v/>
      </c>
      <c r="Q35" s="156">
        <f>($K$35-$K$35*Q30/100)*2-100</f>
        <v/>
      </c>
      <c r="R35" s="239">
        <f>($K$35-$K$35*R30/100)*2-100</f>
        <v/>
      </c>
      <c r="S35" s="239">
        <f>($K$35-$K$35*S30/100)*2-100</f>
        <v/>
      </c>
      <c r="T35" s="239">
        <f>($K$35-$K$35*T30/100)*2-100</f>
        <v/>
      </c>
      <c r="U35" s="239">
        <f>($K$35-$K$35*U30/100)*2-100</f>
        <v/>
      </c>
      <c r="V35" s="239">
        <f>($K$35-$K$35*V30/100)*2-100</f>
        <v/>
      </c>
      <c r="W35" s="239">
        <f>($K$35-$K$35*W30/100)*2-100</f>
        <v/>
      </c>
      <c r="X35" s="239">
        <f>($K$35-$K$35*X30/100)*2-100</f>
        <v/>
      </c>
      <c r="Y35" s="239">
        <f>($K$35-$K$35*Y30/100)*2-100</f>
        <v/>
      </c>
      <c r="Z35" s="239">
        <f>($K$35-$K$35*Z30/100)*2-100</f>
        <v/>
      </c>
      <c r="AA35" s="239" t="n">
        <v>0</v>
      </c>
      <c r="AB35" s="239" t="n">
        <v>0</v>
      </c>
      <c r="AC35" s="239" t="n">
        <v>0</v>
      </c>
      <c r="AD35" s="239" t="n">
        <v>0</v>
      </c>
      <c r="AE35" s="239" t="n">
        <v>0</v>
      </c>
      <c r="AF35" s="239" t="n">
        <v>0</v>
      </c>
    </row>
    <row r="36">
      <c r="K36" s="239" t="n">
        <v>250</v>
      </c>
      <c r="L36" s="239">
        <f>($K$36-$K$36*L30/100)*2-100</f>
        <v/>
      </c>
      <c r="M36" s="239">
        <f>($K$36-$K$36*M30/100)*2-100</f>
        <v/>
      </c>
      <c r="N36" s="239">
        <f>($K$36-$K$36*N30/100)*2-100</f>
        <v/>
      </c>
      <c r="O36" s="239">
        <f>($K$36-$K$36*O30/100)*2-100</f>
        <v/>
      </c>
      <c r="P36" s="239">
        <f>($K$36-$K$36*P30/100)*2-100</f>
        <v/>
      </c>
      <c r="Q36" s="239">
        <f>($K$36-$K$36*Q30/100)*2-100</f>
        <v/>
      </c>
      <c r="R36" s="156">
        <f>($K$36-$K$36*R30/100)*2-100</f>
        <v/>
      </c>
      <c r="S36" s="239">
        <f>($K$36-$K$36*S30/100)*2-100</f>
        <v/>
      </c>
      <c r="T36" s="239">
        <f>($K$36-$K$36*T30/100)*2-100</f>
        <v/>
      </c>
      <c r="U36" s="239">
        <f>($K$36-$K$36*U30/100)*2-100</f>
        <v/>
      </c>
      <c r="V36" s="239">
        <f>($K$36-$K$36*V30/100)*2-100</f>
        <v/>
      </c>
      <c r="W36" s="239">
        <f>($K$36-$K$36*W30/100)*2-100</f>
        <v/>
      </c>
      <c r="X36" s="239">
        <f>($K$36-$K$36*X30/100)*2-100</f>
        <v/>
      </c>
      <c r="Y36" s="239">
        <f>($K$36-$K$36*Y30/100)*2-100</f>
        <v/>
      </c>
      <c r="Z36" s="239">
        <f>($K$36-$K$36*Z30/100)*2-100</f>
        <v/>
      </c>
      <c r="AA36" s="239">
        <f>($K$36-$K$36*AA30/100)*2-100</f>
        <v/>
      </c>
      <c r="AB36" s="239">
        <f>($K$36-$K$36*AB30/100)*2-100</f>
        <v/>
      </c>
      <c r="AC36" s="239" t="n">
        <v>0</v>
      </c>
      <c r="AD36" s="239" t="n">
        <v>0</v>
      </c>
      <c r="AE36" s="239" t="n">
        <v>0</v>
      </c>
      <c r="AF36" s="239" t="n">
        <v>0</v>
      </c>
    </row>
    <row r="37">
      <c r="K37" s="239" t="n">
        <v>300</v>
      </c>
      <c r="L37" s="239">
        <f>($K$37-$K$37*L30/100)*2-100</f>
        <v/>
      </c>
      <c r="M37" s="239">
        <f>($K$37-$K$37*M30/100)*2-100</f>
        <v/>
      </c>
      <c r="N37" s="239">
        <f>($K$37-$K$37*N30/100)*2-100</f>
        <v/>
      </c>
      <c r="O37" s="239">
        <f>($K$37-$K$37*O30/100)*2-100</f>
        <v/>
      </c>
      <c r="P37" s="239">
        <f>($K$37-$K$37*P30/100)*2-100</f>
        <v/>
      </c>
      <c r="Q37" s="239">
        <f>($K$37-$K$37*Q30/100)*2-100</f>
        <v/>
      </c>
      <c r="R37" s="239">
        <f>($K$37-$K$37*R30/100)*2-100</f>
        <v/>
      </c>
      <c r="S37" s="157">
        <f>($K$37-$K$37*S30/100)*2-100</f>
        <v/>
      </c>
      <c r="T37" s="239">
        <f>($K$37-$K$37*T30/100)*2-100</f>
        <v/>
      </c>
      <c r="U37" s="239">
        <f>($K$37-$K$37*U30/100)*2-100</f>
        <v/>
      </c>
      <c r="V37" s="239">
        <f>($K$37-$K$37*V30/100)*2-100</f>
        <v/>
      </c>
      <c r="W37" s="239">
        <f>($K$37-$K$37*W30/100)*2-100</f>
        <v/>
      </c>
      <c r="X37" s="239">
        <f>($K$37-$K$37*X30/100)*2-100</f>
        <v/>
      </c>
      <c r="Y37" s="239">
        <f>($K$37-$K$37*Y30/100)*2-100</f>
        <v/>
      </c>
      <c r="Z37" s="239">
        <f>($K$37-$K$37*Z30/100)*2-100</f>
        <v/>
      </c>
      <c r="AA37" s="239">
        <f>($K$37-$K$37*AA30/100)*2-100</f>
        <v/>
      </c>
      <c r="AB37" s="239">
        <f>($K$37-$K$37*AB30/100)*2-100</f>
        <v/>
      </c>
      <c r="AC37" s="239" t="n">
        <v>0</v>
      </c>
      <c r="AD37" s="239" t="n">
        <v>0</v>
      </c>
      <c r="AE37" s="239" t="n">
        <v>0</v>
      </c>
      <c r="AF37" s="239" t="n">
        <v>0</v>
      </c>
    </row>
    <row r="38">
      <c r="K38" s="239" t="n">
        <v>350</v>
      </c>
      <c r="L38" s="239">
        <f>($K$38-$K$38*L30/100)*2-100</f>
        <v/>
      </c>
      <c r="M38" s="239">
        <f>($K$38-$K$38*M30/100)*2-100</f>
        <v/>
      </c>
      <c r="N38" s="239">
        <f>($K$38-$K$38*N30/100)*2-100</f>
        <v/>
      </c>
      <c r="O38" s="239">
        <f>($K$38-$K$38*O30/100)*2-100</f>
        <v/>
      </c>
      <c r="P38" s="239">
        <f>($K$38-$K$38*P30/100)*2-100</f>
        <v/>
      </c>
      <c r="Q38" s="239">
        <f>($K$38-$K$38*Q30/100)*2-100</f>
        <v/>
      </c>
      <c r="R38" s="239">
        <f>($K$38-$K$38*R30/100)*2-100</f>
        <v/>
      </c>
      <c r="S38" s="239">
        <f>($K$38-$K$38*S30/100)*2-100</f>
        <v/>
      </c>
      <c r="T38" s="157">
        <f>($K$38-$K$38*T30/100)*2-100</f>
        <v/>
      </c>
      <c r="U38" s="239">
        <f>($K$38-$K$38*U30/100)*2-100</f>
        <v/>
      </c>
      <c r="V38" s="239">
        <f>($K$38-$K$38*V30/100)*2-100</f>
        <v/>
      </c>
      <c r="W38" s="239">
        <f>($K$38-$K$38*W30/100)*2-100</f>
        <v/>
      </c>
      <c r="X38" s="239">
        <f>($K$38-$K$38*X30/100)*2-100</f>
        <v/>
      </c>
      <c r="Y38" s="239">
        <f>($K$38-$K$38*Y30/100)*2-100</f>
        <v/>
      </c>
      <c r="Z38" s="239">
        <f>($K$38-$K$38*Z30/100)*2-100</f>
        <v/>
      </c>
      <c r="AA38" s="239">
        <f>($K$38-$K$38*AA30/100)*2-100</f>
        <v/>
      </c>
      <c r="AB38" s="239">
        <f>($K$38-$K$38*AB30/100)*2-100</f>
        <v/>
      </c>
      <c r="AC38" s="239">
        <f>($K$38-$K$38*AC30/100)*2-100</f>
        <v/>
      </c>
      <c r="AD38" s="239" t="n">
        <v>0</v>
      </c>
      <c r="AE38" s="239" t="n">
        <v>0</v>
      </c>
      <c r="AF38" s="239" t="n">
        <v>0</v>
      </c>
    </row>
    <row r="39">
      <c r="K39" s="239" t="n">
        <v>400</v>
      </c>
      <c r="L39" s="239">
        <f>($K$39-$K$39*L30/100)*2-100</f>
        <v/>
      </c>
      <c r="M39" s="239">
        <f>($K$39-$K$39*M30/100)*2-100</f>
        <v/>
      </c>
      <c r="N39" s="239">
        <f>($K$39-$K$39*N30/100)*2-100</f>
        <v/>
      </c>
      <c r="O39" s="239">
        <f>($K$39-$K$39*O30/100)*2-100</f>
        <v/>
      </c>
      <c r="P39" s="239">
        <f>($K$39-$K$39*P30/100)*2-100</f>
        <v/>
      </c>
      <c r="Q39" s="239">
        <f>($K$39-$K$39*Q30/100)*2-100</f>
        <v/>
      </c>
      <c r="R39" s="239">
        <f>($K$39-$K$39*R30/100)*2-100</f>
        <v/>
      </c>
      <c r="S39" s="239">
        <f>($K$39-$K$39*S30/100)*2-100</f>
        <v/>
      </c>
      <c r="T39" s="157">
        <f>($K$39-$K$39*T30/100)*2-100</f>
        <v/>
      </c>
      <c r="U39" s="239">
        <f>($K$39-$K$39*U30/100)*2-100</f>
        <v/>
      </c>
      <c r="V39" s="239">
        <f>($K$39-$K$39*V30/100)*2-100</f>
        <v/>
      </c>
      <c r="W39" s="239">
        <f>($K$39-$K$39*W30/100)*2-100</f>
        <v/>
      </c>
      <c r="X39" s="239">
        <f>($K$39-$K$39*X30/100)*2-100</f>
        <v/>
      </c>
      <c r="Y39" s="239">
        <f>($K$39-$K$39*Y30/100)*2-100</f>
        <v/>
      </c>
      <c r="Z39" s="239">
        <f>($K$39-$K$39*Z30/100)*2-100</f>
        <v/>
      </c>
      <c r="AA39" s="239">
        <f>($K$39-$K$39*AA30/100)*2-100</f>
        <v/>
      </c>
      <c r="AB39" s="239">
        <f>($K$39-$K$39*AB30/100)*2-100</f>
        <v/>
      </c>
      <c r="AC39" s="239">
        <f>($K$39-$K$39*AC30/100)*2-100</f>
        <v/>
      </c>
      <c r="AD39" s="239" t="n">
        <v>0</v>
      </c>
      <c r="AE39" s="239" t="n">
        <v>0</v>
      </c>
      <c r="AF39" s="239" t="n">
        <v>0</v>
      </c>
    </row>
    <row r="40">
      <c r="K40" s="239" t="n">
        <v>450</v>
      </c>
      <c r="L40" s="239">
        <f>($K$40-$K$40*L30/100)*2-100</f>
        <v/>
      </c>
      <c r="M40" s="239">
        <f>($K$40-$K$40*M30/100)*2-100</f>
        <v/>
      </c>
      <c r="N40" s="239">
        <f>($K$40-$K$40*N30/100)*2-100</f>
        <v/>
      </c>
      <c r="O40" s="239">
        <f>($K$40-$K$40*O30/100)*2-100</f>
        <v/>
      </c>
      <c r="P40" s="239">
        <f>($K$40-$K$40*P30/100)*2-100</f>
        <v/>
      </c>
      <c r="Q40" s="239">
        <f>($K$40-$K$40*Q30/100)*2-100</f>
        <v/>
      </c>
      <c r="R40" s="239">
        <f>($K$40-$K$40*R30/100)*2-100</f>
        <v/>
      </c>
      <c r="S40" s="239">
        <f>($K$40-$K$40*S30/100)*2-100</f>
        <v/>
      </c>
      <c r="T40" s="157">
        <f>($K$40-$K$40*T30/100)*2-100</f>
        <v/>
      </c>
      <c r="U40" s="239">
        <f>($K$40-$K$40*U30/100)*2-100</f>
        <v/>
      </c>
      <c r="V40" s="239">
        <f>($K$40-$K$40*V30/100)*2-100</f>
        <v/>
      </c>
      <c r="W40" s="239">
        <f>($K$40-$K$40*W30/100)*2-100</f>
        <v/>
      </c>
      <c r="X40" s="239">
        <f>($K$40-$K$40*X30/100)*2-100</f>
        <v/>
      </c>
      <c r="Y40" s="239">
        <f>($K$40-$K$40*Y30/100)*2-100</f>
        <v/>
      </c>
      <c r="Z40" s="239">
        <f>($K$40-$K$40*Z30/100)*2-100</f>
        <v/>
      </c>
      <c r="AA40" s="239">
        <f>($K$40-$K$40*AA30/100)*2-100</f>
        <v/>
      </c>
      <c r="AB40" s="239">
        <f>($K$40-$K$40*AB30/100)*2-100</f>
        <v/>
      </c>
      <c r="AC40" s="239">
        <f>($K$40-$K$40*AC30/100)*2-100</f>
        <v/>
      </c>
      <c r="AD40" s="239" t="n">
        <v>0</v>
      </c>
      <c r="AE40" s="239" t="n">
        <v>0</v>
      </c>
      <c r="AF40" s="239" t="n">
        <v>0</v>
      </c>
    </row>
    <row r="41">
      <c r="K41" s="239" t="n">
        <v>500</v>
      </c>
      <c r="L41" s="239">
        <f>($K$41-$K$41*L30/100)*2-100</f>
        <v/>
      </c>
      <c r="M41" s="239">
        <f>($K$41-$K$41*M30/100)*2-100</f>
        <v/>
      </c>
      <c r="N41" s="239">
        <f>($K$41-$K$41*N30/100)*2-100</f>
        <v/>
      </c>
      <c r="O41" s="239">
        <f>($K$41-$K$41*O30/100)*2-100</f>
        <v/>
      </c>
      <c r="P41" s="239">
        <f>($K$41-$K$41*P30/100)*2-100</f>
        <v/>
      </c>
      <c r="Q41" s="239">
        <f>($K$41-$K$41*Q30/100)*2-100</f>
        <v/>
      </c>
      <c r="R41" s="239">
        <f>($K$41-$K$41*R30/100)*2-100</f>
        <v/>
      </c>
      <c r="S41" s="239">
        <f>($K$41-$K$41*S30/100)*2-100</f>
        <v/>
      </c>
      <c r="T41" s="157">
        <f>($K$41-$K$41*T30/100)*2-100</f>
        <v/>
      </c>
      <c r="U41" s="239">
        <f>($K$41-$K$41*U30/100)*2-100</f>
        <v/>
      </c>
      <c r="V41" s="239">
        <f>($K$41-$K$41*V30/100)*2-100</f>
        <v/>
      </c>
      <c r="W41" s="239">
        <f>($K$41-$K$41*W30/100)*2-100</f>
        <v/>
      </c>
      <c r="X41" s="239">
        <f>($K$41-$K$41*X30/100)*2-100</f>
        <v/>
      </c>
      <c r="Y41" s="239">
        <f>($K$41-$K$41*Y30/100)*2-100</f>
        <v/>
      </c>
      <c r="Z41" s="239">
        <f>($K$41-$K$41*Z30/100)*2-100</f>
        <v/>
      </c>
      <c r="AA41" s="239">
        <f>($K$41-$K$41*AA30/100)*2-100</f>
        <v/>
      </c>
      <c r="AB41" s="239">
        <f>($K$41-$K$41*AB30/100)*2-100</f>
        <v/>
      </c>
      <c r="AC41" s="239">
        <f>($K$41-$K$41*AC30/100)*2-100</f>
        <v/>
      </c>
      <c r="AD41" s="239" t="n">
        <v>0</v>
      </c>
      <c r="AE41" s="239" t="n">
        <v>0</v>
      </c>
      <c r="AF41" s="239" t="n">
        <v>0</v>
      </c>
    </row>
  </sheetData>
  <mergeCells count="6">
    <mergeCell ref="A1:G1"/>
    <mergeCell ref="A4:A5"/>
    <mergeCell ref="B4:D4"/>
    <mergeCell ref="E4:G4"/>
    <mergeCell ref="A2:G2"/>
    <mergeCell ref="A3:G3"/>
  </mergeCells>
  <printOptions horizontalCentered="1"/>
  <pageMargins left="0.7874015748031497" right="0.7874015748031497" top="0.984251968503937" bottom="0.984251968503937" header="0.5118110236220472" footer="0.5118110236220472"/>
  <pageSetup orientation="landscape" paperSize="9" horizontalDpi="42949672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2004-04-02T11:33:13Z</dcterms:created>
  <dcterms:modified xmlns:dcterms="http://purl.org/dc/terms/" xmlns:xsi="http://www.w3.org/2001/XMLSchema-instance" xsi:type="dcterms:W3CDTF">2023-03-03T13:08:56Z</dcterms:modified>
  <cp:lastModifiedBy>ГБУ Жилищник ТС</cp:lastModifiedBy>
  <cp:lastPrinted>2023-01-13T06:27:36Z</cp:lastPrinted>
</cp:coreProperties>
</file>