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<sst xmlns="http://schemas.openxmlformats.org/spreadsheetml/2006/main" count="68" uniqueCount="60">
  <si>
    <t>Number of canes sold</t>
  </si>
  <si>
    <t>Type</t>
  </si>
  <si>
    <t>Amount</t>
  </si>
  <si>
    <t>Annual Cost</t>
  </si>
  <si>
    <t xml:space="preserve">Pricing </t>
  </si>
  <si>
    <t>Wage Expense</t>
  </si>
  <si>
    <t xml:space="preserve">Embedded Software Engineers </t>
  </si>
  <si>
    <t>Hardware Technician</t>
  </si>
  <si>
    <t>IT/Customer Support</t>
  </si>
  <si>
    <t>Self Salary</t>
  </si>
  <si>
    <t>CEO/CTO/COO</t>
  </si>
  <si>
    <t xml:space="preserve">Total wage expenses </t>
  </si>
  <si>
    <t>Component</t>
  </si>
  <si>
    <t xml:space="preserve">Component Type </t>
  </si>
  <si>
    <t xml:space="preserve">Unit Cost </t>
  </si>
  <si>
    <t>Units Sold</t>
  </si>
  <si>
    <t>LIDAR Device</t>
  </si>
  <si>
    <t xml:space="preserve">Cane Handle </t>
  </si>
  <si>
    <t>Vibration Devices</t>
  </si>
  <si>
    <t>Price</t>
  </si>
  <si>
    <t>Ultrasonic Module</t>
  </si>
  <si>
    <t>Distribution Costs</t>
  </si>
  <si>
    <t>Amazon Fullfillment</t>
  </si>
  <si>
    <t>Quantity</t>
  </si>
  <si>
    <t>Cost of Goods</t>
  </si>
  <si>
    <t>Other Expenses</t>
  </si>
  <si>
    <t>Total Expenses</t>
  </si>
  <si>
    <t>Revenue</t>
  </si>
  <si>
    <t>Profit</t>
  </si>
  <si>
    <t xml:space="preserve">Profit Margin </t>
  </si>
  <si>
    <t>Total</t>
  </si>
  <si>
    <t xml:space="preserve">Annual Interest Rate </t>
  </si>
  <si>
    <t>Interest Amt</t>
  </si>
  <si>
    <t>Monthly Installment Periods</t>
  </si>
  <si>
    <t>Annual</t>
  </si>
  <si>
    <t>Monthly</t>
  </si>
  <si>
    <t xml:space="preserve">12-month </t>
  </si>
  <si>
    <t>6-month</t>
  </si>
  <si>
    <t xml:space="preserve">Potential Profit </t>
  </si>
  <si>
    <t>Overall</t>
  </si>
  <si>
    <t xml:space="preserve">U.S. population with vision issues </t>
  </si>
  <si>
    <t>Cost Type</t>
  </si>
  <si>
    <t>Distribution Prices</t>
  </si>
  <si>
    <t xml:space="preserve">Costs </t>
  </si>
  <si>
    <t>Quantity Sold</t>
  </si>
  <si>
    <t>U.S. population with vision issues and white cane usage</t>
  </si>
  <si>
    <t>Unit Distribution (2-3lbs)</t>
  </si>
  <si>
    <t>Year</t>
  </si>
  <si>
    <t>U.S. White Cane Population</t>
  </si>
  <si>
    <t>Jan-Sept Storage</t>
  </si>
  <si>
    <t>Month</t>
  </si>
  <si>
    <t>If sold to 5% of population</t>
  </si>
  <si>
    <t>Oct-Dec Storage</t>
  </si>
  <si>
    <t>Amount sold</t>
  </si>
  <si>
    <t>If sold to 2% of populatiom</t>
  </si>
  <si>
    <t xml:space="preserve">Annually </t>
  </si>
  <si>
    <t>Per Unit</t>
  </si>
  <si>
    <t>If sold to 1% of population</t>
  </si>
  <si>
    <t>If sold to 0.2% of population</t>
  </si>
  <si>
    <t>If sold to 0.1% of population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</si>
</sst>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color rgb="FF000000"/>
      <name val="Arial"/>
      <scheme val="minor"/>
    </font>
    <font>
      <u/>
      <color rgb="FF0000FF"/>
    </font>
    <font>
      <b/>
      <u/>
      <color rgb="FF0000FF"/>
    </font>
  </fonts>
  <fills count="2">
    <fill>
      <patternFill patternType="none"/>
    </fill>
    <fill>
      <patternFill patternType="lightGray"/>
    </fill>
  </fills>
  <borders count="32">
    <border/>
    <border>
      <left style="thin">
        <color rgb="FF666666"/>
      </left>
      <top style="thin">
        <color rgb="FF666666"/>
      </top>
      <bottom style="thin">
        <color rgb="FF000000"/>
      </bottom>
    </border>
    <border>
      <top style="thin">
        <color rgb="FF666666"/>
      </top>
      <bottom style="thin">
        <color rgb="FF000000"/>
      </bottom>
    </border>
    <border>
      <left style="thin">
        <color rgb="FF000000"/>
      </left>
      <right style="thin">
        <color rgb="FF666666"/>
      </right>
      <top style="thin">
        <color rgb="FF666666"/>
      </top>
      <bottom style="thin">
        <color rgb="FF000000"/>
      </bottom>
    </border>
    <border>
      <left style="thin">
        <color rgb="FF666666"/>
      </left>
    </border>
    <border>
      <left style="thin">
        <color rgb="FF000000"/>
      </left>
      <right style="thin">
        <color rgb="FF666666"/>
      </right>
    </border>
    <border>
      <left style="thin">
        <color rgb="FF666666"/>
      </left>
      <top style="thin">
        <color rgb="FF000000"/>
      </top>
      <bottom style="thin">
        <color rgb="FF666666"/>
      </bottom>
    </border>
    <border>
      <top style="thin">
        <color rgb="FF000000"/>
      </top>
      <bottom style="thin">
        <color rgb="FF666666"/>
      </bottom>
    </border>
    <border>
      <left style="thin">
        <color rgb="FF000000"/>
      </left>
      <right style="thin">
        <color rgb="FF666666"/>
      </right>
      <top style="thin">
        <color rgb="FF000000"/>
      </top>
      <bottom style="thin">
        <color rgb="FF666666"/>
      </bottom>
    </border>
    <border>
      <left style="thin">
        <color rgb="FF000000"/>
      </left>
      <top style="thin">
        <color rgb="FF666666"/>
      </top>
      <bottom style="thin">
        <color rgb="FF000000"/>
      </bottom>
    </border>
    <border>
      <right style="thin">
        <color rgb="FF666666"/>
      </right>
      <top style="thin">
        <color rgb="FF666666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666666"/>
      </right>
    </border>
    <border>
      <left style="thin">
        <color rgb="FF000000"/>
      </left>
      <top style="thin">
        <color rgb="FF000000"/>
      </top>
      <bottom style="thin">
        <color rgb="FF666666"/>
      </bottom>
    </border>
    <border>
      <right style="thin">
        <color rgb="FF666666"/>
      </right>
      <top style="thin">
        <color rgb="FF000000"/>
      </top>
      <bottom style="thin">
        <color rgb="FF666666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</border>
    <border>
      <right style="thin">
        <color rgb="FF000000"/>
      </right>
      <top style="thin">
        <color rgb="FF000000"/>
      </top>
    </border>
    <border>
      <left style="thin">
        <color rgb="FF666666"/>
      </left>
      <bottom style="thin">
        <color rgb="FF666666"/>
      </bottom>
    </border>
    <border>
      <bottom style="thin">
        <color rgb="FF666666"/>
      </bottom>
    </border>
    <border>
      <right style="thin">
        <color rgb="FF666666"/>
      </right>
      <bottom style="thin">
        <color rgb="FF666666"/>
      </bottom>
    </border>
    <border>
      <left style="thin">
        <color rgb="FF666666"/>
      </left>
      <right style="thin">
        <color rgb="FF666666"/>
      </right>
      <bottom style="thin">
        <color rgb="FF666666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5" fillId="0" fontId="1" numFmtId="164" xfId="0" applyAlignment="1" applyBorder="1" applyFont="1" applyNumberFormat="1">
      <alignment horizontal="center" readingOrder="0"/>
    </xf>
    <xf borderId="0" fillId="0" fontId="1" numFmtId="164" xfId="0" applyAlignment="1" applyFont="1" applyNumberFormat="1">
      <alignment horizontal="center"/>
    </xf>
    <xf borderId="5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/>
    </xf>
    <xf borderId="6" fillId="0" fontId="2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/>
    </xf>
    <xf borderId="8" fillId="0" fontId="1" numFmtId="164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2" fillId="0" fontId="2" numFmtId="164" xfId="0" applyAlignment="1" applyBorder="1" applyFont="1" applyNumberFormat="1">
      <alignment horizontal="center" readingOrder="0"/>
    </xf>
    <xf borderId="9" fillId="0" fontId="2" numFmtId="164" xfId="0" applyAlignment="1" applyBorder="1" applyFont="1" applyNumberFormat="1">
      <alignment horizontal="center" readingOrder="0"/>
    </xf>
    <xf borderId="9" fillId="0" fontId="2" numFmtId="164" xfId="0" applyAlignment="1" applyBorder="1" applyFont="1" applyNumberFormat="1">
      <alignment horizontal="center" readingOrder="0"/>
    </xf>
    <xf borderId="2" fillId="0" fontId="3" numFmtId="0" xfId="0" applyBorder="1" applyFont="1"/>
    <xf borderId="10" fillId="0" fontId="3" numFmtId="0" xfId="0" applyBorder="1" applyFont="1"/>
    <xf borderId="4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11" fillId="0" fontId="2" numFmtId="164" xfId="0" applyAlignment="1" applyBorder="1" applyFont="1" applyNumberFormat="1">
      <alignment horizontal="center" readingOrder="0"/>
    </xf>
    <xf borderId="12" fillId="0" fontId="2" numFmtId="0" xfId="0" applyAlignment="1" applyBorder="1" applyFont="1">
      <alignment horizontal="center" readingOrder="0"/>
    </xf>
    <xf borderId="13" fillId="0" fontId="2" numFmtId="0" xfId="0" applyAlignment="1" applyBorder="1" applyFont="1">
      <alignment horizontal="center" readingOrder="0"/>
    </xf>
    <xf borderId="14" fillId="0" fontId="2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11" fillId="0" fontId="1" numFmtId="165" xfId="0" applyAlignment="1" applyBorder="1" applyFont="1" applyNumberFormat="1">
      <alignment horizontal="center" readingOrder="0"/>
    </xf>
    <xf borderId="11" fillId="0" fontId="1" numFmtId="165" xfId="0" applyAlignment="1" applyBorder="1" applyFont="1" applyNumberForma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15" fillId="0" fontId="1" numFmtId="165" xfId="0" applyAlignment="1" applyBorder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11" fillId="0" fontId="1" numFmtId="165" xfId="0" applyAlignment="1" applyBorder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15" fillId="0" fontId="1" numFmtId="165" xfId="0" applyAlignment="1" applyBorder="1" applyFont="1" applyNumberFormat="1">
      <alignment horizontal="center"/>
    </xf>
    <xf borderId="12" fillId="0" fontId="2" numFmtId="164" xfId="0" applyAlignment="1" applyBorder="1" applyFont="1" applyNumberFormat="1">
      <alignment horizontal="center" readingOrder="0"/>
    </xf>
    <xf borderId="7" fillId="0" fontId="2" numFmtId="0" xfId="0" applyAlignment="1" applyBorder="1" applyFont="1">
      <alignment horizontal="center" readingOrder="0"/>
    </xf>
    <xf borderId="16" fillId="0" fontId="2" numFmtId="165" xfId="0" applyAlignment="1" applyBorder="1" applyFont="1" applyNumberFormat="1">
      <alignment horizontal="center" readingOrder="0"/>
    </xf>
    <xf borderId="16" fillId="0" fontId="2" numFmtId="165" xfId="0" applyAlignment="1" applyBorder="1" applyFont="1" applyNumberFormat="1">
      <alignment horizontal="center"/>
    </xf>
    <xf borderId="7" fillId="0" fontId="2" numFmtId="165" xfId="0" applyAlignment="1" applyBorder="1" applyFont="1" applyNumberFormat="1">
      <alignment horizontal="center"/>
    </xf>
    <xf borderId="17" fillId="0" fontId="2" numFmtId="165" xfId="0" applyAlignment="1" applyBorder="1" applyFont="1" applyNumberFormat="1">
      <alignment horizontal="center"/>
    </xf>
    <xf borderId="11" fillId="0" fontId="1" numFmtId="0" xfId="0" applyAlignment="1" applyBorder="1" applyFont="1">
      <alignment horizontal="center" readingOrder="0"/>
    </xf>
    <xf borderId="18" fillId="0" fontId="1" numFmtId="0" xfId="0" applyAlignment="1" applyBorder="1" applyFont="1">
      <alignment horizontal="center"/>
    </xf>
    <xf borderId="19" fillId="0" fontId="1" numFmtId="0" xfId="0" applyAlignment="1" applyBorder="1" applyFont="1">
      <alignment horizontal="center" readingOrder="0"/>
    </xf>
    <xf borderId="20" fillId="0" fontId="1" numFmtId="165" xfId="0" applyAlignment="1" applyBorder="1" applyFont="1" applyNumberFormat="1">
      <alignment horizontal="center"/>
    </xf>
    <xf borderId="20" fillId="0" fontId="1" numFmtId="164" xfId="0" applyAlignment="1" applyBorder="1" applyFont="1" applyNumberFormat="1">
      <alignment horizontal="center"/>
    </xf>
    <xf borderId="21" fillId="0" fontId="1" numFmtId="0" xfId="0" applyAlignment="1" applyBorder="1" applyFont="1">
      <alignment horizontal="center"/>
    </xf>
    <xf borderId="13" fillId="0" fontId="3" numFmtId="0" xfId="0" applyBorder="1" applyFont="1"/>
    <xf borderId="14" fillId="0" fontId="3" numFmtId="0" xfId="0" applyBorder="1" applyFont="1"/>
    <xf borderId="18" fillId="0" fontId="2" numFmtId="0" xfId="0" applyAlignment="1" applyBorder="1" applyFont="1">
      <alignment horizontal="center" readingOrder="0"/>
    </xf>
    <xf borderId="19" fillId="0" fontId="1" numFmtId="164" xfId="0" applyAlignment="1" applyBorder="1" applyFont="1" applyNumberFormat="1">
      <alignment horizontal="center" readingOrder="0"/>
    </xf>
    <xf borderId="20" fillId="0" fontId="1" numFmtId="10" xfId="0" applyAlignment="1" applyBorder="1" applyFont="1" applyNumberFormat="1">
      <alignment horizontal="center" readingOrder="0"/>
    </xf>
    <xf borderId="21" fillId="0" fontId="1" numFmtId="164" xfId="0" applyAlignment="1" applyBorder="1" applyFont="1" applyNumberFormat="1">
      <alignment horizontal="center" readingOrder="0"/>
    </xf>
    <xf borderId="22" fillId="0" fontId="2" numFmtId="0" xfId="0" applyAlignment="1" applyBorder="1" applyFont="1">
      <alignment horizontal="center" readingOrder="0"/>
    </xf>
    <xf borderId="23" fillId="0" fontId="3" numFmtId="0" xfId="0" applyBorder="1" applyFont="1"/>
    <xf borderId="24" fillId="0" fontId="3" numFmtId="0" xfId="0" applyBorder="1" applyFont="1"/>
    <xf borderId="25" fillId="0" fontId="2" numFmtId="0" xfId="0" applyAlignment="1" applyBorder="1" applyFont="1">
      <alignment horizontal="center" readingOrder="0"/>
    </xf>
    <xf borderId="12" fillId="0" fontId="6" numFmtId="0" xfId="0" applyAlignment="1" applyBorder="1" applyFont="1">
      <alignment horizontal="center" readingOrder="0"/>
    </xf>
    <xf borderId="11" fillId="0" fontId="2" numFmtId="0" xfId="0" applyAlignment="1" applyBorder="1" applyFont="1">
      <alignment horizontal="center" readingOrder="0"/>
    </xf>
    <xf borderId="15" fillId="0" fontId="3" numFmtId="0" xfId="0" applyBorder="1" applyFont="1"/>
    <xf borderId="26" fillId="0" fontId="1" numFmtId="0" xfId="0" applyAlignment="1" applyBorder="1" applyFont="1">
      <alignment horizontal="center" readingOrder="0"/>
    </xf>
    <xf borderId="12" fillId="0" fontId="2" numFmtId="0" xfId="0" applyAlignment="1" applyBorder="1" applyFont="1">
      <alignment horizontal="center" readingOrder="0" vertical="center"/>
    </xf>
    <xf borderId="13" fillId="0" fontId="2" numFmtId="0" xfId="0" applyAlignment="1" applyBorder="1" applyFont="1">
      <alignment horizontal="center" readingOrder="0" vertical="center"/>
    </xf>
    <xf borderId="13" fillId="0" fontId="2" numFmtId="0" xfId="0" applyAlignment="1" applyBorder="1" applyFont="1">
      <alignment horizontal="center" readingOrder="0" shrinkToFit="0" vertical="center" wrapText="1"/>
    </xf>
    <xf borderId="18" fillId="0" fontId="3" numFmtId="0" xfId="0" applyBorder="1" applyFont="1"/>
    <xf borderId="18" fillId="0" fontId="1" numFmtId="9" xfId="0" applyAlignment="1" applyBorder="1" applyFont="1" applyNumberFormat="1">
      <alignment horizontal="center" readingOrder="0"/>
    </xf>
    <xf borderId="11" fillId="0" fontId="2" numFmtId="0" xfId="0" applyAlignment="1" applyBorder="1" applyFont="1">
      <alignment horizontal="center" readingOrder="0"/>
    </xf>
    <xf borderId="19" fillId="0" fontId="2" numFmtId="0" xfId="0" applyAlignment="1" applyBorder="1" applyFont="1">
      <alignment horizontal="center" readingOrder="0"/>
    </xf>
    <xf borderId="18" fillId="0" fontId="1" numFmtId="0" xfId="0" applyAlignment="1" applyBorder="1" applyFont="1">
      <alignment horizontal="center" readingOrder="0"/>
    </xf>
    <xf borderId="20" fillId="0" fontId="1" numFmtId="0" xfId="0" applyAlignment="1" applyBorder="1" applyFont="1">
      <alignment horizontal="center"/>
    </xf>
    <xf borderId="11" fillId="0" fontId="1" numFmtId="0" xfId="0" applyAlignment="1" applyBorder="1" applyFont="1">
      <alignment horizontal="center"/>
    </xf>
    <xf borderId="27" fillId="0" fontId="1" numFmtId="0" xfId="0" applyAlignment="1" applyBorder="1" applyFont="1">
      <alignment horizontal="center"/>
    </xf>
    <xf borderId="0" fillId="0" fontId="2" numFmtId="0" xfId="0" applyAlignment="1" applyFont="1">
      <alignment horizontal="center" readingOrder="0" shrinkToFit="0" wrapText="1"/>
    </xf>
    <xf borderId="19" fillId="0" fontId="1" numFmtId="0" xfId="0" applyAlignment="1" applyBorder="1" applyFont="1">
      <alignment horizontal="center"/>
    </xf>
    <xf borderId="20" fillId="0" fontId="2" numFmtId="0" xfId="0" applyAlignment="1" applyBorder="1" applyFont="1">
      <alignment horizontal="center" readingOrder="0"/>
    </xf>
    <xf borderId="28" fillId="0" fontId="1" numFmtId="0" xfId="0" applyAlignment="1" applyBorder="1" applyFont="1">
      <alignment horizontal="center" readingOrder="0"/>
    </xf>
    <xf borderId="29" fillId="0" fontId="3" numFmtId="0" xfId="0" applyBorder="1" applyFont="1"/>
    <xf borderId="30" fillId="0" fontId="3" numFmtId="0" xfId="0" applyBorder="1" applyFont="1"/>
    <xf borderId="31" fillId="0" fontId="1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5"/>
    <col customWidth="1" min="2" max="2" width="19.25"/>
    <col customWidth="1" min="3" max="3" width="29.13"/>
    <col customWidth="1" min="4" max="6" width="10.75"/>
    <col customWidth="1" min="15" max="15" width="14.1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3" t="s">
        <v>0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>
      <c r="A3" s="1"/>
      <c r="B3" s="4"/>
      <c r="C3" s="5" t="s">
        <v>1</v>
      </c>
      <c r="D3" s="5"/>
      <c r="E3" s="5"/>
      <c r="F3" s="5" t="s">
        <v>2</v>
      </c>
      <c r="G3" s="5"/>
      <c r="H3" s="5"/>
      <c r="I3" s="6" t="s">
        <v>3</v>
      </c>
      <c r="J3" s="1"/>
      <c r="K3" s="1"/>
      <c r="L3" s="3" t="s">
        <v>4</v>
      </c>
      <c r="M3" s="3">
        <v>550.0</v>
      </c>
      <c r="N3" s="3">
        <v>800.0</v>
      </c>
      <c r="O3" s="3">
        <v>850.0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>
      <c r="A4" s="1"/>
      <c r="B4" s="7" t="s">
        <v>5</v>
      </c>
      <c r="C4" s="8" t="s">
        <v>6</v>
      </c>
      <c r="D4" s="8"/>
      <c r="E4" s="8"/>
      <c r="F4" s="8">
        <v>1.0</v>
      </c>
      <c r="G4" s="9"/>
      <c r="H4" s="9"/>
      <c r="I4" s="10">
        <f>88262*2</f>
        <v>176524</v>
      </c>
      <c r="J4" s="1"/>
      <c r="K4" s="1"/>
      <c r="L4" s="9">
        <v>500.0</v>
      </c>
      <c r="M4" s="11">
        <f>(L4*M3)-G17</f>
        <v>-185541</v>
      </c>
      <c r="N4" s="11">
        <f>(L4*N3)-H17</f>
        <v>-71243</v>
      </c>
      <c r="O4" s="11">
        <f>(L4*O3)-I17</f>
        <v>-56945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>
      <c r="A5" s="1"/>
      <c r="B5" s="7" t="s">
        <v>5</v>
      </c>
      <c r="C5" s="8" t="s">
        <v>7</v>
      </c>
      <c r="D5" s="8"/>
      <c r="E5" s="8"/>
      <c r="F5" s="8">
        <v>2.0</v>
      </c>
      <c r="G5" s="8"/>
      <c r="H5" s="8"/>
      <c r="I5" s="12">
        <f>43300*F5</f>
        <v>86600</v>
      </c>
      <c r="J5" s="1"/>
      <c r="K5" s="1"/>
      <c r="L5" s="9">
        <v>550.0</v>
      </c>
      <c r="M5" s="11">
        <f>(L5*M3)-G17</f>
        <v>-158041</v>
      </c>
      <c r="N5" s="11">
        <f>(L5*N3)-H17</f>
        <v>-31243</v>
      </c>
      <c r="O5" s="11">
        <f>(L5*O3)-I17</f>
        <v>-14445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>
      <c r="A6" s="1"/>
      <c r="B6" s="7" t="s">
        <v>5</v>
      </c>
      <c r="C6" s="8" t="s">
        <v>8</v>
      </c>
      <c r="D6" s="8"/>
      <c r="E6" s="8"/>
      <c r="F6" s="8">
        <v>1.0</v>
      </c>
      <c r="G6" s="1"/>
      <c r="H6" s="1"/>
      <c r="I6" s="12">
        <f>24960*F6</f>
        <v>24960</v>
      </c>
      <c r="J6" s="1"/>
      <c r="K6" s="1"/>
      <c r="L6" s="9">
        <v>600.0</v>
      </c>
      <c r="M6" s="11">
        <f>(L6*M3)-G17</f>
        <v>-130541</v>
      </c>
      <c r="N6" s="11">
        <f>(L6*N3)-H17</f>
        <v>8757</v>
      </c>
      <c r="O6" s="11">
        <f>(L6*O3)-I17</f>
        <v>28055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>
      <c r="A7" s="1"/>
      <c r="B7" s="7" t="s">
        <v>9</v>
      </c>
      <c r="C7" s="8" t="s">
        <v>10</v>
      </c>
      <c r="D7" s="8"/>
      <c r="E7" s="8"/>
      <c r="F7" s="8">
        <v>3.0</v>
      </c>
      <c r="G7" s="1"/>
      <c r="H7" s="1"/>
      <c r="I7" s="13">
        <f>45000*3</f>
        <v>135000</v>
      </c>
      <c r="J7" s="1"/>
      <c r="K7" s="1"/>
      <c r="L7" s="9">
        <v>700.0</v>
      </c>
      <c r="M7" s="11">
        <f>(L7*M3)-G17</f>
        <v>-75541</v>
      </c>
      <c r="N7" s="11">
        <f>(L7*N3)-H17</f>
        <v>88757</v>
      </c>
      <c r="O7" s="11">
        <f>(L7*O3)-I17</f>
        <v>113055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>
      <c r="A8" s="1"/>
      <c r="B8" s="14" t="s">
        <v>11</v>
      </c>
      <c r="C8" s="15"/>
      <c r="D8" s="15"/>
      <c r="E8" s="15"/>
      <c r="F8" s="15"/>
      <c r="G8" s="15"/>
      <c r="H8" s="15"/>
      <c r="I8" s="16">
        <f>SUM(I4:I7)</f>
        <v>423084</v>
      </c>
      <c r="J8" s="1"/>
      <c r="K8" s="1"/>
      <c r="L8" s="9">
        <v>500.0</v>
      </c>
      <c r="M8" s="11">
        <f>(L8*M3)-G17</f>
        <v>-185541</v>
      </c>
      <c r="N8" s="11">
        <f>(L8*N3)-(F17*N3)-I8</f>
        <v>-108700</v>
      </c>
      <c r="O8" s="11">
        <f>(L8*O3)-I17</f>
        <v>-56945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>
      <c r="A9" s="1"/>
      <c r="B9" s="3"/>
      <c r="C9" s="1"/>
      <c r="D9" s="1"/>
      <c r="E9" s="1"/>
      <c r="F9" s="1"/>
      <c r="G9" s="8"/>
      <c r="H9" s="8"/>
      <c r="I9" s="8"/>
      <c r="J9" s="1"/>
      <c r="K9" s="1"/>
      <c r="L9" s="9">
        <v>900.0</v>
      </c>
      <c r="M9" s="11">
        <f>(L9*M3)-G17</f>
        <v>34459</v>
      </c>
      <c r="N9" s="11">
        <f>(L9*N3)-H17</f>
        <v>248757</v>
      </c>
      <c r="O9" s="11">
        <f>(L9*O3)-I17</f>
        <v>283055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>
      <c r="A10" s="2"/>
      <c r="B10" s="17" t="s">
        <v>12</v>
      </c>
      <c r="C10" s="18" t="s">
        <v>13</v>
      </c>
      <c r="D10" s="19"/>
      <c r="E10" s="19"/>
      <c r="F10" s="20" t="s">
        <v>14</v>
      </c>
      <c r="G10" s="21" t="s">
        <v>15</v>
      </c>
      <c r="H10" s="22"/>
      <c r="I10" s="23"/>
      <c r="J10" s="1"/>
      <c r="K10" s="1"/>
      <c r="L10" s="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>
      <c r="A11" s="2"/>
      <c r="B11" s="24"/>
      <c r="C11" s="25"/>
      <c r="D11" s="26"/>
      <c r="E11" s="26"/>
      <c r="F11" s="27"/>
      <c r="G11" s="28">
        <v>350.0</v>
      </c>
      <c r="H11" s="29">
        <v>450.0</v>
      </c>
      <c r="I11" s="30">
        <v>550.0</v>
      </c>
      <c r="J11" s="1"/>
      <c r="K11" s="1"/>
      <c r="L11" s="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>
      <c r="A12" s="1"/>
      <c r="B12" s="31" t="s">
        <v>16</v>
      </c>
      <c r="C12" s="32" t="str">
        <f>HYPERLINK("https://www.robotshop.com/en/benewake-tfmini-micro-lidar-module-12-m.html","Benewake Tfmini Micro Lidar")</f>
        <v>Benewake Tfmini Micro Lidar</v>
      </c>
      <c r="D12" s="33"/>
      <c r="E12" s="33"/>
      <c r="F12" s="34">
        <v>39.0</v>
      </c>
      <c r="G12" s="35">
        <f>G11*F12</f>
        <v>13650</v>
      </c>
      <c r="H12" s="36">
        <f>H11*F12</f>
        <v>17550</v>
      </c>
      <c r="I12" s="37">
        <f>I11*F12</f>
        <v>21450</v>
      </c>
      <c r="J12" s="1"/>
      <c r="K12" s="1"/>
      <c r="L12" s="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>
      <c r="A13" s="1"/>
      <c r="B13" s="7" t="s">
        <v>17</v>
      </c>
      <c r="C13" s="32" t="str">
        <f>HYPERLINK("https://www.grainger.com/product/24JN14?gclid=CjwKCAiAlajvBRB_EiwA4vAqiJ8CwNC6NDtdXeKokhKt7skBfZ2lj55Oe4_b16QkcIaqlAk9g5FuuxoC77MQAvD_BwE&amp;cm_mmc=PPC:+Google+PLA&amp;ef_id=CjwKCAiAlajvBRB_EiwA4vAqiJ8CwNC6NDtdXeKokhKt7skBfZ2lj55Oe4_b16QkcIaqlAk9g5FuuxoC77MQAvD_"&amp;"BwE:G:s&amp;s_kwcid=AL!2966!3!50916704997!!!g!71842759159!","Black Gel Handle Grip")</f>
        <v>Black Gel Handle Grip</v>
      </c>
      <c r="D13" s="38"/>
      <c r="E13" s="38"/>
      <c r="F13" s="34">
        <v>9.73</v>
      </c>
      <c r="G13" s="39">
        <f>G11*F13</f>
        <v>3405.5</v>
      </c>
      <c r="H13" s="40">
        <f>H11*F13</f>
        <v>4378.5</v>
      </c>
      <c r="I13" s="41">
        <f>I11*F13</f>
        <v>5351.5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>
      <c r="A14" s="1"/>
      <c r="B14" s="7" t="s">
        <v>18</v>
      </c>
      <c r="C14" s="32" t="str">
        <f>HYPERLINK("https://www.amazon.com/DZS-Elec-Button-type-Electronics-Appliances/dp/B07PHPK6SC/ref=asc_df_B07PHPK6SC/?tag=hyprod-20&amp;linkCode=df0&amp;hvadid=309803885710&amp;hvpos=1o1&amp;hvnetw=g&amp;hvrand=16627809869631616738&amp;hvpone=&amp;hvptwo=&amp;hvqmt=&amp;hvdev=c&amp;hvdvcmdl=&amp;hvlocint=&amp;hvlocp"&amp;"hy=9002071&amp;hvtargid=pla-675863995091&amp;psc=1","Mini Bluetooth Vibration Device ")</f>
        <v>Mini Bluetooth Vibration Device </v>
      </c>
      <c r="D14" s="38"/>
      <c r="E14" s="38"/>
      <c r="F14" s="34">
        <v>8.99</v>
      </c>
      <c r="G14" s="39">
        <f>G11*F14</f>
        <v>3146.5</v>
      </c>
      <c r="H14" s="40">
        <f>H11*F14</f>
        <v>4045.5</v>
      </c>
      <c r="I14" s="41">
        <f>I11*F14</f>
        <v>4944.5</v>
      </c>
      <c r="J14" s="1"/>
      <c r="K14" s="1"/>
      <c r="L14" s="28" t="s">
        <v>19</v>
      </c>
      <c r="M14" s="30">
        <v>450.0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>
      <c r="A15" s="1"/>
      <c r="B15" s="7" t="s">
        <v>20</v>
      </c>
      <c r="C15" s="32" t="str">
        <f>HYPERLINK("https://americas.rsdelivers.com/product/parallax-inc/28015/parallax-inc-28015-ping-ultrasonic-distance/7813020?cm_mmc=US-PLA-DS3A-_-google-_-PLA_US_EN_CatchAll_New-_-Catch+All-_-PRODUCT_GROUP&amp;matchtype=&amp;pla-827276542976&amp;gclid=CjwKCAiAob3vBRAUEiwAIbs5TgL1m"&amp;"imSTmfuF4a2QwtM1_w6WmMpYsTR830XFYR0h6MGC_8sj2Y29BoCo2UQAvD_BwE&amp;gclsrc=aw.ds","Ultrasonic distance sensor module")</f>
        <v>Ultrasonic distance sensor module</v>
      </c>
      <c r="D15" s="38"/>
      <c r="E15" s="38"/>
      <c r="F15" s="34">
        <v>30.63</v>
      </c>
      <c r="G15" s="39">
        <f>F15*G11</f>
        <v>10720.5</v>
      </c>
      <c r="H15" s="40">
        <f>F15*H11</f>
        <v>13783.5</v>
      </c>
      <c r="I15" s="41">
        <f>F15*I11</f>
        <v>16846.5</v>
      </c>
      <c r="J15" s="1"/>
      <c r="K15" s="1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>
      <c r="A16" s="1"/>
      <c r="B16" s="7" t="s">
        <v>21</v>
      </c>
      <c r="C16" s="8" t="s">
        <v>22</v>
      </c>
      <c r="D16" s="8"/>
      <c r="E16" s="8"/>
      <c r="F16" s="35">
        <f>D37</f>
        <v>18.67</v>
      </c>
      <c r="G16" s="39">
        <f>G11*F16</f>
        <v>6534.5</v>
      </c>
      <c r="H16" s="40">
        <f>H11*F16</f>
        <v>8401.5</v>
      </c>
      <c r="I16" s="41">
        <f>I11*F16</f>
        <v>10268.5</v>
      </c>
      <c r="J16" s="1"/>
      <c r="K16" s="1"/>
      <c r="L16" s="42" t="s">
        <v>23</v>
      </c>
      <c r="M16" s="29" t="s">
        <v>24</v>
      </c>
      <c r="N16" s="29" t="s">
        <v>25</v>
      </c>
      <c r="O16" s="29" t="s">
        <v>26</v>
      </c>
      <c r="P16" s="29" t="s">
        <v>27</v>
      </c>
      <c r="Q16" s="29" t="s">
        <v>28</v>
      </c>
      <c r="R16" s="30" t="s">
        <v>29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>
      <c r="A17" s="1"/>
      <c r="B17" s="14" t="s">
        <v>30</v>
      </c>
      <c r="C17" s="43"/>
      <c r="D17" s="43"/>
      <c r="E17" s="43"/>
      <c r="F17" s="44">
        <f>SUM(F12:F16)</f>
        <v>107.02</v>
      </c>
      <c r="G17" s="45">
        <f>SUM(G12:G16)+I8</f>
        <v>460541</v>
      </c>
      <c r="H17" s="46">
        <f>SUM(H12:H16)+I8</f>
        <v>471243</v>
      </c>
      <c r="I17" s="47">
        <f>SUM(I12:I16)+I8</f>
        <v>481945</v>
      </c>
      <c r="J17" s="1"/>
      <c r="K17" s="1"/>
      <c r="L17" s="48">
        <f>N38</f>
        <v>5700</v>
      </c>
      <c r="M17" s="40">
        <f t="shared" ref="M17:M20" si="1">L17*$F$17</f>
        <v>610014</v>
      </c>
      <c r="N17" s="11">
        <f t="shared" ref="N17:N18" si="2">SUM(I4:I7)</f>
        <v>423084</v>
      </c>
      <c r="O17" s="40">
        <f t="shared" ref="O17:O20" si="3">SUM(M17:N17)</f>
        <v>1033098</v>
      </c>
      <c r="P17" s="40">
        <f t="shared" ref="P17:P20" si="4">L17*$M$14</f>
        <v>2565000</v>
      </c>
      <c r="Q17" s="40">
        <f>P17-O17</f>
        <v>1531902</v>
      </c>
      <c r="R17" s="49">
        <f>(Q17/P17)</f>
        <v>0.5972327485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48">
        <f t="shared" ref="L18:L20" si="5">L17/2</f>
        <v>2850</v>
      </c>
      <c r="M18" s="40">
        <f t="shared" si="1"/>
        <v>305007</v>
      </c>
      <c r="N18" s="1">
        <f t="shared" si="2"/>
        <v>669644</v>
      </c>
      <c r="O18" s="40">
        <f t="shared" si="3"/>
        <v>974651</v>
      </c>
      <c r="P18" s="40">
        <f t="shared" si="4"/>
        <v>1282500</v>
      </c>
      <c r="Q18" s="40">
        <f t="shared" ref="Q18:Q20" si="6">P18-M18-N18</f>
        <v>307849</v>
      </c>
      <c r="R18" s="49">
        <f t="shared" ref="R18:R20" si="7">Q18/P18</f>
        <v>0.2400382066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>
      <c r="A19" s="1"/>
      <c r="B19" s="8"/>
      <c r="C19" s="8"/>
      <c r="D19" s="8"/>
      <c r="E19" s="8"/>
      <c r="F19" s="8"/>
      <c r="G19" s="1"/>
      <c r="H19" s="1"/>
      <c r="I19" s="1"/>
      <c r="J19" s="1"/>
      <c r="K19" s="1"/>
      <c r="L19" s="48">
        <f t="shared" si="5"/>
        <v>1425</v>
      </c>
      <c r="M19" s="40">
        <f t="shared" si="1"/>
        <v>152503.5</v>
      </c>
      <c r="N19" s="1">
        <f>SUM(I7:I10)</f>
        <v>558084</v>
      </c>
      <c r="O19" s="40">
        <f t="shared" si="3"/>
        <v>710587.5</v>
      </c>
      <c r="P19" s="40">
        <f t="shared" si="4"/>
        <v>641250</v>
      </c>
      <c r="Q19" s="40">
        <f t="shared" si="6"/>
        <v>-69337.5</v>
      </c>
      <c r="R19" s="49">
        <f t="shared" si="7"/>
        <v>-0.108128655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>
      <c r="A20" s="1"/>
      <c r="B20" s="8"/>
      <c r="C20" s="1"/>
      <c r="D20" s="1"/>
      <c r="E20" s="1"/>
      <c r="F20" s="1"/>
      <c r="G20" s="1"/>
      <c r="H20" s="1"/>
      <c r="I20" s="1"/>
      <c r="J20" s="1"/>
      <c r="K20" s="1"/>
      <c r="L20" s="50">
        <f t="shared" si="5"/>
        <v>712.5</v>
      </c>
      <c r="M20" s="51">
        <f t="shared" si="1"/>
        <v>76251.75</v>
      </c>
      <c r="N20" s="52">
        <f>SUM(I8:I9)</f>
        <v>423084</v>
      </c>
      <c r="O20" s="51">
        <f t="shared" si="3"/>
        <v>499335.75</v>
      </c>
      <c r="P20" s="51">
        <f t="shared" si="4"/>
        <v>320625</v>
      </c>
      <c r="Q20" s="51">
        <f t="shared" si="6"/>
        <v>-178710.75</v>
      </c>
      <c r="R20" s="53">
        <f t="shared" si="7"/>
        <v>-0.5573824561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>
      <c r="A21" s="1"/>
      <c r="B21" s="8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>
      <c r="A22" s="1"/>
      <c r="B22" s="8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>
      <c r="A23" s="1"/>
      <c r="B23" s="28" t="s">
        <v>4</v>
      </c>
      <c r="C23" s="29" t="s">
        <v>31</v>
      </c>
      <c r="D23" s="29" t="s">
        <v>32</v>
      </c>
      <c r="E23" s="54"/>
      <c r="F23" s="29" t="s">
        <v>33</v>
      </c>
      <c r="G23" s="55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>
      <c r="A24" s="1"/>
      <c r="B24" s="48"/>
      <c r="C24" s="1"/>
      <c r="D24" s="3" t="s">
        <v>34</v>
      </c>
      <c r="E24" s="3" t="s">
        <v>35</v>
      </c>
      <c r="F24" s="3" t="s">
        <v>36</v>
      </c>
      <c r="G24" s="56" t="s">
        <v>37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>
      <c r="A25" s="1"/>
      <c r="B25" s="57">
        <v>450.0</v>
      </c>
      <c r="C25" s="58">
        <v>0.0375</v>
      </c>
      <c r="D25" s="52">
        <f>B25*C25</f>
        <v>16.875</v>
      </c>
      <c r="E25" s="52">
        <f>(B25*C25)/12</f>
        <v>1.40625</v>
      </c>
      <c r="F25" s="52">
        <f>((B25/12)+E25)</f>
        <v>38.90625</v>
      </c>
      <c r="G25" s="59">
        <f>(B25/6)+E25</f>
        <v>76.40625</v>
      </c>
      <c r="H25" s="8"/>
      <c r="I25" s="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8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>
      <c r="A29" s="1"/>
      <c r="B29" s="1"/>
      <c r="C29" s="1"/>
      <c r="D29" s="1"/>
      <c r="E29" s="1"/>
      <c r="F29" s="1"/>
      <c r="G29" s="1"/>
      <c r="H29" s="3"/>
      <c r="I29" s="60" t="s">
        <v>38</v>
      </c>
      <c r="J29" s="61"/>
      <c r="K29" s="61"/>
      <c r="L29" s="61"/>
      <c r="M29" s="62"/>
      <c r="N29" s="63" t="s">
        <v>39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>
      <c r="A30" s="1"/>
      <c r="B30" s="64" t="str">
        <f>HYPERLINK("https://services.amazon.com/fulfillment-by-amazon/pricing.html","Fullfillment by Amazon")</f>
        <v>Fullfillment by Amazon</v>
      </c>
      <c r="C30" s="54"/>
      <c r="D30" s="54"/>
      <c r="E30" s="54"/>
      <c r="F30" s="54"/>
      <c r="G30" s="65"/>
      <c r="H30" s="8"/>
      <c r="I30" s="7" t="s">
        <v>40</v>
      </c>
      <c r="M30" s="66"/>
      <c r="N30" s="67">
        <v>1.14E7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>
      <c r="A31" s="1"/>
      <c r="B31" s="68" t="s">
        <v>41</v>
      </c>
      <c r="C31" s="69" t="s">
        <v>42</v>
      </c>
      <c r="D31" s="70" t="s">
        <v>43</v>
      </c>
      <c r="E31" s="68" t="s">
        <v>44</v>
      </c>
      <c r="F31" s="55"/>
      <c r="G31" s="1"/>
      <c r="H31" s="1"/>
      <c r="I31" s="48" t="s">
        <v>45</v>
      </c>
      <c r="M31" s="71"/>
      <c r="N31" s="72">
        <v>0.05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>
      <c r="A32" s="1"/>
      <c r="B32" s="48" t="s">
        <v>46</v>
      </c>
      <c r="C32" s="8">
        <v>5.26</v>
      </c>
      <c r="D32" s="1">
        <f t="shared" ref="D32:D34" si="8">$F$33*C32</f>
        <v>2498.5</v>
      </c>
      <c r="E32" s="73" t="s">
        <v>47</v>
      </c>
      <c r="F32" s="49">
        <f>N38</f>
        <v>5700</v>
      </c>
      <c r="G32" s="1"/>
      <c r="H32" s="1"/>
      <c r="I32" s="48" t="s">
        <v>48</v>
      </c>
      <c r="M32" s="71"/>
      <c r="N32" s="49">
        <f>N30*N31</f>
        <v>570000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>
      <c r="A33" s="1"/>
      <c r="B33" s="48" t="s">
        <v>49</v>
      </c>
      <c r="C33" s="1">
        <f>0.69*9</f>
        <v>6.21</v>
      </c>
      <c r="D33" s="1">
        <f t="shared" si="8"/>
        <v>2949.75</v>
      </c>
      <c r="E33" s="74" t="s">
        <v>50</v>
      </c>
      <c r="F33" s="53">
        <f>F32/12</f>
        <v>475</v>
      </c>
      <c r="G33" s="1"/>
      <c r="H33" s="1"/>
      <c r="I33" s="48" t="s">
        <v>51</v>
      </c>
      <c r="M33" s="71"/>
      <c r="N33" s="75">
        <v>0.05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>
      <c r="A34" s="1"/>
      <c r="B34" s="50" t="s">
        <v>52</v>
      </c>
      <c r="C34" s="76">
        <f>2.4*3</f>
        <v>7.2</v>
      </c>
      <c r="D34" s="49">
        <f t="shared" si="8"/>
        <v>3420</v>
      </c>
      <c r="E34" s="1"/>
      <c r="F34" s="1"/>
      <c r="G34" s="1"/>
      <c r="H34" s="1"/>
      <c r="I34" s="7" t="s">
        <v>53</v>
      </c>
      <c r="M34" s="66"/>
      <c r="N34" s="49">
        <f>N33*N32</f>
        <v>28500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>
      <c r="A35" s="1"/>
      <c r="B35" s="77"/>
      <c r="C35" s="3" t="s">
        <v>35</v>
      </c>
      <c r="D35" s="78">
        <f>SUM(D32:D34)</f>
        <v>8868.25</v>
      </c>
      <c r="E35" s="79"/>
      <c r="F35" s="1"/>
      <c r="G35" s="1"/>
      <c r="H35" s="1"/>
      <c r="I35" s="48" t="s">
        <v>54</v>
      </c>
      <c r="M35" s="71"/>
      <c r="N35" s="75">
        <v>0.02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>
      <c r="A36" s="1"/>
      <c r="B36" s="77"/>
      <c r="C36" s="3" t="s">
        <v>55</v>
      </c>
      <c r="D36" s="49">
        <f>D35*12</f>
        <v>106419</v>
      </c>
      <c r="E36" s="79"/>
      <c r="F36" s="1"/>
      <c r="G36" s="1"/>
      <c r="H36" s="1"/>
      <c r="I36" s="7" t="s">
        <v>53</v>
      </c>
      <c r="M36" s="66"/>
      <c r="N36" s="49">
        <f>N35*N32</f>
        <v>11400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>
      <c r="A37" s="1"/>
      <c r="B37" s="80"/>
      <c r="C37" s="81" t="s">
        <v>56</v>
      </c>
      <c r="D37" s="53">
        <f>D36/F32</f>
        <v>18.67</v>
      </c>
      <c r="E37" s="1"/>
      <c r="F37" s="1"/>
      <c r="G37" s="8"/>
      <c r="H37" s="8"/>
      <c r="I37" s="7" t="s">
        <v>57</v>
      </c>
      <c r="M37" s="66"/>
      <c r="N37" s="67">
        <v>0.01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>
      <c r="A38" s="1"/>
      <c r="B38" s="1"/>
      <c r="C38" s="1"/>
      <c r="D38" s="1"/>
      <c r="E38" s="1"/>
      <c r="F38" s="1"/>
      <c r="G38" s="8"/>
      <c r="H38" s="8"/>
      <c r="I38" s="7" t="s">
        <v>53</v>
      </c>
      <c r="M38" s="66"/>
      <c r="N38" s="67">
        <f>N37*N32</f>
        <v>5700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>
      <c r="A39" s="1"/>
      <c r="B39" s="1"/>
      <c r="C39" s="1"/>
      <c r="D39" s="1"/>
      <c r="E39" s="1"/>
      <c r="F39" s="1"/>
      <c r="G39" s="8"/>
      <c r="H39" s="8"/>
      <c r="I39" s="7" t="s">
        <v>58</v>
      </c>
      <c r="M39" s="66"/>
      <c r="N39" s="67">
        <v>0.002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>
      <c r="A40" s="1"/>
      <c r="B40" s="1"/>
      <c r="C40" s="1"/>
      <c r="D40" s="1"/>
      <c r="E40" s="1"/>
      <c r="F40" s="1"/>
      <c r="G40" s="8"/>
      <c r="H40" s="8"/>
      <c r="I40" s="7" t="s">
        <v>53</v>
      </c>
      <c r="M40" s="66"/>
      <c r="N40" s="67">
        <f>N39*N32</f>
        <v>1140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>
      <c r="A41" s="1"/>
      <c r="B41" s="1"/>
      <c r="C41" s="1"/>
      <c r="D41" s="1"/>
      <c r="E41" s="1"/>
      <c r="F41" s="1"/>
      <c r="G41" s="8"/>
      <c r="H41" s="8"/>
      <c r="I41" s="7" t="s">
        <v>59</v>
      </c>
      <c r="M41" s="66"/>
      <c r="N41" s="67">
        <v>0.001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>
      <c r="A42" s="1"/>
      <c r="B42" s="1"/>
      <c r="C42" s="1"/>
      <c r="D42" s="1"/>
      <c r="E42" s="1"/>
      <c r="F42" s="1"/>
      <c r="G42" s="8"/>
      <c r="H42" s="8"/>
      <c r="I42" s="82" t="s">
        <v>53</v>
      </c>
      <c r="J42" s="83"/>
      <c r="K42" s="83"/>
      <c r="L42" s="83"/>
      <c r="M42" s="84"/>
      <c r="N42" s="85">
        <f>N41*N32</f>
        <v>570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</sheetData>
  <mergeCells count="20">
    <mergeCell ref="M2:O2"/>
    <mergeCell ref="G10:I10"/>
    <mergeCell ref="D23:E23"/>
    <mergeCell ref="F23:G23"/>
    <mergeCell ref="I29:M29"/>
    <mergeCell ref="B30:F30"/>
    <mergeCell ref="E31:F31"/>
    <mergeCell ref="I37:M37"/>
    <mergeCell ref="I38:M38"/>
    <mergeCell ref="I39:M39"/>
    <mergeCell ref="I40:M40"/>
    <mergeCell ref="I41:M41"/>
    <mergeCell ref="I42:M42"/>
    <mergeCell ref="I30:M30"/>
    <mergeCell ref="I31:M31"/>
    <mergeCell ref="I32:M32"/>
    <mergeCell ref="I33:M33"/>
    <mergeCell ref="I34:M34"/>
    <mergeCell ref="I35:M35"/>
    <mergeCell ref="I36:M36"/>
  </mergeCells>
  <drawing r:id="rId1"/>
</worksheet>
</file>