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1" activeTab="3"/>
  </bookViews>
  <sheets>
    <sheet name="No wind" sheetId="1" r:id="rId1"/>
    <sheet name="Cd vs Cl^2 with Tail" sheetId="6" r:id="rId2"/>
    <sheet name="Cd vs Cl^2 No Tail" sheetId="7" r:id="rId3"/>
    <sheet name="CL vs Alpha " sheetId="8" r:id="rId4"/>
    <sheet name="Tail On 65 MPH" sheetId="2" r:id="rId5"/>
    <sheet name="Tail OFf 65 MPH" sheetId="3" r:id="rId6"/>
    <sheet name="No Model 65 MPH" sheetId="4" r:id="rId7"/>
    <sheet name="Airplane Characteristics" sheetId="5" r:id="rId8"/>
  </sheets>
  <definedNames>
    <definedName name="atnt">'Airplane Characteristics'!$K$11</definedName>
    <definedName name="be">'Airplane Characteristics'!$K$4</definedName>
    <definedName name="bspan">'Airplane Characteristics'!$C$5</definedName>
    <definedName name="btail">'Airplane Characteristics'!$K$14</definedName>
    <definedName name="Bval">'Airplane Characteristics'!$G$5</definedName>
    <definedName name="bvratio">'Airplane Characteristics'!$K$3</definedName>
    <definedName name="Cchord">'Airplane Characteristics'!$C$8</definedName>
    <definedName name="CDO_t">'Airplane Characteristics'!$G$18</definedName>
    <definedName name="CDO_wot">'Airplane Characteristics'!$G$19</definedName>
    <definedName name="CGw">'Airplane Characteristics'!$C$22</definedName>
    <definedName name="Clw">'Airplane Characteristics'!$J$2</definedName>
    <definedName name="CMdeltas">'Airplane Characteristics'!$K$13</definedName>
    <definedName name="Ct">'Airplane Characteristics'!$C$3</definedName>
    <definedName name="delta">'Airplane Characteristics'!$K$6</definedName>
    <definedName name="deltaCmcgt">'Airplane Characteristics'!$K$16</definedName>
    <definedName name="deltalph">'Airplane Characteristics'!$K$8</definedName>
    <definedName name="eps_sbF">'Airplane Characteristics'!$G$15</definedName>
    <definedName name="eps_strut">'Airplane Characteristics'!$G$17</definedName>
    <definedName name="eps_tot">'Airplane Characteristics'!$G$16</definedName>
    <definedName name="eps_tot_nt">'Airplane Characteristics'!$G$23</definedName>
    <definedName name="eps_tot_t">'Airplane Characteristics'!$G$22</definedName>
    <definedName name="eps_wb_nt">'Airplane Characteristics'!$G$21</definedName>
    <definedName name="eps_wb_t">'Airplane Characteristics'!$G$20</definedName>
    <definedName name="fdiam">'Airplane Characteristics'!$C$35</definedName>
    <definedName name="flength">'Airplane Characteristics'!$C$34</definedName>
    <definedName name="fvol">'Airplane Characteristics'!$C$36</definedName>
    <definedName name="h_vt">'Airplane Characteristics'!$C$30</definedName>
    <definedName name="k">'Airplane Characteristics'!$K$5</definedName>
    <definedName name="K1_">'Airplane Characteristics'!$G$10</definedName>
    <definedName name="K3_">'Airplane Characteristics'!$G$11</definedName>
    <definedName name="l_vt">'Airplane Characteristics'!$C$31</definedName>
    <definedName name="lamda_t">'Airplane Characteristics'!$C$16</definedName>
    <definedName name="lamda_vt">'Airplane Characteristics'!$C$28</definedName>
    <definedName name="lamda_w">'Airplane Characteristics'!$C$6</definedName>
    <definedName name="lbar">'Airplane Characteristics'!$C$23</definedName>
    <definedName name="NoModel65mph" localSheetId="6">'No Model 65 MPH'!$A$1:$M$75</definedName>
    <definedName name="nowind" localSheetId="0">'No wind'!$A$1:$H$70</definedName>
    <definedName name="Rc_">'Airplane Characteristics'!$C$4</definedName>
    <definedName name="strut_area">'Airplane Characteristics'!$G$30</definedName>
    <definedName name="t_tail">'Airplane Characteristics'!$C$17</definedName>
    <definedName name="t_wing">'Airplane Characteristics'!$C$7</definedName>
    <definedName name="tailoff65mph" localSheetId="5">'Tail OFf 65 MPH'!$A$1:$I$76</definedName>
    <definedName name="tailon65mph" localSheetId="4">'Tail On 65 MPH'!$A$1:$I$85</definedName>
    <definedName name="tamc">'Airplane Characteristics'!$C$21</definedName>
    <definedName name="tau_wing">'Airplane Characteristics'!$G$13</definedName>
    <definedName name="tau1_">'Airplane Characteristics'!$G$6</definedName>
    <definedName name="tau2_">'Airplane Characteristics'!$K$7</definedName>
    <definedName name="tau2tail">'Airplane Characteristics'!$K$15</definedName>
    <definedName name="tmac">'Airplane Characteristics'!$C$21</definedName>
    <definedName name="Trc">'Airplane Characteristics'!$C$14</definedName>
    <definedName name="tstrut_h">'Airplane Characteristics'!$G$29</definedName>
    <definedName name="tstrut_t">'Airplane Characteristics'!$G$28</definedName>
    <definedName name="Ttc">'Airplane Characteristics'!$C$15</definedName>
    <definedName name="TunHeight">'Airplane Characteristics'!$G$3</definedName>
    <definedName name="TunLen">'Airplane Characteristics'!$G$4</definedName>
    <definedName name="TunWidth">'Airplane Characteristics'!$G$2</definedName>
    <definedName name="Vbar">'Airplane Characteristics'!$K$12</definedName>
    <definedName name="vol_tail">'Airplane Characteristics'!$C$19</definedName>
    <definedName name="vol_wing">'Airplane Characteristics'!$C$10</definedName>
    <definedName name="vtMAC">'Airplane Characteristics'!$C$29</definedName>
    <definedName name="vtRc">'Airplane Characteristics'!$C$26</definedName>
    <definedName name="vtTc">'Airplane Characteristics'!$C$27</definedName>
    <definedName name="waircraft">'Airplane Characteristics'!$G$33</definedName>
    <definedName name="width_ratio">'Airplane Characteristics'!$G$14</definedName>
    <definedName name="wing_area">'Airplane Characteristics'!$C$9</definedName>
    <definedName name="wmac">'Airplane Characteristics'!$C$20</definedName>
    <definedName name="wstrut_h">'Airplane Characteristics'!$G$27</definedName>
    <definedName name="wstrut_t">'Airplane Characteristics'!$G$26</definedName>
  </definedNames>
  <calcPr calcId="145621"/>
</workbook>
</file>

<file path=xl/calcChain.xml><?xml version="1.0" encoding="utf-8"?>
<calcChain xmlns="http://schemas.openxmlformats.org/spreadsheetml/2006/main">
  <c r="O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2" i="3"/>
  <c r="P3" i="3"/>
  <c r="P4" i="3"/>
  <c r="P5" i="3"/>
  <c r="P6" i="3"/>
  <c r="Q6" i="3" s="1"/>
  <c r="P7" i="3"/>
  <c r="P8" i="3"/>
  <c r="P9" i="3"/>
  <c r="P10" i="3"/>
  <c r="Q10" i="3" s="1"/>
  <c r="P11" i="3"/>
  <c r="P12" i="3"/>
  <c r="P13" i="3"/>
  <c r="P14" i="3"/>
  <c r="Q14" i="3" s="1"/>
  <c r="P15" i="3"/>
  <c r="P16" i="3"/>
  <c r="P17" i="3"/>
  <c r="P18" i="3"/>
  <c r="Q18" i="3" s="1"/>
  <c r="P19" i="3"/>
  <c r="P20" i="3"/>
  <c r="P21" i="3"/>
  <c r="P22" i="3"/>
  <c r="Q22" i="3" s="1"/>
  <c r="P23" i="3"/>
  <c r="P24" i="3"/>
  <c r="P25" i="3"/>
  <c r="P26" i="3"/>
  <c r="Q26" i="3" s="1"/>
  <c r="P27" i="3"/>
  <c r="P28" i="3"/>
  <c r="P29" i="3"/>
  <c r="P30" i="3"/>
  <c r="Q30" i="3" s="1"/>
  <c r="P31" i="3"/>
  <c r="P32" i="3"/>
  <c r="P33" i="3"/>
  <c r="P34" i="3"/>
  <c r="Q34" i="3" s="1"/>
  <c r="P35" i="3"/>
  <c r="P36" i="3"/>
  <c r="P37" i="3"/>
  <c r="P38" i="3"/>
  <c r="Q38" i="3" s="1"/>
  <c r="P39" i="3"/>
  <c r="P40" i="3"/>
  <c r="P41" i="3"/>
  <c r="P42" i="3"/>
  <c r="Q42" i="3" s="1"/>
  <c r="P43" i="3"/>
  <c r="P44" i="3"/>
  <c r="P45" i="3"/>
  <c r="P46" i="3"/>
  <c r="Q46" i="3" s="1"/>
  <c r="P47" i="3"/>
  <c r="P48" i="3"/>
  <c r="P49" i="3"/>
  <c r="P50" i="3"/>
  <c r="Q50" i="3" s="1"/>
  <c r="P51" i="3"/>
  <c r="P52" i="3"/>
  <c r="P53" i="3"/>
  <c r="P54" i="3"/>
  <c r="Q54" i="3" s="1"/>
  <c r="P55" i="3"/>
  <c r="P56" i="3"/>
  <c r="P57" i="3"/>
  <c r="P58" i="3"/>
  <c r="Q58" i="3" s="1"/>
  <c r="P59" i="3"/>
  <c r="P60" i="3"/>
  <c r="P61" i="3"/>
  <c r="P62" i="3"/>
  <c r="Q62" i="3" s="1"/>
  <c r="P63" i="3"/>
  <c r="P64" i="3"/>
  <c r="P65" i="3"/>
  <c r="P66" i="3"/>
  <c r="Q66" i="3" s="1"/>
  <c r="P67" i="3"/>
  <c r="P68" i="3"/>
  <c r="P69" i="3"/>
  <c r="P70" i="3"/>
  <c r="Q70" i="3" s="1"/>
  <c r="P71" i="3"/>
  <c r="P72" i="3"/>
  <c r="P73" i="3"/>
  <c r="P74" i="3"/>
  <c r="Q74" i="3" s="1"/>
  <c r="P75" i="3"/>
  <c r="Q75" i="3" s="1"/>
  <c r="P76" i="3"/>
  <c r="P2" i="3"/>
  <c r="Q76" i="3"/>
  <c r="Q73" i="3"/>
  <c r="Q72" i="3"/>
  <c r="Q71" i="3"/>
  <c r="Q69" i="3"/>
  <c r="Q68" i="3"/>
  <c r="Q67" i="3"/>
  <c r="Q65" i="3"/>
  <c r="Q64" i="3"/>
  <c r="Q63" i="3"/>
  <c r="Q61" i="3"/>
  <c r="Q60" i="3"/>
  <c r="Q59" i="3"/>
  <c r="Q57" i="3"/>
  <c r="Q56" i="3"/>
  <c r="Q55" i="3"/>
  <c r="Q53" i="3"/>
  <c r="Q52" i="3"/>
  <c r="Q51" i="3"/>
  <c r="Q49" i="3"/>
  <c r="Q48" i="3"/>
  <c r="Q47" i="3"/>
  <c r="Q45" i="3"/>
  <c r="Q44" i="3"/>
  <c r="Q43" i="3"/>
  <c r="Q41" i="3"/>
  <c r="Q40" i="3"/>
  <c r="Q39" i="3"/>
  <c r="Q37" i="3"/>
  <c r="Q36" i="3"/>
  <c r="Q35" i="3"/>
  <c r="Q33" i="3"/>
  <c r="Q32" i="3"/>
  <c r="Q31" i="3"/>
  <c r="Q29" i="3"/>
  <c r="Q28" i="3"/>
  <c r="Q27" i="3"/>
  <c r="Q25" i="3"/>
  <c r="Q24" i="3"/>
  <c r="Q23" i="3"/>
  <c r="Q21" i="3"/>
  <c r="Q20" i="3"/>
  <c r="Q19" i="3"/>
  <c r="Q17" i="3"/>
  <c r="Q16" i="3"/>
  <c r="Q15" i="3"/>
  <c r="Q13" i="3"/>
  <c r="Q12" i="3"/>
  <c r="Q11" i="3"/>
  <c r="Q9" i="3"/>
  <c r="Q8" i="3"/>
  <c r="Q7" i="3"/>
  <c r="Q5" i="3"/>
  <c r="Q4" i="3"/>
  <c r="Q3" i="3"/>
  <c r="Q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K16" i="5"/>
  <c r="K14" i="5"/>
  <c r="K13" i="5"/>
  <c r="K12" i="5"/>
  <c r="J19" i="5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N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2" i="4"/>
  <c r="P2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2" i="2"/>
  <c r="K8" i="5"/>
  <c r="K5" i="5"/>
  <c r="K4" i="5"/>
  <c r="K2" i="5"/>
  <c r="G33" i="5"/>
  <c r="J65" i="3" l="1"/>
  <c r="L65" i="3" s="1"/>
  <c r="J59" i="3"/>
  <c r="L59" i="3" s="1"/>
  <c r="K52" i="3"/>
  <c r="J46" i="3"/>
  <c r="L46" i="3" s="1"/>
  <c r="K42" i="3"/>
  <c r="K39" i="3"/>
  <c r="J36" i="3"/>
  <c r="L36" i="3" s="1"/>
  <c r="K29" i="3"/>
  <c r="K26" i="3"/>
  <c r="K23" i="3"/>
  <c r="J20" i="3"/>
  <c r="L20" i="3" s="1"/>
  <c r="K13" i="3"/>
  <c r="K10" i="3"/>
  <c r="K7" i="3"/>
  <c r="J4" i="3"/>
  <c r="L4" i="3" s="1"/>
  <c r="K3" i="2"/>
  <c r="K15" i="2"/>
  <c r="K19" i="2"/>
  <c r="K31" i="2"/>
  <c r="K35" i="2"/>
  <c r="K47" i="2"/>
  <c r="K51" i="2"/>
  <c r="K63" i="2"/>
  <c r="K67" i="2"/>
  <c r="K79" i="2"/>
  <c r="K83" i="2"/>
  <c r="J4" i="2"/>
  <c r="L4" i="2" s="1"/>
  <c r="J8" i="2"/>
  <c r="L8" i="2" s="1"/>
  <c r="J12" i="2"/>
  <c r="L12" i="2" s="1"/>
  <c r="J16" i="2"/>
  <c r="L16" i="2" s="1"/>
  <c r="J20" i="2"/>
  <c r="L20" i="2" s="1"/>
  <c r="J24" i="2"/>
  <c r="L24" i="2" s="1"/>
  <c r="J28" i="2"/>
  <c r="L28" i="2" s="1"/>
  <c r="J32" i="2"/>
  <c r="L32" i="2" s="1"/>
  <c r="J36" i="2"/>
  <c r="L36" i="2" s="1"/>
  <c r="J40" i="2"/>
  <c r="L40" i="2" s="1"/>
  <c r="J44" i="2"/>
  <c r="L44" i="2" s="1"/>
  <c r="J48" i="2"/>
  <c r="L48" i="2" s="1"/>
  <c r="J52" i="2"/>
  <c r="L52" i="2" s="1"/>
  <c r="J56" i="2"/>
  <c r="L56" i="2" s="1"/>
  <c r="J60" i="2"/>
  <c r="L60" i="2" s="1"/>
  <c r="J64" i="2"/>
  <c r="L64" i="2" s="1"/>
  <c r="J68" i="2"/>
  <c r="L68" i="2" s="1"/>
  <c r="J72" i="2"/>
  <c r="L72" i="2" s="1"/>
  <c r="J76" i="2"/>
  <c r="L76" i="2" s="1"/>
  <c r="J80" i="2"/>
  <c r="L80" i="2" s="1"/>
  <c r="J84" i="2"/>
  <c r="L84" i="2" s="1"/>
  <c r="G30" i="5"/>
  <c r="G17" i="5" s="1"/>
  <c r="G14" i="5"/>
  <c r="C36" i="5"/>
  <c r="G15" i="5" s="1"/>
  <c r="C28" i="5"/>
  <c r="C29" i="5" s="1"/>
  <c r="C5" i="5"/>
  <c r="G5" i="5"/>
  <c r="C6" i="5"/>
  <c r="C20" i="5" s="1"/>
  <c r="C22" i="5" s="1"/>
  <c r="C16" i="5"/>
  <c r="C21" i="5" s="1"/>
  <c r="C8" i="5"/>
  <c r="C9" i="5" s="1"/>
  <c r="J75" i="3" s="1"/>
  <c r="L75" i="3" s="1"/>
  <c r="C18" i="5"/>
  <c r="C19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2" i="3"/>
  <c r="E3" i="2"/>
  <c r="E4" i="2"/>
  <c r="E5" i="2"/>
  <c r="E6" i="2"/>
  <c r="E7" i="2"/>
  <c r="K7" i="2" s="1"/>
  <c r="E8" i="2"/>
  <c r="E9" i="2"/>
  <c r="E10" i="2"/>
  <c r="E11" i="2"/>
  <c r="K11" i="2" s="1"/>
  <c r="E12" i="2"/>
  <c r="E13" i="2"/>
  <c r="E14" i="2"/>
  <c r="E15" i="2"/>
  <c r="E16" i="2"/>
  <c r="E17" i="2"/>
  <c r="E18" i="2"/>
  <c r="E19" i="2"/>
  <c r="E20" i="2"/>
  <c r="E21" i="2"/>
  <c r="E22" i="2"/>
  <c r="E23" i="2"/>
  <c r="K23" i="2" s="1"/>
  <c r="E24" i="2"/>
  <c r="E25" i="2"/>
  <c r="E26" i="2"/>
  <c r="E27" i="2"/>
  <c r="K27" i="2" s="1"/>
  <c r="E28" i="2"/>
  <c r="E29" i="2"/>
  <c r="E30" i="2"/>
  <c r="E31" i="2"/>
  <c r="E32" i="2"/>
  <c r="E33" i="2"/>
  <c r="E34" i="2"/>
  <c r="E35" i="2"/>
  <c r="E36" i="2"/>
  <c r="E37" i="2"/>
  <c r="E38" i="2"/>
  <c r="E39" i="2"/>
  <c r="K39" i="2" s="1"/>
  <c r="E40" i="2"/>
  <c r="E41" i="2"/>
  <c r="E42" i="2"/>
  <c r="E43" i="2"/>
  <c r="K43" i="2" s="1"/>
  <c r="E44" i="2"/>
  <c r="E45" i="2"/>
  <c r="E46" i="2"/>
  <c r="E47" i="2"/>
  <c r="E48" i="2"/>
  <c r="E49" i="2"/>
  <c r="E50" i="2"/>
  <c r="E51" i="2"/>
  <c r="E52" i="2"/>
  <c r="E53" i="2"/>
  <c r="E54" i="2"/>
  <c r="E55" i="2"/>
  <c r="K55" i="2" s="1"/>
  <c r="E56" i="2"/>
  <c r="E57" i="2"/>
  <c r="E58" i="2"/>
  <c r="E59" i="2"/>
  <c r="K59" i="2" s="1"/>
  <c r="E60" i="2"/>
  <c r="E61" i="2"/>
  <c r="E62" i="2"/>
  <c r="E63" i="2"/>
  <c r="E64" i="2"/>
  <c r="E65" i="2"/>
  <c r="E66" i="2"/>
  <c r="E67" i="2"/>
  <c r="E68" i="2"/>
  <c r="E69" i="2"/>
  <c r="E70" i="2"/>
  <c r="E71" i="2"/>
  <c r="K71" i="2" s="1"/>
  <c r="E72" i="2"/>
  <c r="E73" i="2"/>
  <c r="E74" i="2"/>
  <c r="E75" i="2"/>
  <c r="K75" i="2" s="1"/>
  <c r="E76" i="2"/>
  <c r="E77" i="2"/>
  <c r="E78" i="2"/>
  <c r="E79" i="2"/>
  <c r="E80" i="2"/>
  <c r="E81" i="2"/>
  <c r="E82" i="2"/>
  <c r="E83" i="2"/>
  <c r="E84" i="2"/>
  <c r="E85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J79" i="2" l="1"/>
  <c r="L79" i="2" s="1"/>
  <c r="J71" i="2"/>
  <c r="L71" i="2" s="1"/>
  <c r="J63" i="2"/>
  <c r="L63" i="2" s="1"/>
  <c r="J55" i="2"/>
  <c r="L55" i="2" s="1"/>
  <c r="J47" i="2"/>
  <c r="L47" i="2" s="1"/>
  <c r="J39" i="2"/>
  <c r="L39" i="2" s="1"/>
  <c r="J31" i="2"/>
  <c r="L31" i="2" s="1"/>
  <c r="J23" i="2"/>
  <c r="L23" i="2" s="1"/>
  <c r="J15" i="2"/>
  <c r="L15" i="2" s="1"/>
  <c r="J7" i="2"/>
  <c r="L7" i="2" s="1"/>
  <c r="K82" i="2"/>
  <c r="K74" i="2"/>
  <c r="K66" i="2"/>
  <c r="K58" i="2"/>
  <c r="K50" i="2"/>
  <c r="K42" i="2"/>
  <c r="K34" i="2"/>
  <c r="K26" i="2"/>
  <c r="K18" i="2"/>
  <c r="K10" i="2"/>
  <c r="K6" i="2"/>
  <c r="K4" i="3"/>
  <c r="J11" i="3"/>
  <c r="L11" i="3" s="1"/>
  <c r="J17" i="3"/>
  <c r="L17" i="3" s="1"/>
  <c r="J30" i="3"/>
  <c r="L30" i="3" s="1"/>
  <c r="K36" i="3"/>
  <c r="K47" i="3"/>
  <c r="J60" i="3"/>
  <c r="L60" i="3" s="1"/>
  <c r="J82" i="2"/>
  <c r="L82" i="2" s="1"/>
  <c r="J78" i="2"/>
  <c r="L78" i="2" s="1"/>
  <c r="J74" i="2"/>
  <c r="L74" i="2" s="1"/>
  <c r="J70" i="2"/>
  <c r="L70" i="2" s="1"/>
  <c r="J66" i="2"/>
  <c r="L66" i="2" s="1"/>
  <c r="J62" i="2"/>
  <c r="L62" i="2" s="1"/>
  <c r="J58" i="2"/>
  <c r="L58" i="2" s="1"/>
  <c r="J54" i="2"/>
  <c r="L54" i="2" s="1"/>
  <c r="J50" i="2"/>
  <c r="L50" i="2" s="1"/>
  <c r="J46" i="2"/>
  <c r="L46" i="2" s="1"/>
  <c r="J42" i="2"/>
  <c r="L42" i="2" s="1"/>
  <c r="J38" i="2"/>
  <c r="L38" i="2" s="1"/>
  <c r="J34" i="2"/>
  <c r="L34" i="2" s="1"/>
  <c r="J30" i="2"/>
  <c r="L30" i="2" s="1"/>
  <c r="J26" i="2"/>
  <c r="L26" i="2" s="1"/>
  <c r="J22" i="2"/>
  <c r="L22" i="2" s="1"/>
  <c r="J18" i="2"/>
  <c r="L18" i="2" s="1"/>
  <c r="J14" i="2"/>
  <c r="L14" i="2" s="1"/>
  <c r="J10" i="2"/>
  <c r="L10" i="2" s="1"/>
  <c r="J6" i="2"/>
  <c r="L6" i="2" s="1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2" i="3"/>
  <c r="K5" i="3"/>
  <c r="J12" i="3"/>
  <c r="L12" i="3" s="1"/>
  <c r="K15" i="3"/>
  <c r="K18" i="3"/>
  <c r="K21" i="3"/>
  <c r="J28" i="3"/>
  <c r="L28" i="3" s="1"/>
  <c r="K31" i="3"/>
  <c r="K34" i="3"/>
  <c r="K37" i="3"/>
  <c r="J44" i="3"/>
  <c r="L44" i="3" s="1"/>
  <c r="J49" i="3"/>
  <c r="L49" i="3" s="1"/>
  <c r="J62" i="3"/>
  <c r="L62" i="3" s="1"/>
  <c r="K68" i="3"/>
  <c r="C11" i="5"/>
  <c r="J2" i="2"/>
  <c r="L2" i="2" s="1"/>
  <c r="G20" i="5"/>
  <c r="J74" i="3"/>
  <c r="L74" i="3" s="1"/>
  <c r="K72" i="3"/>
  <c r="J71" i="3"/>
  <c r="L71" i="3" s="1"/>
  <c r="J69" i="3"/>
  <c r="L69" i="3" s="1"/>
  <c r="J66" i="3"/>
  <c r="L66" i="3" s="1"/>
  <c r="K64" i="3"/>
  <c r="J63" i="3"/>
  <c r="L63" i="3" s="1"/>
  <c r="J61" i="3"/>
  <c r="L61" i="3" s="1"/>
  <c r="J58" i="3"/>
  <c r="L58" i="3" s="1"/>
  <c r="K56" i="3"/>
  <c r="J55" i="3"/>
  <c r="L55" i="3" s="1"/>
  <c r="J53" i="3"/>
  <c r="L53" i="3" s="1"/>
  <c r="J50" i="3"/>
  <c r="L50" i="3" s="1"/>
  <c r="K48" i="3"/>
  <c r="J47" i="3"/>
  <c r="L47" i="3" s="1"/>
  <c r="J45" i="3"/>
  <c r="L45" i="3" s="1"/>
  <c r="K75" i="3"/>
  <c r="K73" i="3"/>
  <c r="J72" i="3"/>
  <c r="L72" i="3" s="1"/>
  <c r="K70" i="3"/>
  <c r="K67" i="3"/>
  <c r="K65" i="3"/>
  <c r="J64" i="3"/>
  <c r="L64" i="3" s="1"/>
  <c r="K62" i="3"/>
  <c r="K59" i="3"/>
  <c r="K57" i="3"/>
  <c r="J56" i="3"/>
  <c r="L56" i="3" s="1"/>
  <c r="K54" i="3"/>
  <c r="K51" i="3"/>
  <c r="K49" i="3"/>
  <c r="J48" i="3"/>
  <c r="L48" i="3" s="1"/>
  <c r="K46" i="3"/>
  <c r="G21" i="5"/>
  <c r="K74" i="3"/>
  <c r="K71" i="3"/>
  <c r="J68" i="3"/>
  <c r="L68" i="3" s="1"/>
  <c r="K61" i="3"/>
  <c r="K58" i="3"/>
  <c r="K55" i="3"/>
  <c r="J52" i="3"/>
  <c r="L52" i="3" s="1"/>
  <c r="K45" i="3"/>
  <c r="J42" i="3"/>
  <c r="L42" i="3" s="1"/>
  <c r="K40" i="3"/>
  <c r="J39" i="3"/>
  <c r="L39" i="3" s="1"/>
  <c r="J37" i="3"/>
  <c r="L37" i="3" s="1"/>
  <c r="J34" i="3"/>
  <c r="L34" i="3" s="1"/>
  <c r="K32" i="3"/>
  <c r="J31" i="3"/>
  <c r="L31" i="3" s="1"/>
  <c r="J29" i="3"/>
  <c r="L29" i="3" s="1"/>
  <c r="J26" i="3"/>
  <c r="L26" i="3" s="1"/>
  <c r="K24" i="3"/>
  <c r="J23" i="3"/>
  <c r="L23" i="3" s="1"/>
  <c r="J21" i="3"/>
  <c r="L21" i="3" s="1"/>
  <c r="J18" i="3"/>
  <c r="L18" i="3" s="1"/>
  <c r="K16" i="3"/>
  <c r="J15" i="3"/>
  <c r="L15" i="3" s="1"/>
  <c r="J13" i="3"/>
  <c r="L13" i="3" s="1"/>
  <c r="J10" i="3"/>
  <c r="L10" i="3" s="1"/>
  <c r="K8" i="3"/>
  <c r="J7" i="3"/>
  <c r="L7" i="3" s="1"/>
  <c r="J5" i="3"/>
  <c r="L5" i="3" s="1"/>
  <c r="J2" i="3"/>
  <c r="L2" i="3" s="1"/>
  <c r="K76" i="3"/>
  <c r="J73" i="3"/>
  <c r="L73" i="3" s="1"/>
  <c r="J70" i="3"/>
  <c r="L70" i="3" s="1"/>
  <c r="J67" i="3"/>
  <c r="L67" i="3" s="1"/>
  <c r="K60" i="3"/>
  <c r="J57" i="3"/>
  <c r="L57" i="3" s="1"/>
  <c r="J54" i="3"/>
  <c r="L54" i="3" s="1"/>
  <c r="J51" i="3"/>
  <c r="L51" i="3" s="1"/>
  <c r="K43" i="3"/>
  <c r="K41" i="3"/>
  <c r="J40" i="3"/>
  <c r="L40" i="3" s="1"/>
  <c r="K38" i="3"/>
  <c r="K35" i="3"/>
  <c r="K33" i="3"/>
  <c r="J32" i="3"/>
  <c r="L32" i="3" s="1"/>
  <c r="K30" i="3"/>
  <c r="K27" i="3"/>
  <c r="K25" i="3"/>
  <c r="J24" i="3"/>
  <c r="L24" i="3" s="1"/>
  <c r="K22" i="3"/>
  <c r="K19" i="3"/>
  <c r="K17" i="3"/>
  <c r="J16" i="3"/>
  <c r="L16" i="3" s="1"/>
  <c r="K14" i="3"/>
  <c r="K11" i="3"/>
  <c r="K9" i="3"/>
  <c r="J8" i="3"/>
  <c r="L8" i="3" s="1"/>
  <c r="K6" i="3"/>
  <c r="K3" i="3"/>
  <c r="J83" i="2"/>
  <c r="L83" i="2" s="1"/>
  <c r="J75" i="2"/>
  <c r="L75" i="2" s="1"/>
  <c r="J67" i="2"/>
  <c r="L67" i="2" s="1"/>
  <c r="J59" i="2"/>
  <c r="L59" i="2" s="1"/>
  <c r="J51" i="2"/>
  <c r="L51" i="2" s="1"/>
  <c r="J43" i="2"/>
  <c r="L43" i="2" s="1"/>
  <c r="J35" i="2"/>
  <c r="L35" i="2" s="1"/>
  <c r="J27" i="2"/>
  <c r="L27" i="2" s="1"/>
  <c r="J19" i="2"/>
  <c r="L19" i="2" s="1"/>
  <c r="J11" i="2"/>
  <c r="L11" i="2" s="1"/>
  <c r="J3" i="2"/>
  <c r="L3" i="2" s="1"/>
  <c r="K78" i="2"/>
  <c r="K70" i="2"/>
  <c r="K62" i="2"/>
  <c r="K54" i="2"/>
  <c r="K46" i="2"/>
  <c r="K38" i="2"/>
  <c r="K30" i="2"/>
  <c r="K22" i="2"/>
  <c r="K14" i="2"/>
  <c r="J14" i="3"/>
  <c r="L14" i="3" s="1"/>
  <c r="K20" i="3"/>
  <c r="J27" i="3"/>
  <c r="L27" i="3" s="1"/>
  <c r="J33" i="3"/>
  <c r="L33" i="3" s="1"/>
  <c r="J43" i="3"/>
  <c r="L43" i="3" s="1"/>
  <c r="K53" i="3"/>
  <c r="K66" i="3"/>
  <c r="J85" i="2"/>
  <c r="L85" i="2" s="1"/>
  <c r="J81" i="2"/>
  <c r="L81" i="2" s="1"/>
  <c r="J77" i="2"/>
  <c r="L77" i="2" s="1"/>
  <c r="J73" i="2"/>
  <c r="L73" i="2" s="1"/>
  <c r="J69" i="2"/>
  <c r="L69" i="2" s="1"/>
  <c r="J65" i="2"/>
  <c r="L65" i="2" s="1"/>
  <c r="J61" i="2"/>
  <c r="L61" i="2" s="1"/>
  <c r="J57" i="2"/>
  <c r="L57" i="2" s="1"/>
  <c r="J53" i="2"/>
  <c r="L53" i="2" s="1"/>
  <c r="J49" i="2"/>
  <c r="L49" i="2" s="1"/>
  <c r="J45" i="2"/>
  <c r="L45" i="2" s="1"/>
  <c r="J41" i="2"/>
  <c r="L41" i="2" s="1"/>
  <c r="J37" i="2"/>
  <c r="L37" i="2" s="1"/>
  <c r="J33" i="2"/>
  <c r="L33" i="2" s="1"/>
  <c r="J29" i="2"/>
  <c r="L29" i="2" s="1"/>
  <c r="J25" i="2"/>
  <c r="L25" i="2" s="1"/>
  <c r="J21" i="2"/>
  <c r="L21" i="2" s="1"/>
  <c r="J17" i="2"/>
  <c r="L17" i="2" s="1"/>
  <c r="J13" i="2"/>
  <c r="L13" i="2" s="1"/>
  <c r="J9" i="2"/>
  <c r="L9" i="2" s="1"/>
  <c r="J5" i="2"/>
  <c r="L5" i="2" s="1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J3" i="3"/>
  <c r="L3" i="3" s="1"/>
  <c r="J6" i="3"/>
  <c r="L6" i="3" s="1"/>
  <c r="J9" i="3"/>
  <c r="L9" i="3" s="1"/>
  <c r="K12" i="3"/>
  <c r="J19" i="3"/>
  <c r="L19" i="3" s="1"/>
  <c r="J22" i="3"/>
  <c r="L22" i="3" s="1"/>
  <c r="J25" i="3"/>
  <c r="L25" i="3" s="1"/>
  <c r="K28" i="3"/>
  <c r="J35" i="3"/>
  <c r="L35" i="3" s="1"/>
  <c r="J38" i="3"/>
  <c r="L38" i="3" s="1"/>
  <c r="J41" i="3"/>
  <c r="L41" i="3" s="1"/>
  <c r="K44" i="3"/>
  <c r="K50" i="3"/>
  <c r="K63" i="3"/>
  <c r="K69" i="3"/>
  <c r="J76" i="3"/>
  <c r="L76" i="3" s="1"/>
  <c r="K2" i="2"/>
  <c r="C10" i="5"/>
  <c r="G12" i="5" s="1"/>
  <c r="G16" i="5" s="1"/>
  <c r="G22" i="5" l="1"/>
  <c r="G23" i="5"/>
  <c r="M6" i="2" l="1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2" i="2"/>
  <c r="M3" i="2"/>
  <c r="M7" i="2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M67" i="2"/>
  <c r="M71" i="2"/>
  <c r="M75" i="2"/>
  <c r="M79" i="2"/>
  <c r="M83" i="2"/>
  <c r="M9" i="2"/>
  <c r="M17" i="2"/>
  <c r="M25" i="2"/>
  <c r="M33" i="2"/>
  <c r="M41" i="2"/>
  <c r="M49" i="2"/>
  <c r="M57" i="2"/>
  <c r="M65" i="2"/>
  <c r="M73" i="2"/>
  <c r="M81" i="2"/>
  <c r="M4" i="2"/>
  <c r="M12" i="2"/>
  <c r="M20" i="2"/>
  <c r="M28" i="2"/>
  <c r="M36" i="2"/>
  <c r="M44" i="2"/>
  <c r="M52" i="2"/>
  <c r="M60" i="2"/>
  <c r="M68" i="2"/>
  <c r="M76" i="2"/>
  <c r="M84" i="2"/>
  <c r="M13" i="2"/>
  <c r="M29" i="2"/>
  <c r="M45" i="2"/>
  <c r="M61" i="2"/>
  <c r="M77" i="2"/>
  <c r="M21" i="2"/>
  <c r="M53" i="2"/>
  <c r="M85" i="2"/>
  <c r="M24" i="2"/>
  <c r="M56" i="2"/>
  <c r="M16" i="2"/>
  <c r="M32" i="2"/>
  <c r="M48" i="2"/>
  <c r="M64" i="2"/>
  <c r="M80" i="2"/>
  <c r="M5" i="2"/>
  <c r="M37" i="2"/>
  <c r="M69" i="2"/>
  <c r="M8" i="2"/>
  <c r="M40" i="2"/>
  <c r="M72" i="2"/>
  <c r="O37" i="2" l="1"/>
  <c r="N37" i="2"/>
  <c r="O24" i="2"/>
  <c r="N24" i="2"/>
  <c r="O13" i="2"/>
  <c r="N13" i="2"/>
  <c r="O28" i="2"/>
  <c r="N28" i="2"/>
  <c r="O49" i="2"/>
  <c r="N49" i="2"/>
  <c r="N75" i="2"/>
  <c r="O75" i="2"/>
  <c r="N43" i="2"/>
  <c r="O43" i="2"/>
  <c r="N11" i="2"/>
  <c r="O11" i="2"/>
  <c r="N66" i="2"/>
  <c r="O66" i="2"/>
  <c r="N34" i="2"/>
  <c r="O34" i="2"/>
  <c r="O40" i="2"/>
  <c r="N40" i="2"/>
  <c r="O32" i="2"/>
  <c r="N32" i="2"/>
  <c r="O61" i="2"/>
  <c r="N61" i="2"/>
  <c r="O52" i="2"/>
  <c r="N52" i="2"/>
  <c r="O73" i="2"/>
  <c r="N73" i="2"/>
  <c r="O9" i="2"/>
  <c r="N9" i="2"/>
  <c r="N55" i="2"/>
  <c r="O55" i="2"/>
  <c r="N23" i="2"/>
  <c r="O23" i="2"/>
  <c r="N78" i="2"/>
  <c r="O78" i="2"/>
  <c r="N62" i="2"/>
  <c r="O62" i="2"/>
  <c r="N30" i="2"/>
  <c r="O30" i="2"/>
  <c r="N14" i="2"/>
  <c r="O14" i="2"/>
  <c r="O8" i="2"/>
  <c r="N8" i="2"/>
  <c r="O80" i="2"/>
  <c r="N80" i="2"/>
  <c r="O16" i="2"/>
  <c r="N16" i="2"/>
  <c r="O53" i="2"/>
  <c r="N53" i="2"/>
  <c r="O45" i="2"/>
  <c r="N45" i="2"/>
  <c r="O76" i="2"/>
  <c r="N76" i="2"/>
  <c r="O44" i="2"/>
  <c r="N44" i="2"/>
  <c r="O12" i="2"/>
  <c r="N12" i="2"/>
  <c r="O65" i="2"/>
  <c r="N65" i="2"/>
  <c r="O33" i="2"/>
  <c r="N33" i="2"/>
  <c r="N83" i="2"/>
  <c r="O83" i="2"/>
  <c r="N67" i="2"/>
  <c r="O67" i="2"/>
  <c r="N51" i="2"/>
  <c r="O51" i="2"/>
  <c r="N35" i="2"/>
  <c r="O35" i="2"/>
  <c r="N19" i="2"/>
  <c r="O19" i="2"/>
  <c r="N3" i="2"/>
  <c r="O3" i="2"/>
  <c r="N74" i="2"/>
  <c r="O74" i="2"/>
  <c r="O58" i="2"/>
  <c r="N58" i="2"/>
  <c r="O42" i="2"/>
  <c r="N42" i="2"/>
  <c r="O26" i="2"/>
  <c r="N26" i="2"/>
  <c r="O10" i="2"/>
  <c r="N10" i="2"/>
  <c r="O72" i="2"/>
  <c r="N72" i="2"/>
  <c r="O48" i="2"/>
  <c r="N48" i="2"/>
  <c r="O77" i="2"/>
  <c r="N77" i="2"/>
  <c r="O60" i="2"/>
  <c r="N60" i="2"/>
  <c r="O81" i="2"/>
  <c r="N81" i="2"/>
  <c r="O17" i="2"/>
  <c r="N17" i="2"/>
  <c r="N59" i="2"/>
  <c r="O59" i="2"/>
  <c r="N27" i="2"/>
  <c r="O27" i="2"/>
  <c r="N82" i="2"/>
  <c r="O82" i="2"/>
  <c r="N50" i="2"/>
  <c r="O50" i="2"/>
  <c r="N18" i="2"/>
  <c r="O18" i="2"/>
  <c r="O5" i="2"/>
  <c r="N5" i="2"/>
  <c r="O85" i="2"/>
  <c r="N85" i="2"/>
  <c r="O84" i="2"/>
  <c r="N84" i="2"/>
  <c r="O20" i="2"/>
  <c r="N20" i="2"/>
  <c r="O41" i="2"/>
  <c r="N41" i="2"/>
  <c r="N71" i="2"/>
  <c r="O71" i="2"/>
  <c r="N39" i="2"/>
  <c r="O39" i="2"/>
  <c r="N7" i="2"/>
  <c r="O7" i="2"/>
  <c r="N46" i="2"/>
  <c r="O46" i="2"/>
  <c r="O69" i="2"/>
  <c r="N69" i="2"/>
  <c r="O64" i="2"/>
  <c r="N64" i="2"/>
  <c r="O56" i="2"/>
  <c r="N56" i="2"/>
  <c r="O21" i="2"/>
  <c r="N21" i="2"/>
  <c r="O29" i="2"/>
  <c r="N29" i="2"/>
  <c r="O68" i="2"/>
  <c r="N68" i="2"/>
  <c r="O36" i="2"/>
  <c r="N36" i="2"/>
  <c r="O4" i="2"/>
  <c r="N4" i="2"/>
  <c r="O57" i="2"/>
  <c r="N57" i="2"/>
  <c r="O25" i="2"/>
  <c r="N25" i="2"/>
  <c r="N79" i="2"/>
  <c r="O79" i="2"/>
  <c r="N63" i="2"/>
  <c r="O63" i="2"/>
  <c r="N47" i="2"/>
  <c r="O47" i="2"/>
  <c r="N31" i="2"/>
  <c r="O31" i="2"/>
  <c r="N15" i="2"/>
  <c r="O15" i="2"/>
  <c r="O2" i="2"/>
  <c r="N70" i="2"/>
  <c r="O70" i="2"/>
  <c r="N54" i="2"/>
  <c r="O54" i="2"/>
  <c r="N38" i="2"/>
  <c r="O38" i="2"/>
  <c r="N22" i="2"/>
  <c r="O22" i="2"/>
  <c r="N6" i="2"/>
  <c r="O6" i="2"/>
</calcChain>
</file>

<file path=xl/connections.xml><?xml version="1.0" encoding="utf-8"?>
<connections xmlns="http://schemas.openxmlformats.org/spreadsheetml/2006/main">
  <connection id="1" name="NoModel65mph" type="6" refreshedVersion="4" background="1" saveData="1">
    <textPr codePage="437" sourceFile="C:\Users\Jay\Documents\NoModel65mph.txt">
      <textFields>
        <textField/>
      </textFields>
    </textPr>
  </connection>
  <connection id="2" name="nowind" type="6" refreshedVersion="4" background="1" saveData="1">
    <textPr codePage="437" sourceFile="C:\Users\Jay\Documents\nowind.txt">
      <textFields count="7">
        <textField/>
        <textField/>
        <textField/>
        <textField/>
        <textField/>
        <textField/>
        <textField/>
      </textFields>
    </textPr>
  </connection>
  <connection id="3" name="tailoff65mph" type="6" refreshedVersion="4" background="1" saveData="1">
    <textPr codePage="437" sourceFile="C:\Users\Jay\Documents\tailoff65mph.txt">
      <textFields>
        <textField/>
      </textFields>
    </textPr>
  </connection>
  <connection id="4" name="tailon65mph" type="6" refreshedVersion="4" background="1" saveData="1">
    <textPr codePage="437" sourceFile="C:\Users\Jay\Documents\tailon65mph.txt">
      <textFields>
        <textField/>
      </textFields>
    </textPr>
  </connection>
</connections>
</file>

<file path=xl/sharedStrings.xml><?xml version="1.0" encoding="utf-8"?>
<sst xmlns="http://schemas.openxmlformats.org/spreadsheetml/2006/main" count="199" uniqueCount="152">
  <si>
    <t>Alpha (deg)</t>
  </si>
  <si>
    <t>Lift (lbs)</t>
  </si>
  <si>
    <t>Drag (lbs)</t>
  </si>
  <si>
    <t>Pitch (in-lbs)</t>
  </si>
  <si>
    <t>Side (lbs)</t>
  </si>
  <si>
    <t>Roll (in-lbs)</t>
  </si>
  <si>
    <t>Yaw (in-lbs)</t>
  </si>
  <si>
    <t>Drag (real)</t>
  </si>
  <si>
    <t>Drag (Real)</t>
  </si>
  <si>
    <t>tarea</t>
  </si>
  <si>
    <t>Tail Area (in^2)</t>
  </si>
  <si>
    <t>Ttc</t>
  </si>
  <si>
    <t>Tail Tip Chord</t>
  </si>
  <si>
    <t>Trc</t>
  </si>
  <si>
    <t>Tail Root Chord</t>
  </si>
  <si>
    <t>AR</t>
  </si>
  <si>
    <t>Aspect Ratio</t>
  </si>
  <si>
    <t>wing_area</t>
  </si>
  <si>
    <t>Wing Area (in^2)</t>
  </si>
  <si>
    <t>Cchord</t>
  </si>
  <si>
    <t>Center Chord (in)</t>
  </si>
  <si>
    <t>lamda</t>
  </si>
  <si>
    <t>Taper Ratio</t>
  </si>
  <si>
    <t>bspan</t>
  </si>
  <si>
    <t>Wingspan (in)</t>
  </si>
  <si>
    <t>Rc</t>
  </si>
  <si>
    <t>Root Chord (in)</t>
  </si>
  <si>
    <t>Ct</t>
  </si>
  <si>
    <t>Tip Chord (in)</t>
  </si>
  <si>
    <t>Value</t>
  </si>
  <si>
    <t>Name</t>
  </si>
  <si>
    <t>Parameter</t>
  </si>
  <si>
    <t>Tail MAC (in)</t>
  </si>
  <si>
    <t>Wing MAC (in)</t>
  </si>
  <si>
    <t>wmac</t>
  </si>
  <si>
    <t>tmac</t>
  </si>
  <si>
    <t>Tail Taper Ratio</t>
  </si>
  <si>
    <t>lamda_t</t>
  </si>
  <si>
    <t>Wing CG</t>
  </si>
  <si>
    <t>CGw</t>
  </si>
  <si>
    <t>L bar tail</t>
  </si>
  <si>
    <t>lbar</t>
  </si>
  <si>
    <t>Wind Tunnel</t>
  </si>
  <si>
    <t>TunWidth</t>
  </si>
  <si>
    <t>Width (in)</t>
  </si>
  <si>
    <t>Height (in)</t>
  </si>
  <si>
    <t>TunHeight</t>
  </si>
  <si>
    <t>Length (in)</t>
  </si>
  <si>
    <t>TunLen</t>
  </si>
  <si>
    <t xml:space="preserve">B Value </t>
  </si>
  <si>
    <t>Bval</t>
  </si>
  <si>
    <t>tau1</t>
  </si>
  <si>
    <t>Correction Factors</t>
  </si>
  <si>
    <t>Fuselage Characteristics</t>
  </si>
  <si>
    <t>flength</t>
  </si>
  <si>
    <t>Tail Thickness</t>
  </si>
  <si>
    <t>t_tail</t>
  </si>
  <si>
    <t>Tail Volume (in^3)</t>
  </si>
  <si>
    <t>vol_tail</t>
  </si>
  <si>
    <t>Wing Thickness (in)</t>
  </si>
  <si>
    <t>t_wing</t>
  </si>
  <si>
    <t>Wing Volume (in^3)</t>
  </si>
  <si>
    <t>vol_wing</t>
  </si>
  <si>
    <t>Horizontal Tail Characteristics</t>
  </si>
  <si>
    <t>Wing Characteristics</t>
  </si>
  <si>
    <t>Vertical Tail Characteristics</t>
  </si>
  <si>
    <t>vtRc</t>
  </si>
  <si>
    <t>Tip Chord</t>
  </si>
  <si>
    <t>vtTc</t>
  </si>
  <si>
    <t>MAC (in)</t>
  </si>
  <si>
    <t>vtMAC</t>
  </si>
  <si>
    <t>lamda_vt</t>
  </si>
  <si>
    <t>h_vt</t>
  </si>
  <si>
    <t>l_vt</t>
  </si>
  <si>
    <t>Extrapolated Length (in)</t>
  </si>
  <si>
    <t>Diameter (in)</t>
  </si>
  <si>
    <t>fdiam</t>
  </si>
  <si>
    <t>Volume (in^3)</t>
  </si>
  <si>
    <t>fvol</t>
  </si>
  <si>
    <t>K1</t>
  </si>
  <si>
    <t>K3</t>
  </si>
  <si>
    <t>Epsilon Solid Blockage Wing</t>
  </si>
  <si>
    <t>eps_sbW</t>
  </si>
  <si>
    <t>tau_wing</t>
  </si>
  <si>
    <t>Model span/tunnel span</t>
  </si>
  <si>
    <t>width_ratio</t>
  </si>
  <si>
    <t>Epsilon Solid Blockage Fuse</t>
  </si>
  <si>
    <t>eps_sbF</t>
  </si>
  <si>
    <t>eps_tot</t>
  </si>
  <si>
    <t>Epsilon Total Plane</t>
  </si>
  <si>
    <t>Strut Characteristics</t>
  </si>
  <si>
    <t>wstrut_t</t>
  </si>
  <si>
    <t>wstrut_h</t>
  </si>
  <si>
    <t>tstrut_t</t>
  </si>
  <si>
    <t>tstrut_h</t>
  </si>
  <si>
    <t>Wing Strut Thickness (in)</t>
  </si>
  <si>
    <t>Wing Strut Height (in)</t>
  </si>
  <si>
    <t>Tail Strut Thickness (in)</t>
  </si>
  <si>
    <t>Tail Strut Height (in)</t>
  </si>
  <si>
    <t>Frontal Area (in^2)</t>
  </si>
  <si>
    <t>strut_area</t>
  </si>
  <si>
    <t>Epsilon Struts</t>
  </si>
  <si>
    <t>eps_strut</t>
  </si>
  <si>
    <t>CL</t>
  </si>
  <si>
    <t>CD</t>
  </si>
  <si>
    <t>CL^2</t>
  </si>
  <si>
    <t>CD0 with Tail</t>
  </si>
  <si>
    <t>CDO_t</t>
  </si>
  <si>
    <t>CD0 w/o Tail</t>
  </si>
  <si>
    <t>CDO_wot</t>
  </si>
  <si>
    <t>eps_wb_t</t>
  </si>
  <si>
    <t>Epsilon Wake Blockage Tail</t>
  </si>
  <si>
    <t>Epsilon Wake Blockage no Tail</t>
  </si>
  <si>
    <t>eps_wb_nt</t>
  </si>
  <si>
    <t>Epsilon Total with Tail</t>
  </si>
  <si>
    <t>eps_tot_t</t>
  </si>
  <si>
    <t>Epsilon Total without Tail</t>
  </si>
  <si>
    <t>eps_tot_nt</t>
  </si>
  <si>
    <t>Dynamic Pressure (Corrected)</t>
  </si>
  <si>
    <t>CL (corrected)</t>
  </si>
  <si>
    <t>CD (corrected)</t>
  </si>
  <si>
    <t>waircraft</t>
  </si>
  <si>
    <t xml:space="preserve">Aircraft Weight </t>
  </si>
  <si>
    <t>Aircraft Weight (slug)</t>
  </si>
  <si>
    <t>Angle of Attack Corrections</t>
  </si>
  <si>
    <t>Clw</t>
  </si>
  <si>
    <t>Clw (/rad)</t>
  </si>
  <si>
    <t>bv/b</t>
  </si>
  <si>
    <t>bvratio</t>
  </si>
  <si>
    <t>be</t>
  </si>
  <si>
    <t>k</t>
  </si>
  <si>
    <t>delta</t>
  </si>
  <si>
    <t>deltalph</t>
  </si>
  <si>
    <t>tau2</t>
  </si>
  <si>
    <t>Alpha Corrected (deg)</t>
  </si>
  <si>
    <t>CDU</t>
  </si>
  <si>
    <t>CL (Corrected)</t>
  </si>
  <si>
    <t>q (Corrected)</t>
  </si>
  <si>
    <t>CD (Corrected)</t>
  </si>
  <si>
    <t>Pitching Moment Corrections</t>
  </si>
  <si>
    <t>Tail Lift Curve and Efficiencey Product</t>
  </si>
  <si>
    <t>atnt</t>
  </si>
  <si>
    <t>Vbar</t>
  </si>
  <si>
    <t>x</t>
  </si>
  <si>
    <t>dCMcg/ddeltas</t>
  </si>
  <si>
    <t>CMdeltas</t>
  </si>
  <si>
    <t>Tail Width/Tunnel Width</t>
  </si>
  <si>
    <t>btail</t>
  </si>
  <si>
    <t>tau2tail</t>
  </si>
  <si>
    <t>deltaCmcgt</t>
  </si>
  <si>
    <t>cm</t>
  </si>
  <si>
    <t>cm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</si>
</sst>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2" xfId="0" applyFill="1" applyBorder="1"/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2" borderId="1" xfId="0" applyFont="1" applyFill="1" applyBorder="1"/>
    <xf numFmtId="164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7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6753465627876489E-2"/>
                  <c:y val="3.2457533686668136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243006927509285"/>
                  <c:y val="1.8108077765838334E-2"/>
                </c:manualLayout>
              </c:layout>
              <c:numFmt formatCode="#,##0.00000000" sourceLinked="0"/>
            </c:trendlineLbl>
          </c:trendline>
          <c:xVal>
            <c:numRef>
              <c:f>'Tail On 65 MPH'!$L$2:$L$85</c:f>
              <c:numCache>
                <c:formatCode>General</c:formatCode>
                <c:ptCount val="84"/>
                <c:pt idx="0">
                  <c:v>1.2584357375224169E-8</c:v>
                </c:pt>
                <c:pt idx="1">
                  <c:v>1.2584357375224169E-8</c:v>
                </c:pt>
                <c:pt idx="2">
                  <c:v>1.2584357375224169E-8</c:v>
                </c:pt>
                <c:pt idx="3">
                  <c:v>1.2584357375224169E-8</c:v>
                </c:pt>
                <c:pt idx="4">
                  <c:v>1.2527876101835618E-8</c:v>
                </c:pt>
                <c:pt idx="5">
                  <c:v>1.3002435012007012E-8</c:v>
                </c:pt>
                <c:pt idx="6">
                  <c:v>1.3002435012007012E-8</c:v>
                </c:pt>
                <c:pt idx="7">
                  <c:v>1.3002435012007012E-8</c:v>
                </c:pt>
                <c:pt idx="8">
                  <c:v>1.3002435012007012E-8</c:v>
                </c:pt>
                <c:pt idx="9">
                  <c:v>1.4170701929633841E-8</c:v>
                </c:pt>
                <c:pt idx="10">
                  <c:v>9.0543213097676161E-9</c:v>
                </c:pt>
                <c:pt idx="11">
                  <c:v>1.1263868536527303E-8</c:v>
                </c:pt>
                <c:pt idx="12">
                  <c:v>1.1263868536527303E-8</c:v>
                </c:pt>
                <c:pt idx="13">
                  <c:v>1.1263868536527303E-8</c:v>
                </c:pt>
                <c:pt idx="14">
                  <c:v>1.1263868536527303E-8</c:v>
                </c:pt>
                <c:pt idx="15">
                  <c:v>5.8402406736801484E-10</c:v>
                </c:pt>
                <c:pt idx="16">
                  <c:v>5.8402406736801484E-10</c:v>
                </c:pt>
                <c:pt idx="17">
                  <c:v>5.8402406736801484E-10</c:v>
                </c:pt>
                <c:pt idx="18">
                  <c:v>5.8402406736801484E-10</c:v>
                </c:pt>
                <c:pt idx="19">
                  <c:v>5.8402406736801484E-10</c:v>
                </c:pt>
                <c:pt idx="20">
                  <c:v>2.8159671341318259E-9</c:v>
                </c:pt>
                <c:pt idx="21">
                  <c:v>2.8159671341318259E-9</c:v>
                </c:pt>
                <c:pt idx="22">
                  <c:v>2.8159671341318259E-9</c:v>
                </c:pt>
                <c:pt idx="23">
                  <c:v>2.8159671341318259E-9</c:v>
                </c:pt>
                <c:pt idx="24">
                  <c:v>2.8159671341318259E-9</c:v>
                </c:pt>
                <c:pt idx="25">
                  <c:v>3.9241095335290972E-9</c:v>
                </c:pt>
                <c:pt idx="26">
                  <c:v>4.8151714710040527E-9</c:v>
                </c:pt>
                <c:pt idx="27">
                  <c:v>4.8151714710040527E-9</c:v>
                </c:pt>
                <c:pt idx="28">
                  <c:v>4.8151714710040527E-9</c:v>
                </c:pt>
                <c:pt idx="29">
                  <c:v>4.8151714710040527E-9</c:v>
                </c:pt>
                <c:pt idx="30">
                  <c:v>7.7069802039397532E-9</c:v>
                </c:pt>
                <c:pt idx="31">
                  <c:v>7.7069802039397532E-9</c:v>
                </c:pt>
                <c:pt idx="32">
                  <c:v>8.7950729941904794E-9</c:v>
                </c:pt>
                <c:pt idx="33">
                  <c:v>8.7950729941904794E-9</c:v>
                </c:pt>
                <c:pt idx="34">
                  <c:v>8.7950729941904794E-9</c:v>
                </c:pt>
                <c:pt idx="35">
                  <c:v>9.865782346723716E-9</c:v>
                </c:pt>
                <c:pt idx="36">
                  <c:v>9.865782346723716E-9</c:v>
                </c:pt>
                <c:pt idx="37">
                  <c:v>9.865782346723716E-9</c:v>
                </c:pt>
                <c:pt idx="38">
                  <c:v>9.865782346723716E-9</c:v>
                </c:pt>
                <c:pt idx="39">
                  <c:v>9.865782346723716E-9</c:v>
                </c:pt>
                <c:pt idx="40">
                  <c:v>1.6070527863160038E-8</c:v>
                </c:pt>
                <c:pt idx="41">
                  <c:v>1.6070527863160038E-8</c:v>
                </c:pt>
                <c:pt idx="42">
                  <c:v>1.5181493784307306E-8</c:v>
                </c:pt>
                <c:pt idx="43">
                  <c:v>1.5181493784307306E-8</c:v>
                </c:pt>
                <c:pt idx="44">
                  <c:v>1.5181493784307306E-8</c:v>
                </c:pt>
                <c:pt idx="45">
                  <c:v>2.2018969615112213E-8</c:v>
                </c:pt>
                <c:pt idx="46">
                  <c:v>2.2018969615112213E-8</c:v>
                </c:pt>
                <c:pt idx="47">
                  <c:v>2.3755599979633578E-8</c:v>
                </c:pt>
                <c:pt idx="48">
                  <c:v>2.3755599979633578E-8</c:v>
                </c:pt>
                <c:pt idx="49">
                  <c:v>2.3755599979633578E-8</c:v>
                </c:pt>
                <c:pt idx="50">
                  <c:v>2.9006944549743138E-8</c:v>
                </c:pt>
                <c:pt idx="51">
                  <c:v>2.5899509986650089E-8</c:v>
                </c:pt>
                <c:pt idx="52">
                  <c:v>2.5899509986650089E-8</c:v>
                </c:pt>
                <c:pt idx="53">
                  <c:v>2.5899509986650089E-8</c:v>
                </c:pt>
                <c:pt idx="54">
                  <c:v>2.5899509986650089E-8</c:v>
                </c:pt>
                <c:pt idx="55">
                  <c:v>3.2451610590209183E-8</c:v>
                </c:pt>
                <c:pt idx="56">
                  <c:v>3.2451610590209183E-8</c:v>
                </c:pt>
                <c:pt idx="57">
                  <c:v>3.2572792786668466E-8</c:v>
                </c:pt>
                <c:pt idx="58">
                  <c:v>3.2572792786668466E-8</c:v>
                </c:pt>
                <c:pt idx="59">
                  <c:v>3.2572792786668466E-8</c:v>
                </c:pt>
                <c:pt idx="60">
                  <c:v>4.0122279891789308E-8</c:v>
                </c:pt>
                <c:pt idx="61">
                  <c:v>4.0122279891789308E-8</c:v>
                </c:pt>
                <c:pt idx="62">
                  <c:v>4.0122279891789308E-8</c:v>
                </c:pt>
                <c:pt idx="63">
                  <c:v>3.8150266582653179E-8</c:v>
                </c:pt>
                <c:pt idx="64">
                  <c:v>3.8150266582653179E-8</c:v>
                </c:pt>
                <c:pt idx="65">
                  <c:v>4.6420895815066445E-8</c:v>
                </c:pt>
                <c:pt idx="66">
                  <c:v>4.6420895815066445E-8</c:v>
                </c:pt>
                <c:pt idx="67">
                  <c:v>4.2987478665526836E-8</c:v>
                </c:pt>
                <c:pt idx="68">
                  <c:v>4.2987478665526836E-8</c:v>
                </c:pt>
                <c:pt idx="69">
                  <c:v>4.2987478665526836E-8</c:v>
                </c:pt>
                <c:pt idx="70">
                  <c:v>4.304555807343669E-8</c:v>
                </c:pt>
                <c:pt idx="71">
                  <c:v>4.304555807343669E-8</c:v>
                </c:pt>
                <c:pt idx="72">
                  <c:v>4.304555807343669E-8</c:v>
                </c:pt>
                <c:pt idx="73">
                  <c:v>4.304555807343669E-8</c:v>
                </c:pt>
                <c:pt idx="74">
                  <c:v>4.5019817239917768E-8</c:v>
                </c:pt>
                <c:pt idx="75">
                  <c:v>4.5019817239917768E-8</c:v>
                </c:pt>
                <c:pt idx="76">
                  <c:v>4.7916973214904878E-8</c:v>
                </c:pt>
                <c:pt idx="77">
                  <c:v>4.7916973214904878E-8</c:v>
                </c:pt>
                <c:pt idx="78">
                  <c:v>4.7916973214904878E-8</c:v>
                </c:pt>
                <c:pt idx="79">
                  <c:v>1.1228232802873681E-8</c:v>
                </c:pt>
                <c:pt idx="80">
                  <c:v>1.1228232802873681E-8</c:v>
                </c:pt>
                <c:pt idx="81">
                  <c:v>1.2440268845348902E-8</c:v>
                </c:pt>
                <c:pt idx="82">
                  <c:v>1.2440268845348902E-8</c:v>
                </c:pt>
                <c:pt idx="83">
                  <c:v>1.2440268845348902E-8</c:v>
                </c:pt>
              </c:numCache>
            </c:numRef>
          </c:xVal>
          <c:yVal>
            <c:numRef>
              <c:f>'Tail On 65 MPH'!$K$2:$K$85</c:f>
              <c:numCache>
                <c:formatCode>General</c:formatCode>
                <c:ptCount val="84"/>
                <c:pt idx="0">
                  <c:v>2.5958781966149043E-5</c:v>
                </c:pt>
                <c:pt idx="1">
                  <c:v>2.5958781966149043E-5</c:v>
                </c:pt>
                <c:pt idx="2">
                  <c:v>2.5958781966149043E-5</c:v>
                </c:pt>
                <c:pt idx="3">
                  <c:v>2.5958781966149043E-5</c:v>
                </c:pt>
                <c:pt idx="4">
                  <c:v>2.4278601903615122E-5</c:v>
                </c:pt>
                <c:pt idx="5">
                  <c:v>2.4978676929670925E-5</c:v>
                </c:pt>
                <c:pt idx="6">
                  <c:v>2.4978676929670925E-5</c:v>
                </c:pt>
                <c:pt idx="7">
                  <c:v>2.4978676929670925E-5</c:v>
                </c:pt>
                <c:pt idx="8">
                  <c:v>2.4978676929670925E-5</c:v>
                </c:pt>
                <c:pt idx="9">
                  <c:v>2.4950673928628693E-5</c:v>
                </c:pt>
                <c:pt idx="10">
                  <c:v>2.2766439847334595E-5</c:v>
                </c:pt>
                <c:pt idx="11">
                  <c:v>2.6462835984909216E-5</c:v>
                </c:pt>
                <c:pt idx="12">
                  <c:v>2.6462835984909216E-5</c:v>
                </c:pt>
                <c:pt idx="13">
                  <c:v>2.6462835984909216E-5</c:v>
                </c:pt>
                <c:pt idx="14">
                  <c:v>2.6462835984909216E-5</c:v>
                </c:pt>
                <c:pt idx="15">
                  <c:v>1.9854127738942471E-5</c:v>
                </c:pt>
                <c:pt idx="16">
                  <c:v>1.9854127738942471E-5</c:v>
                </c:pt>
                <c:pt idx="17">
                  <c:v>1.9854127738942471E-5</c:v>
                </c:pt>
                <c:pt idx="18">
                  <c:v>1.9854127738942471E-5</c:v>
                </c:pt>
                <c:pt idx="19">
                  <c:v>1.9854127738942471E-5</c:v>
                </c:pt>
                <c:pt idx="20">
                  <c:v>2.3410508871305931E-5</c:v>
                </c:pt>
                <c:pt idx="21">
                  <c:v>2.3410508871305931E-5</c:v>
                </c:pt>
                <c:pt idx="22">
                  <c:v>2.3410508871305931E-5</c:v>
                </c:pt>
                <c:pt idx="23">
                  <c:v>2.3410508871305931E-5</c:v>
                </c:pt>
                <c:pt idx="24">
                  <c:v>2.3410508871305931E-5</c:v>
                </c:pt>
                <c:pt idx="25">
                  <c:v>2.2346394831701119E-5</c:v>
                </c:pt>
                <c:pt idx="26">
                  <c:v>2.1198271788969605E-5</c:v>
                </c:pt>
                <c:pt idx="27">
                  <c:v>2.1198271788969605E-5</c:v>
                </c:pt>
                <c:pt idx="28">
                  <c:v>2.1198271788969605E-5</c:v>
                </c:pt>
                <c:pt idx="29">
                  <c:v>2.1198271788969605E-5</c:v>
                </c:pt>
                <c:pt idx="30">
                  <c:v>1.9238061716013371E-5</c:v>
                </c:pt>
                <c:pt idx="31">
                  <c:v>1.9238061716013371E-5</c:v>
                </c:pt>
                <c:pt idx="32">
                  <c:v>2.3270493866094771E-5</c:v>
                </c:pt>
                <c:pt idx="33">
                  <c:v>2.3270493866094771E-5</c:v>
                </c:pt>
                <c:pt idx="34">
                  <c:v>2.3270493866094771E-5</c:v>
                </c:pt>
                <c:pt idx="35">
                  <c:v>2.6462835984909216E-5</c:v>
                </c:pt>
                <c:pt idx="36">
                  <c:v>2.6462835984909216E-5</c:v>
                </c:pt>
                <c:pt idx="37">
                  <c:v>2.6462835984909216E-5</c:v>
                </c:pt>
                <c:pt idx="38">
                  <c:v>2.6462835984909216E-5</c:v>
                </c:pt>
                <c:pt idx="39">
                  <c:v>2.6462835984909216E-5</c:v>
                </c:pt>
                <c:pt idx="40">
                  <c:v>2.7890989038063049E-5</c:v>
                </c:pt>
                <c:pt idx="41">
                  <c:v>2.7890989038063049E-5</c:v>
                </c:pt>
                <c:pt idx="42">
                  <c:v>3.0411259131863927E-5</c:v>
                </c:pt>
                <c:pt idx="43">
                  <c:v>3.0411259131863927E-5</c:v>
                </c:pt>
                <c:pt idx="44">
                  <c:v>3.0411259131863927E-5</c:v>
                </c:pt>
                <c:pt idx="45">
                  <c:v>3.2623496214200252E-5</c:v>
                </c:pt>
                <c:pt idx="46">
                  <c:v>3.2623496214200252E-5</c:v>
                </c:pt>
                <c:pt idx="47">
                  <c:v>3.5619817325719073E-5</c:v>
                </c:pt>
                <c:pt idx="48">
                  <c:v>3.5619817325719073E-5</c:v>
                </c:pt>
                <c:pt idx="49">
                  <c:v>3.5619817325719073E-5</c:v>
                </c:pt>
                <c:pt idx="50">
                  <c:v>4.3516663619628489E-5</c:v>
                </c:pt>
                <c:pt idx="51">
                  <c:v>4.186448655813681E-5</c:v>
                </c:pt>
                <c:pt idx="52">
                  <c:v>4.186448655813681E-5</c:v>
                </c:pt>
                <c:pt idx="53">
                  <c:v>4.186448655813681E-5</c:v>
                </c:pt>
                <c:pt idx="54">
                  <c:v>4.186448655813681E-5</c:v>
                </c:pt>
                <c:pt idx="55">
                  <c:v>4.7801122779089987E-5</c:v>
                </c:pt>
                <c:pt idx="56">
                  <c:v>4.7801122779089987E-5</c:v>
                </c:pt>
                <c:pt idx="57">
                  <c:v>4.5308855686331342E-5</c:v>
                </c:pt>
                <c:pt idx="58">
                  <c:v>4.5308855686331342E-5</c:v>
                </c:pt>
                <c:pt idx="59">
                  <c:v>4.5308855686331342E-5</c:v>
                </c:pt>
                <c:pt idx="60">
                  <c:v>5.2113584939593704E-5</c:v>
                </c:pt>
                <c:pt idx="61">
                  <c:v>5.2113584939593704E-5</c:v>
                </c:pt>
                <c:pt idx="62">
                  <c:v>5.2113584939593704E-5</c:v>
                </c:pt>
                <c:pt idx="63">
                  <c:v>5.1021467898946664E-5</c:v>
                </c:pt>
                <c:pt idx="64">
                  <c:v>5.1021467898946664E-5</c:v>
                </c:pt>
                <c:pt idx="65">
                  <c:v>5.56139600698727E-5</c:v>
                </c:pt>
                <c:pt idx="66">
                  <c:v>5.56139600698727E-5</c:v>
                </c:pt>
                <c:pt idx="67">
                  <c:v>5.7854200153251258E-5</c:v>
                </c:pt>
                <c:pt idx="68">
                  <c:v>5.7854200153251258E-5</c:v>
                </c:pt>
                <c:pt idx="69">
                  <c:v>5.7854200153251258E-5</c:v>
                </c:pt>
                <c:pt idx="70">
                  <c:v>6.8243313539919319E-5</c:v>
                </c:pt>
                <c:pt idx="71">
                  <c:v>6.8243313539919319E-5</c:v>
                </c:pt>
                <c:pt idx="72">
                  <c:v>6.972747259515762E-5</c:v>
                </c:pt>
                <c:pt idx="73">
                  <c:v>6.972747259515762E-5</c:v>
                </c:pt>
                <c:pt idx="74">
                  <c:v>6.8719364557637269E-5</c:v>
                </c:pt>
                <c:pt idx="75">
                  <c:v>6.8719364557637269E-5</c:v>
                </c:pt>
                <c:pt idx="76">
                  <c:v>7.2079724682705106E-5</c:v>
                </c:pt>
                <c:pt idx="77">
                  <c:v>7.2079724682705106E-5</c:v>
                </c:pt>
                <c:pt idx="78">
                  <c:v>7.2079724682705106E-5</c:v>
                </c:pt>
                <c:pt idx="79">
                  <c:v>3.1111334157919726E-5</c:v>
                </c:pt>
                <c:pt idx="80">
                  <c:v>3.1111334157919726E-5</c:v>
                </c:pt>
                <c:pt idx="81">
                  <c:v>3.144737017042651E-5</c:v>
                </c:pt>
                <c:pt idx="82">
                  <c:v>3.144737017042651E-5</c:v>
                </c:pt>
                <c:pt idx="83">
                  <c:v>3.144737017042651E-5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008"/>
        <c:axId val="36086528"/>
      </c:scatterChart>
      <c:valAx>
        <c:axId val="3605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86528"/>
        <c:crosses val="autoZero"/>
        <c:crossBetween val="midCat"/>
      </c:valAx>
      <c:valAx>
        <c:axId val="3608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5900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9013456740099376E-2"/>
                  <c:y val="-6.3752070060584158E-3"/>
                </c:manualLayout>
              </c:layout>
              <c:numFmt formatCode="#,##0.00000000" sourceLinked="0"/>
            </c:trendlineLbl>
          </c:trendline>
          <c:xVal>
            <c:numRef>
              <c:f>'Tail OFf 65 MPH'!$L$2:$L$76</c:f>
              <c:numCache>
                <c:formatCode>General</c:formatCode>
                <c:ptCount val="75"/>
                <c:pt idx="0">
                  <c:v>1.1275759661100918E-8</c:v>
                </c:pt>
                <c:pt idx="1">
                  <c:v>1.1275759661100918E-8</c:v>
                </c:pt>
                <c:pt idx="2">
                  <c:v>1.03215212232782E-8</c:v>
                </c:pt>
                <c:pt idx="3">
                  <c:v>1.03215212232782E-8</c:v>
                </c:pt>
                <c:pt idx="4">
                  <c:v>1.03215212232782E-8</c:v>
                </c:pt>
                <c:pt idx="5">
                  <c:v>3.9864673624145251E-10</c:v>
                </c:pt>
                <c:pt idx="6">
                  <c:v>3.9864673624145251E-10</c:v>
                </c:pt>
                <c:pt idx="7">
                  <c:v>2.6470455698990487E-10</c:v>
                </c:pt>
                <c:pt idx="8">
                  <c:v>2.6470455698990487E-10</c:v>
                </c:pt>
                <c:pt idx="9">
                  <c:v>2.6470455698990487E-10</c:v>
                </c:pt>
                <c:pt idx="10">
                  <c:v>1.5457646410912763E-9</c:v>
                </c:pt>
                <c:pt idx="11">
                  <c:v>1.5457646410912763E-9</c:v>
                </c:pt>
                <c:pt idx="12">
                  <c:v>1.5457646410912763E-9</c:v>
                </c:pt>
                <c:pt idx="13">
                  <c:v>1.1141961768773769E-9</c:v>
                </c:pt>
                <c:pt idx="14">
                  <c:v>1.1141961768773769E-9</c:v>
                </c:pt>
                <c:pt idx="15">
                  <c:v>2.9482531504250854E-9</c:v>
                </c:pt>
                <c:pt idx="16">
                  <c:v>2.9482531504250854E-9</c:v>
                </c:pt>
                <c:pt idx="17">
                  <c:v>2.9482531504250854E-9</c:v>
                </c:pt>
                <c:pt idx="18">
                  <c:v>3.5110780182597858E-9</c:v>
                </c:pt>
                <c:pt idx="19">
                  <c:v>3.5110780182597858E-9</c:v>
                </c:pt>
                <c:pt idx="20">
                  <c:v>6.6085050284770384E-9</c:v>
                </c:pt>
                <c:pt idx="21">
                  <c:v>6.6085050284770384E-9</c:v>
                </c:pt>
                <c:pt idx="22">
                  <c:v>6.6085050284770384E-9</c:v>
                </c:pt>
                <c:pt idx="23">
                  <c:v>6.9730765255189415E-9</c:v>
                </c:pt>
                <c:pt idx="24">
                  <c:v>6.9730765255189415E-9</c:v>
                </c:pt>
                <c:pt idx="25">
                  <c:v>9.7548382485520328E-9</c:v>
                </c:pt>
                <c:pt idx="26">
                  <c:v>9.7548382485520328E-9</c:v>
                </c:pt>
                <c:pt idx="27">
                  <c:v>9.7548382485520328E-9</c:v>
                </c:pt>
                <c:pt idx="28">
                  <c:v>9.7548382485520328E-9</c:v>
                </c:pt>
                <c:pt idx="29">
                  <c:v>9.0916641773038979E-9</c:v>
                </c:pt>
                <c:pt idx="30">
                  <c:v>1.3066376076220462E-8</c:v>
                </c:pt>
                <c:pt idx="31">
                  <c:v>1.1617293868659589E-8</c:v>
                </c:pt>
                <c:pt idx="32">
                  <c:v>1.1617293868659589E-8</c:v>
                </c:pt>
                <c:pt idx="33">
                  <c:v>1.1617293868659589E-8</c:v>
                </c:pt>
                <c:pt idx="34">
                  <c:v>1.1617293868659589E-8</c:v>
                </c:pt>
                <c:pt idx="35">
                  <c:v>1.8369607479011841E-8</c:v>
                </c:pt>
                <c:pt idx="36">
                  <c:v>1.8369607479011841E-8</c:v>
                </c:pt>
                <c:pt idx="37">
                  <c:v>1.8369607479011841E-8</c:v>
                </c:pt>
                <c:pt idx="38">
                  <c:v>1.9998246138135176E-8</c:v>
                </c:pt>
                <c:pt idx="39">
                  <c:v>1.9998246138135176E-8</c:v>
                </c:pt>
                <c:pt idx="40">
                  <c:v>2.6434020113908154E-8</c:v>
                </c:pt>
                <c:pt idx="41">
                  <c:v>2.6434020113908154E-8</c:v>
                </c:pt>
                <c:pt idx="42">
                  <c:v>2.6434020113908154E-8</c:v>
                </c:pt>
                <c:pt idx="43">
                  <c:v>2.409344546060333E-8</c:v>
                </c:pt>
                <c:pt idx="44">
                  <c:v>2.409344546060333E-8</c:v>
                </c:pt>
                <c:pt idx="45">
                  <c:v>2.9697790343752666E-8</c:v>
                </c:pt>
                <c:pt idx="46">
                  <c:v>2.9697790343752666E-8</c:v>
                </c:pt>
                <c:pt idx="47">
                  <c:v>2.9697790343752666E-8</c:v>
                </c:pt>
                <c:pt idx="48">
                  <c:v>3.1440610146829791E-8</c:v>
                </c:pt>
                <c:pt idx="49">
                  <c:v>3.1440610146829791E-8</c:v>
                </c:pt>
                <c:pt idx="50">
                  <c:v>3.6142714776703785E-8</c:v>
                </c:pt>
                <c:pt idx="51">
                  <c:v>3.6142714776703785E-8</c:v>
                </c:pt>
                <c:pt idx="52">
                  <c:v>3.6142714776703785E-8</c:v>
                </c:pt>
                <c:pt idx="53">
                  <c:v>3.6142714776703785E-8</c:v>
                </c:pt>
                <c:pt idx="54">
                  <c:v>3.7475053963234767E-8</c:v>
                </c:pt>
                <c:pt idx="55">
                  <c:v>3.6988756057094834E-8</c:v>
                </c:pt>
                <c:pt idx="56">
                  <c:v>3.6988756057094834E-8</c:v>
                </c:pt>
                <c:pt idx="57">
                  <c:v>3.6988756057094834E-8</c:v>
                </c:pt>
                <c:pt idx="58">
                  <c:v>3.7757473661034664E-8</c:v>
                </c:pt>
                <c:pt idx="59">
                  <c:v>3.7757473661034664E-8</c:v>
                </c:pt>
                <c:pt idx="60">
                  <c:v>3.9518777873795869E-8</c:v>
                </c:pt>
                <c:pt idx="61">
                  <c:v>3.9518777873795869E-8</c:v>
                </c:pt>
                <c:pt idx="62">
                  <c:v>3.9518777873795869E-8</c:v>
                </c:pt>
                <c:pt idx="63">
                  <c:v>3.919656243074495E-8</c:v>
                </c:pt>
                <c:pt idx="64">
                  <c:v>3.919656243074495E-8</c:v>
                </c:pt>
                <c:pt idx="65">
                  <c:v>3.9452004394523068E-8</c:v>
                </c:pt>
                <c:pt idx="66">
                  <c:v>3.9452004394523068E-8</c:v>
                </c:pt>
                <c:pt idx="67">
                  <c:v>3.9452004394523068E-8</c:v>
                </c:pt>
                <c:pt idx="68">
                  <c:v>3.9452004394523068E-8</c:v>
                </c:pt>
                <c:pt idx="69">
                  <c:v>4.005499827160886E-8</c:v>
                </c:pt>
                <c:pt idx="70">
                  <c:v>1.1896633354290844E-8</c:v>
                </c:pt>
                <c:pt idx="71">
                  <c:v>1.1896633354290844E-8</c:v>
                </c:pt>
                <c:pt idx="72">
                  <c:v>1.1896633354290844E-8</c:v>
                </c:pt>
                <c:pt idx="73">
                  <c:v>1.1557007027640089E-8</c:v>
                </c:pt>
                <c:pt idx="74">
                  <c:v>1.1557007027640089E-8</c:v>
                </c:pt>
              </c:numCache>
            </c:numRef>
          </c:xVal>
          <c:yVal>
            <c:numRef>
              <c:f>'Tail OFf 65 MPH'!$K$2:$K$76</c:f>
              <c:numCache>
                <c:formatCode>General</c:formatCode>
                <c:ptCount val="75"/>
                <c:pt idx="0">
                  <c:v>2.3634532879643787E-5</c:v>
                </c:pt>
                <c:pt idx="1">
                  <c:v>2.3634532879643787E-5</c:v>
                </c:pt>
                <c:pt idx="2">
                  <c:v>2.3998571893192802E-5</c:v>
                </c:pt>
                <c:pt idx="3">
                  <c:v>2.3998571893192802E-5</c:v>
                </c:pt>
                <c:pt idx="4">
                  <c:v>2.3998571893192802E-5</c:v>
                </c:pt>
                <c:pt idx="5">
                  <c:v>2.5370718944262172E-5</c:v>
                </c:pt>
                <c:pt idx="6">
                  <c:v>2.5370718944262172E-5</c:v>
                </c:pt>
                <c:pt idx="7">
                  <c:v>2.5370718944262172E-5</c:v>
                </c:pt>
                <c:pt idx="8">
                  <c:v>2.5370718944262172E-5</c:v>
                </c:pt>
                <c:pt idx="9">
                  <c:v>2.5370718944262172E-5</c:v>
                </c:pt>
                <c:pt idx="10">
                  <c:v>1.6773797624296954E-5</c:v>
                </c:pt>
                <c:pt idx="11">
                  <c:v>1.6773797624296954E-5</c:v>
                </c:pt>
                <c:pt idx="12">
                  <c:v>1.6773797624296954E-5</c:v>
                </c:pt>
                <c:pt idx="13">
                  <c:v>1.8257956679535248E-5</c:v>
                </c:pt>
                <c:pt idx="14">
                  <c:v>1.8257956679535248E-5</c:v>
                </c:pt>
                <c:pt idx="15">
                  <c:v>1.8734007697253192E-5</c:v>
                </c:pt>
                <c:pt idx="16">
                  <c:v>1.8734007697253192E-5</c:v>
                </c:pt>
                <c:pt idx="17">
                  <c:v>1.8734007697253192E-5</c:v>
                </c:pt>
                <c:pt idx="18">
                  <c:v>1.8481980687873104E-5</c:v>
                </c:pt>
                <c:pt idx="19">
                  <c:v>1.8481980687873104E-5</c:v>
                </c:pt>
                <c:pt idx="20">
                  <c:v>1.9406079722266759E-5</c:v>
                </c:pt>
                <c:pt idx="21">
                  <c:v>1.9406079722266759E-5</c:v>
                </c:pt>
                <c:pt idx="22">
                  <c:v>1.9406079722266759E-5</c:v>
                </c:pt>
                <c:pt idx="23">
                  <c:v>1.9574097728520151E-5</c:v>
                </c:pt>
                <c:pt idx="24">
                  <c:v>1.9574097728520151E-5</c:v>
                </c:pt>
                <c:pt idx="25">
                  <c:v>2.0106154748322558E-5</c:v>
                </c:pt>
                <c:pt idx="26">
                  <c:v>2.0106154748322558E-5</c:v>
                </c:pt>
                <c:pt idx="27">
                  <c:v>2.0106154748322558E-5</c:v>
                </c:pt>
                <c:pt idx="28">
                  <c:v>2.0106154748322558E-5</c:v>
                </c:pt>
                <c:pt idx="29">
                  <c:v>1.9462085724351223E-5</c:v>
                </c:pt>
                <c:pt idx="30">
                  <c:v>2.2878451851503523E-5</c:v>
                </c:pt>
                <c:pt idx="31">
                  <c:v>2.1870343813983172E-5</c:v>
                </c:pt>
                <c:pt idx="32">
                  <c:v>2.1870343813983172E-5</c:v>
                </c:pt>
                <c:pt idx="33">
                  <c:v>2.1870343813983172E-5</c:v>
                </c:pt>
                <c:pt idx="34">
                  <c:v>2.1870343813983172E-5</c:v>
                </c:pt>
                <c:pt idx="35">
                  <c:v>2.7218917013049479E-5</c:v>
                </c:pt>
                <c:pt idx="36">
                  <c:v>2.7218917013049479E-5</c:v>
                </c:pt>
                <c:pt idx="37">
                  <c:v>2.7218917013049479E-5</c:v>
                </c:pt>
                <c:pt idx="38">
                  <c:v>2.7022896005753855E-5</c:v>
                </c:pt>
                <c:pt idx="39">
                  <c:v>2.7022896005753855E-5</c:v>
                </c:pt>
                <c:pt idx="40">
                  <c:v>2.9543166099554732E-5</c:v>
                </c:pt>
                <c:pt idx="41">
                  <c:v>2.9543166099554732E-5</c:v>
                </c:pt>
                <c:pt idx="42">
                  <c:v>2.9543166099554732E-5</c:v>
                </c:pt>
                <c:pt idx="43">
                  <c:v>2.7582956026598494E-5</c:v>
                </c:pt>
                <c:pt idx="44">
                  <c:v>2.7582956026598494E-5</c:v>
                </c:pt>
                <c:pt idx="45">
                  <c:v>3.4163661271523011E-5</c:v>
                </c:pt>
                <c:pt idx="46">
                  <c:v>3.4163661271523011E-5</c:v>
                </c:pt>
                <c:pt idx="47">
                  <c:v>3.4163661271523011E-5</c:v>
                </c:pt>
                <c:pt idx="48">
                  <c:v>3.6067865342394785E-5</c:v>
                </c:pt>
                <c:pt idx="49">
                  <c:v>3.6067865342394785E-5</c:v>
                </c:pt>
                <c:pt idx="50">
                  <c:v>3.8280102424731111E-5</c:v>
                </c:pt>
                <c:pt idx="51">
                  <c:v>3.8280102424731111E-5</c:v>
                </c:pt>
                <c:pt idx="52">
                  <c:v>3.8280102424731111E-5</c:v>
                </c:pt>
                <c:pt idx="53">
                  <c:v>3.8280102424731111E-5</c:v>
                </c:pt>
                <c:pt idx="54">
                  <c:v>3.727199438721076E-5</c:v>
                </c:pt>
                <c:pt idx="55">
                  <c:v>4.3236633609206169E-5</c:v>
                </c:pt>
                <c:pt idx="56">
                  <c:v>4.3236633609206169E-5</c:v>
                </c:pt>
                <c:pt idx="57">
                  <c:v>4.3236633609206169E-5</c:v>
                </c:pt>
                <c:pt idx="58">
                  <c:v>4.3208630608163937E-5</c:v>
                </c:pt>
                <c:pt idx="59">
                  <c:v>4.3208630608163937E-5</c:v>
                </c:pt>
                <c:pt idx="60">
                  <c:v>4.8165161792638996E-5</c:v>
                </c:pt>
                <c:pt idx="61">
                  <c:v>4.8165161792638996E-5</c:v>
                </c:pt>
                <c:pt idx="62">
                  <c:v>4.8165161792638996E-5</c:v>
                </c:pt>
                <c:pt idx="63">
                  <c:v>4.7969140785343379E-5</c:v>
                </c:pt>
                <c:pt idx="64">
                  <c:v>4.7969140785343379E-5</c:v>
                </c:pt>
                <c:pt idx="65">
                  <c:v>5.8834305189729384E-5</c:v>
                </c:pt>
                <c:pt idx="66">
                  <c:v>5.8834305189729384E-5</c:v>
                </c:pt>
                <c:pt idx="67">
                  <c:v>5.8834305189729384E-5</c:v>
                </c:pt>
                <c:pt idx="68">
                  <c:v>5.8834305189729384E-5</c:v>
                </c:pt>
                <c:pt idx="69">
                  <c:v>5.7574170142828945E-5</c:v>
                </c:pt>
                <c:pt idx="70">
                  <c:v>2.2738436846292367E-5</c:v>
                </c:pt>
                <c:pt idx="71">
                  <c:v>2.2738436846292367E-5</c:v>
                </c:pt>
                <c:pt idx="72">
                  <c:v>2.2738436846292367E-5</c:v>
                </c:pt>
                <c:pt idx="73">
                  <c:v>2.2458406835870047E-5</c:v>
                </c:pt>
                <c:pt idx="74">
                  <c:v>2.2458406835870047E-5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8832"/>
        <c:axId val="38146816"/>
      </c:scatterChart>
      <c:valAx>
        <c:axId val="361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46816"/>
        <c:crosses val="autoZero"/>
        <c:crossBetween val="midCat"/>
      </c:valAx>
      <c:valAx>
        <c:axId val="3814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6883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CL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 Alpha both With and Without Tail with Freestream Airspeed of 65 fps, Static Temperature 70 ⁰F, and Standard Atmospheric Pressure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Non-Corrected With Tail</c:v>
          </c:tx>
          <c:spPr>
            <a:ln w="28575">
              <a:noFill/>
            </a:ln>
          </c:spPr>
          <c:dPt>
            <c:idx val="50"/>
            <c:marker>
              <c:symbol val="diamond"/>
              <c:size val="4"/>
            </c:marker>
            <c:bubble3D val="0"/>
          </c:dPt>
          <c:dPt>
            <c:idx val="51"/>
            <c:marker>
              <c:symbol val="diamond"/>
              <c:size val="4"/>
            </c:marker>
            <c:bubble3D val="0"/>
          </c:dPt>
          <c:trendline>
            <c:trendlineType val="log"/>
            <c:dispRSqr val="0"/>
            <c:dispEq val="0"/>
          </c:trendline>
          <c:xVal>
            <c:numRef>
              <c:f>'Tail On 65 MPH'!$A$2:$A$80</c:f>
              <c:numCache>
                <c:formatCode>General</c:formatCode>
                <c:ptCount val="79"/>
                <c:pt idx="0">
                  <c:v>-4.7E-2</c:v>
                </c:pt>
                <c:pt idx="1">
                  <c:v>-4.7E-2</c:v>
                </c:pt>
                <c:pt idx="2">
                  <c:v>-4.7E-2</c:v>
                </c:pt>
                <c:pt idx="3">
                  <c:v>-4.7E-2</c:v>
                </c:pt>
                <c:pt idx="4">
                  <c:v>-4.2000000000000003E-2</c:v>
                </c:pt>
                <c:pt idx="5">
                  <c:v>-4.7E-2</c:v>
                </c:pt>
                <c:pt idx="6">
                  <c:v>-4.7E-2</c:v>
                </c:pt>
                <c:pt idx="7">
                  <c:v>-4.7E-2</c:v>
                </c:pt>
                <c:pt idx="8">
                  <c:v>-4.7E-2</c:v>
                </c:pt>
                <c:pt idx="9">
                  <c:v>-4.4999999999999998E-2</c:v>
                </c:pt>
                <c:pt idx="10">
                  <c:v>-4.5999999999999999E-2</c:v>
                </c:pt>
                <c:pt idx="11">
                  <c:v>-4.7E-2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-8.0860000000000003</c:v>
                </c:pt>
                <c:pt idx="16">
                  <c:v>-8.0860000000000003</c:v>
                </c:pt>
                <c:pt idx="17">
                  <c:v>-8.0860000000000003</c:v>
                </c:pt>
                <c:pt idx="18">
                  <c:v>-8.0860000000000003</c:v>
                </c:pt>
                <c:pt idx="19">
                  <c:v>-8.0860000000000003</c:v>
                </c:pt>
                <c:pt idx="20">
                  <c:v>-6.0060000000000002</c:v>
                </c:pt>
                <c:pt idx="21">
                  <c:v>-6.0060000000000002</c:v>
                </c:pt>
                <c:pt idx="22">
                  <c:v>-6.0060000000000002</c:v>
                </c:pt>
                <c:pt idx="23">
                  <c:v>-6.0060000000000002</c:v>
                </c:pt>
                <c:pt idx="24">
                  <c:v>-6.0060000000000002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-2.0299999999999998</c:v>
                </c:pt>
                <c:pt idx="31">
                  <c:v>-2.0299999999999998</c:v>
                </c:pt>
                <c:pt idx="32">
                  <c:v>-1.976</c:v>
                </c:pt>
                <c:pt idx="33">
                  <c:v>-1.976</c:v>
                </c:pt>
                <c:pt idx="34">
                  <c:v>-1.976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1.992</c:v>
                </c:pt>
                <c:pt idx="41">
                  <c:v>1.992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4.0259999999999998</c:v>
                </c:pt>
                <c:pt idx="48">
                  <c:v>4.0259999999999998</c:v>
                </c:pt>
                <c:pt idx="49">
                  <c:v>4.0259999999999998</c:v>
                </c:pt>
                <c:pt idx="50">
                  <c:v>6.0010000000000003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7.9880000000000004</c:v>
                </c:pt>
                <c:pt idx="56">
                  <c:v>7.9880000000000004</c:v>
                </c:pt>
                <c:pt idx="57">
                  <c:v>8.0570000000000004</c:v>
                </c:pt>
                <c:pt idx="58">
                  <c:v>8.0570000000000004</c:v>
                </c:pt>
                <c:pt idx="59">
                  <c:v>8.0570000000000004</c:v>
                </c:pt>
                <c:pt idx="60">
                  <c:v>9.9619999999999997</c:v>
                </c:pt>
                <c:pt idx="61">
                  <c:v>9.9619999999999997</c:v>
                </c:pt>
                <c:pt idx="62">
                  <c:v>9.9619999999999997</c:v>
                </c:pt>
                <c:pt idx="63">
                  <c:v>10.037000000000001</c:v>
                </c:pt>
                <c:pt idx="64">
                  <c:v>10.037000000000001</c:v>
                </c:pt>
                <c:pt idx="65">
                  <c:v>11.99</c:v>
                </c:pt>
                <c:pt idx="66">
                  <c:v>11.99</c:v>
                </c:pt>
                <c:pt idx="67">
                  <c:v>12.003</c:v>
                </c:pt>
                <c:pt idx="68">
                  <c:v>12.003</c:v>
                </c:pt>
                <c:pt idx="69">
                  <c:v>12.003</c:v>
                </c:pt>
                <c:pt idx="70">
                  <c:v>13.958</c:v>
                </c:pt>
                <c:pt idx="71">
                  <c:v>13.958</c:v>
                </c:pt>
                <c:pt idx="72">
                  <c:v>13.976000000000001</c:v>
                </c:pt>
                <c:pt idx="73">
                  <c:v>13.976000000000001</c:v>
                </c:pt>
                <c:pt idx="74">
                  <c:v>15.951000000000001</c:v>
                </c:pt>
                <c:pt idx="75">
                  <c:v>15.951000000000001</c:v>
                </c:pt>
                <c:pt idx="76">
                  <c:v>15.996</c:v>
                </c:pt>
                <c:pt idx="77">
                  <c:v>15.996</c:v>
                </c:pt>
                <c:pt idx="78">
                  <c:v>15.996</c:v>
                </c:pt>
              </c:numCache>
            </c:numRef>
          </c:xVal>
          <c:yVal>
            <c:numRef>
              <c:f>'Tail On 65 MPH'!$J$2:$J$80</c:f>
              <c:numCache>
                <c:formatCode>General</c:formatCode>
                <c:ptCount val="79"/>
                <c:pt idx="0">
                  <c:v>1.121800221751813E-4</c:v>
                </c:pt>
                <c:pt idx="1">
                  <c:v>1.121800221751813E-4</c:v>
                </c:pt>
                <c:pt idx="2">
                  <c:v>1.121800221751813E-4</c:v>
                </c:pt>
                <c:pt idx="3">
                  <c:v>1.121800221751813E-4</c:v>
                </c:pt>
                <c:pt idx="4">
                  <c:v>1.1192799516580121E-4</c:v>
                </c:pt>
                <c:pt idx="5">
                  <c:v>1.1402822024396861E-4</c:v>
                </c:pt>
                <c:pt idx="6">
                  <c:v>1.1402822024396861E-4</c:v>
                </c:pt>
                <c:pt idx="7">
                  <c:v>1.1402822024396861E-4</c:v>
                </c:pt>
                <c:pt idx="8">
                  <c:v>1.1402822024396861E-4</c:v>
                </c:pt>
                <c:pt idx="9">
                  <c:v>1.1904075743052814E-4</c:v>
                </c:pt>
                <c:pt idx="10">
                  <c:v>9.5154197541504263E-5</c:v>
                </c:pt>
                <c:pt idx="11">
                  <c:v>1.061313739500592E-4</c:v>
                </c:pt>
                <c:pt idx="12">
                  <c:v>1.061313739500592E-4</c:v>
                </c:pt>
                <c:pt idx="13">
                  <c:v>1.061313739500592E-4</c:v>
                </c:pt>
                <c:pt idx="14">
                  <c:v>1.061313739500592E-4</c:v>
                </c:pt>
                <c:pt idx="15">
                  <c:v>2.4166589899446194E-5</c:v>
                </c:pt>
                <c:pt idx="16">
                  <c:v>2.4166589899446194E-5</c:v>
                </c:pt>
                <c:pt idx="17">
                  <c:v>2.4166589899446194E-5</c:v>
                </c:pt>
                <c:pt idx="18">
                  <c:v>2.4166589899446194E-5</c:v>
                </c:pt>
                <c:pt idx="19">
                  <c:v>2.4166589899446194E-5</c:v>
                </c:pt>
                <c:pt idx="20">
                  <c:v>5.3065686975029598E-5</c:v>
                </c:pt>
                <c:pt idx="21">
                  <c:v>5.3065686975029598E-5</c:v>
                </c:pt>
                <c:pt idx="22">
                  <c:v>5.3065686975029598E-5</c:v>
                </c:pt>
                <c:pt idx="23">
                  <c:v>5.3065686975029598E-5</c:v>
                </c:pt>
                <c:pt idx="24">
                  <c:v>5.3065686975029598E-5</c:v>
                </c:pt>
                <c:pt idx="25">
                  <c:v>6.2642713331472938E-5</c:v>
                </c:pt>
                <c:pt idx="26">
                  <c:v>6.9391436582650837E-5</c:v>
                </c:pt>
                <c:pt idx="27">
                  <c:v>6.9391436582650837E-5</c:v>
                </c:pt>
                <c:pt idx="28">
                  <c:v>6.9391436582650837E-5</c:v>
                </c:pt>
                <c:pt idx="29">
                  <c:v>6.9391436582650837E-5</c:v>
                </c:pt>
                <c:pt idx="30">
                  <c:v>8.7789408267397234E-5</c:v>
                </c:pt>
                <c:pt idx="31">
                  <c:v>8.7789408267397234E-5</c:v>
                </c:pt>
                <c:pt idx="32">
                  <c:v>9.378205049043489E-5</c:v>
                </c:pt>
                <c:pt idx="33">
                  <c:v>9.378205049043489E-5</c:v>
                </c:pt>
                <c:pt idx="34">
                  <c:v>9.378205049043489E-5</c:v>
                </c:pt>
                <c:pt idx="35">
                  <c:v>9.932664469679682E-5</c:v>
                </c:pt>
                <c:pt idx="36">
                  <c:v>9.932664469679682E-5</c:v>
                </c:pt>
                <c:pt idx="37">
                  <c:v>9.932664469679682E-5</c:v>
                </c:pt>
                <c:pt idx="38">
                  <c:v>9.932664469679682E-5</c:v>
                </c:pt>
                <c:pt idx="39">
                  <c:v>9.932664469679682E-5</c:v>
                </c:pt>
                <c:pt idx="40">
                  <c:v>1.2676958571818415E-4</c:v>
                </c:pt>
                <c:pt idx="41">
                  <c:v>1.2676958571818415E-4</c:v>
                </c:pt>
                <c:pt idx="42">
                  <c:v>1.232132045858207E-4</c:v>
                </c:pt>
                <c:pt idx="43">
                  <c:v>1.232132045858207E-4</c:v>
                </c:pt>
                <c:pt idx="44">
                  <c:v>1.232132045858207E-4</c:v>
                </c:pt>
                <c:pt idx="45">
                  <c:v>1.4838790252278726E-4</c:v>
                </c:pt>
                <c:pt idx="46">
                  <c:v>1.4838790252278726E-4</c:v>
                </c:pt>
                <c:pt idx="47">
                  <c:v>1.5412851773644479E-4</c:v>
                </c:pt>
                <c:pt idx="48">
                  <c:v>1.5412851773644479E-4</c:v>
                </c:pt>
                <c:pt idx="49">
                  <c:v>1.5412851773644479E-4</c:v>
                </c:pt>
                <c:pt idx="50">
                  <c:v>1.7031425233885489E-4</c:v>
                </c:pt>
                <c:pt idx="51">
                  <c:v>1.6093324698970716E-4</c:v>
                </c:pt>
                <c:pt idx="52">
                  <c:v>1.6093324698970716E-4</c:v>
                </c:pt>
                <c:pt idx="53">
                  <c:v>1.6093324698970716E-4</c:v>
                </c:pt>
                <c:pt idx="54">
                  <c:v>1.6093324698970716E-4</c:v>
                </c:pt>
                <c:pt idx="55">
                  <c:v>1.801433057046783E-4</c:v>
                </c:pt>
                <c:pt idx="56">
                  <c:v>1.801433057046783E-4</c:v>
                </c:pt>
                <c:pt idx="57">
                  <c:v>1.8047934171718508E-4</c:v>
                </c:pt>
                <c:pt idx="58">
                  <c:v>1.8047934171718508E-4</c:v>
                </c:pt>
                <c:pt idx="59">
                  <c:v>1.8047934171718508E-4</c:v>
                </c:pt>
                <c:pt idx="60">
                  <c:v>2.0030546645508532E-4</c:v>
                </c:pt>
                <c:pt idx="61">
                  <c:v>2.0030546645508532E-4</c:v>
                </c:pt>
                <c:pt idx="62">
                  <c:v>2.0030546645508532E-4</c:v>
                </c:pt>
                <c:pt idx="63">
                  <c:v>1.9532093226956801E-4</c:v>
                </c:pt>
                <c:pt idx="64">
                  <c:v>1.9532093226956801E-4</c:v>
                </c:pt>
                <c:pt idx="65">
                  <c:v>2.1545509001893282E-4</c:v>
                </c:pt>
                <c:pt idx="66">
                  <c:v>2.1545509001893282E-4</c:v>
                </c:pt>
                <c:pt idx="67">
                  <c:v>2.0733421971668554E-4</c:v>
                </c:pt>
                <c:pt idx="68">
                  <c:v>2.0733421971668554E-4</c:v>
                </c:pt>
                <c:pt idx="69">
                  <c:v>2.0733421971668554E-4</c:v>
                </c:pt>
                <c:pt idx="70">
                  <c:v>2.074742347218967E-4</c:v>
                </c:pt>
                <c:pt idx="71">
                  <c:v>2.074742347218967E-4</c:v>
                </c:pt>
                <c:pt idx="72">
                  <c:v>2.074742347218967E-4</c:v>
                </c:pt>
                <c:pt idx="73">
                  <c:v>2.074742347218967E-4</c:v>
                </c:pt>
                <c:pt idx="74">
                  <c:v>2.1217873889699167E-4</c:v>
                </c:pt>
                <c:pt idx="75">
                  <c:v>2.1217873889699167E-4</c:v>
                </c:pt>
                <c:pt idx="76">
                  <c:v>2.1889945914712735E-4</c:v>
                </c:pt>
                <c:pt idx="77">
                  <c:v>2.1889945914712735E-4</c:v>
                </c:pt>
                <c:pt idx="78">
                  <c:v>2.1889945914712735E-4</c:v>
                </c:pt>
              </c:numCache>
            </c:numRef>
          </c:yVal>
          <c:smooth val="0"/>
        </c:ser>
        <c:ser>
          <c:idx val="1"/>
          <c:order val="1"/>
          <c:tx>
            <c:v>Corrected With Tail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'Tail On 65 MPH'!$B$2:$B$80</c:f>
              <c:numCache>
                <c:formatCode>0.0000</c:formatCode>
                <c:ptCount val="79"/>
                <c:pt idx="0">
                  <c:v>6.0574343520103699E-2</c:v>
                </c:pt>
                <c:pt idx="1">
                  <c:v>6.0574343520103699E-2</c:v>
                </c:pt>
                <c:pt idx="2">
                  <c:v>6.0574343520103699E-2</c:v>
                </c:pt>
                <c:pt idx="3">
                  <c:v>6.0574343520103699E-2</c:v>
                </c:pt>
                <c:pt idx="4">
                  <c:v>6.5574343520103689E-2</c:v>
                </c:pt>
                <c:pt idx="5">
                  <c:v>6.0574343520103699E-2</c:v>
                </c:pt>
                <c:pt idx="6">
                  <c:v>6.0574343520103699E-2</c:v>
                </c:pt>
                <c:pt idx="7">
                  <c:v>6.0574343520103699E-2</c:v>
                </c:pt>
                <c:pt idx="8">
                  <c:v>6.0574343520103699E-2</c:v>
                </c:pt>
                <c:pt idx="9">
                  <c:v>6.2574343520103701E-2</c:v>
                </c:pt>
                <c:pt idx="10">
                  <c:v>6.15743435201037E-2</c:v>
                </c:pt>
                <c:pt idx="11">
                  <c:v>6.0574343520103699E-2</c:v>
                </c:pt>
                <c:pt idx="12">
                  <c:v>6.0574343520103699E-2</c:v>
                </c:pt>
                <c:pt idx="13">
                  <c:v>6.0574343520103699E-2</c:v>
                </c:pt>
                <c:pt idx="14">
                  <c:v>6.0574343520103699E-2</c:v>
                </c:pt>
                <c:pt idx="15">
                  <c:v>-7.9784256564798968</c:v>
                </c:pt>
                <c:pt idx="16">
                  <c:v>-7.9784256564798968</c:v>
                </c:pt>
                <c:pt idx="17">
                  <c:v>-7.9784256564798968</c:v>
                </c:pt>
                <c:pt idx="18">
                  <c:v>-7.9784256564798968</c:v>
                </c:pt>
                <c:pt idx="19">
                  <c:v>-7.9784256564798968</c:v>
                </c:pt>
                <c:pt idx="20">
                  <c:v>-5.8984256564798967</c:v>
                </c:pt>
                <c:pt idx="21">
                  <c:v>-5.8984256564798967</c:v>
                </c:pt>
                <c:pt idx="22">
                  <c:v>-5.8984256564798967</c:v>
                </c:pt>
                <c:pt idx="23">
                  <c:v>-5.8984256564798967</c:v>
                </c:pt>
                <c:pt idx="24">
                  <c:v>-5.8984256564798967</c:v>
                </c:pt>
                <c:pt idx="25">
                  <c:v>-3.8874256564798966</c:v>
                </c:pt>
                <c:pt idx="26">
                  <c:v>-3.8874256564798966</c:v>
                </c:pt>
                <c:pt idx="27">
                  <c:v>-3.8874256564798966</c:v>
                </c:pt>
                <c:pt idx="28">
                  <c:v>-3.8874256564798966</c:v>
                </c:pt>
                <c:pt idx="29">
                  <c:v>-3.8874256564798966</c:v>
                </c:pt>
                <c:pt idx="30">
                  <c:v>-1.9224256564798961</c:v>
                </c:pt>
                <c:pt idx="31">
                  <c:v>-1.9224256564798961</c:v>
                </c:pt>
                <c:pt idx="32">
                  <c:v>-1.8684256564798962</c:v>
                </c:pt>
                <c:pt idx="33">
                  <c:v>-1.8684256564798962</c:v>
                </c:pt>
                <c:pt idx="34">
                  <c:v>-1.8684256564798962</c:v>
                </c:pt>
                <c:pt idx="35">
                  <c:v>0.12657434352010369</c:v>
                </c:pt>
                <c:pt idx="36">
                  <c:v>0.12657434352010369</c:v>
                </c:pt>
                <c:pt idx="37">
                  <c:v>0.12657434352010369</c:v>
                </c:pt>
                <c:pt idx="38">
                  <c:v>0.12657434352010369</c:v>
                </c:pt>
                <c:pt idx="39">
                  <c:v>0.12657434352010369</c:v>
                </c:pt>
                <c:pt idx="40">
                  <c:v>2.0995743435201035</c:v>
                </c:pt>
                <c:pt idx="41">
                  <c:v>2.0995743435201035</c:v>
                </c:pt>
                <c:pt idx="42">
                  <c:v>2.0975743435201037</c:v>
                </c:pt>
                <c:pt idx="43">
                  <c:v>2.0975743435201037</c:v>
                </c:pt>
                <c:pt idx="44">
                  <c:v>2.0975743435201037</c:v>
                </c:pt>
                <c:pt idx="45">
                  <c:v>4.0825743435201041</c:v>
                </c:pt>
                <c:pt idx="46">
                  <c:v>4.0825743435201041</c:v>
                </c:pt>
                <c:pt idx="47">
                  <c:v>4.1335743435201033</c:v>
                </c:pt>
                <c:pt idx="48">
                  <c:v>4.1335743435201033</c:v>
                </c:pt>
                <c:pt idx="49">
                  <c:v>4.1335743435201033</c:v>
                </c:pt>
                <c:pt idx="50">
                  <c:v>6.1085743435201039</c:v>
                </c:pt>
                <c:pt idx="51">
                  <c:v>6.1225743435201032</c:v>
                </c:pt>
                <c:pt idx="52">
                  <c:v>6.1225743435201032</c:v>
                </c:pt>
                <c:pt idx="53">
                  <c:v>6.1225743435201032</c:v>
                </c:pt>
                <c:pt idx="54">
                  <c:v>6.1225743435201032</c:v>
                </c:pt>
                <c:pt idx="55">
                  <c:v>8.095574343520104</c:v>
                </c:pt>
                <c:pt idx="56">
                  <c:v>8.095574343520104</c:v>
                </c:pt>
                <c:pt idx="57">
                  <c:v>8.1645743435201048</c:v>
                </c:pt>
                <c:pt idx="58">
                  <c:v>8.1645743435201048</c:v>
                </c:pt>
                <c:pt idx="59">
                  <c:v>8.1645743435201048</c:v>
                </c:pt>
                <c:pt idx="60">
                  <c:v>10.069574343520104</c:v>
                </c:pt>
                <c:pt idx="61">
                  <c:v>10.069574343520104</c:v>
                </c:pt>
                <c:pt idx="62">
                  <c:v>10.069574343520104</c:v>
                </c:pt>
                <c:pt idx="63">
                  <c:v>10.144574343520105</c:v>
                </c:pt>
                <c:pt idx="64">
                  <c:v>10.144574343520105</c:v>
                </c:pt>
                <c:pt idx="65">
                  <c:v>12.097574343520105</c:v>
                </c:pt>
                <c:pt idx="66">
                  <c:v>12.097574343520105</c:v>
                </c:pt>
                <c:pt idx="67">
                  <c:v>12.110574343520105</c:v>
                </c:pt>
                <c:pt idx="68">
                  <c:v>12.110574343520105</c:v>
                </c:pt>
                <c:pt idx="69">
                  <c:v>12.110574343520105</c:v>
                </c:pt>
                <c:pt idx="70">
                  <c:v>14.065574343520105</c:v>
                </c:pt>
                <c:pt idx="71">
                  <c:v>14.065574343520105</c:v>
                </c:pt>
                <c:pt idx="72">
                  <c:v>14.083574343520105</c:v>
                </c:pt>
                <c:pt idx="73">
                  <c:v>14.083574343520105</c:v>
                </c:pt>
                <c:pt idx="74">
                  <c:v>16.058574343520103</c:v>
                </c:pt>
                <c:pt idx="75">
                  <c:v>16.058574343520103</c:v>
                </c:pt>
                <c:pt idx="76">
                  <c:v>16.103574343520105</c:v>
                </c:pt>
                <c:pt idx="77">
                  <c:v>16.103574343520105</c:v>
                </c:pt>
                <c:pt idx="78">
                  <c:v>16.103574343520105</c:v>
                </c:pt>
              </c:numCache>
            </c:numRef>
          </c:xVal>
          <c:yVal>
            <c:numRef>
              <c:f>'Tail On 65 MPH'!$N$2:$N$80</c:f>
              <c:numCache>
                <c:formatCode>General</c:formatCode>
                <c:ptCount val="79"/>
                <c:pt idx="0">
                  <c:v>1.1143478347379423E-4</c:v>
                </c:pt>
                <c:pt idx="1">
                  <c:v>1.1143478347379423E-4</c:v>
                </c:pt>
                <c:pt idx="2">
                  <c:v>1.1143478347379423E-4</c:v>
                </c:pt>
                <c:pt idx="3">
                  <c:v>1.1143478347379423E-4</c:v>
                </c:pt>
                <c:pt idx="4">
                  <c:v>1.1118443074007875E-4</c:v>
                </c:pt>
                <c:pt idx="5">
                  <c:v>1.1327070352104096E-4</c:v>
                </c:pt>
                <c:pt idx="6">
                  <c:v>1.1327070352104096E-4</c:v>
                </c:pt>
                <c:pt idx="7">
                  <c:v>1.1327070352104096E-4</c:v>
                </c:pt>
                <c:pt idx="8">
                  <c:v>1.1327070352104096E-4</c:v>
                </c:pt>
                <c:pt idx="9">
                  <c:v>1.1824994122493741E-4</c:v>
                </c:pt>
                <c:pt idx="10">
                  <c:v>9.4522065462794E-5</c:v>
                </c:pt>
                <c:pt idx="11">
                  <c:v>1.0542631786462309E-4</c:v>
                </c:pt>
                <c:pt idx="12">
                  <c:v>1.0542631786462309E-4</c:v>
                </c:pt>
                <c:pt idx="13">
                  <c:v>1.0542631786462309E-4</c:v>
                </c:pt>
                <c:pt idx="14">
                  <c:v>1.0542631786462309E-4</c:v>
                </c:pt>
                <c:pt idx="15">
                  <c:v>2.4006045466271695E-5</c:v>
                </c:pt>
                <c:pt idx="16">
                  <c:v>2.4006045466271695E-5</c:v>
                </c:pt>
                <c:pt idx="17">
                  <c:v>2.4006045466271695E-5</c:v>
                </c:pt>
                <c:pt idx="18">
                  <c:v>2.4006045466271695E-5</c:v>
                </c:pt>
                <c:pt idx="19">
                  <c:v>2.4006045466271695E-5</c:v>
                </c:pt>
                <c:pt idx="20">
                  <c:v>5.2713158932311547E-5</c:v>
                </c:pt>
                <c:pt idx="21">
                  <c:v>5.2713158932311547E-5</c:v>
                </c:pt>
                <c:pt idx="22">
                  <c:v>5.2713158932311547E-5</c:v>
                </c:pt>
                <c:pt idx="23">
                  <c:v>5.2713158932311547E-5</c:v>
                </c:pt>
                <c:pt idx="24">
                  <c:v>5.2713158932311547E-5</c:v>
                </c:pt>
                <c:pt idx="25">
                  <c:v>6.2226562813499171E-5</c:v>
                </c:pt>
                <c:pt idx="26">
                  <c:v>6.8930452682991033E-5</c:v>
                </c:pt>
                <c:pt idx="27">
                  <c:v>6.8930452682991033E-5</c:v>
                </c:pt>
                <c:pt idx="28">
                  <c:v>6.8930452682991033E-5</c:v>
                </c:pt>
                <c:pt idx="29">
                  <c:v>6.8930452682991033E-5</c:v>
                </c:pt>
                <c:pt idx="30">
                  <c:v>8.7206202244219884E-5</c:v>
                </c:pt>
                <c:pt idx="31">
                  <c:v>8.7206202244219884E-5</c:v>
                </c:pt>
                <c:pt idx="32">
                  <c:v>9.3159033912565363E-5</c:v>
                </c:pt>
                <c:pt idx="33">
                  <c:v>9.3159033912565363E-5</c:v>
                </c:pt>
                <c:pt idx="34">
                  <c:v>9.3159033912565363E-5</c:v>
                </c:pt>
                <c:pt idx="35">
                  <c:v>9.8666794054305578E-5</c:v>
                </c:pt>
                <c:pt idx="36">
                  <c:v>9.8666794054305578E-5</c:v>
                </c:pt>
                <c:pt idx="37">
                  <c:v>9.8666794054305578E-5</c:v>
                </c:pt>
                <c:pt idx="38">
                  <c:v>9.8666794054305578E-5</c:v>
                </c:pt>
                <c:pt idx="39">
                  <c:v>9.8666794054305578E-5</c:v>
                </c:pt>
                <c:pt idx="40">
                  <c:v>1.259274250588783E-4</c:v>
                </c:pt>
                <c:pt idx="41">
                  <c:v>1.259274250588783E-4</c:v>
                </c:pt>
                <c:pt idx="42">
                  <c:v>1.2239466981644898E-4</c:v>
                </c:pt>
                <c:pt idx="43">
                  <c:v>1.2239466981644898E-4</c:v>
                </c:pt>
                <c:pt idx="44">
                  <c:v>1.2239466981644898E-4</c:v>
                </c:pt>
                <c:pt idx="45">
                  <c:v>1.4740212621758254E-4</c:v>
                </c:pt>
                <c:pt idx="46">
                  <c:v>1.4740212621758254E-4</c:v>
                </c:pt>
                <c:pt idx="47">
                  <c:v>1.5310460515221251E-4</c:v>
                </c:pt>
                <c:pt idx="48">
                  <c:v>1.5310460515221251E-4</c:v>
                </c:pt>
                <c:pt idx="49">
                  <c:v>1.5310460515221251E-4</c:v>
                </c:pt>
                <c:pt idx="50">
                  <c:v>1.6918281405082787E-4</c:v>
                </c:pt>
                <c:pt idx="51">
                  <c:v>1.5986412896253004E-4</c:v>
                </c:pt>
                <c:pt idx="52">
                  <c:v>1.5986412896253004E-4</c:v>
                </c:pt>
                <c:pt idx="53">
                  <c:v>1.5986412896253004E-4</c:v>
                </c:pt>
                <c:pt idx="54">
                  <c:v>1.5986412896253004E-4</c:v>
                </c:pt>
                <c:pt idx="55">
                  <c:v>1.7894657066573096E-4</c:v>
                </c:pt>
                <c:pt idx="56">
                  <c:v>1.7894657066573096E-4</c:v>
                </c:pt>
                <c:pt idx="57">
                  <c:v>1.7928037431068491E-4</c:v>
                </c:pt>
                <c:pt idx="58">
                  <c:v>1.7928037431068491E-4</c:v>
                </c:pt>
                <c:pt idx="59">
                  <c:v>1.7928037431068491E-4</c:v>
                </c:pt>
                <c:pt idx="60">
                  <c:v>1.9897478936296807E-4</c:v>
                </c:pt>
                <c:pt idx="61">
                  <c:v>1.9897478936296807E-4</c:v>
                </c:pt>
                <c:pt idx="62">
                  <c:v>1.9897478936296807E-4</c:v>
                </c:pt>
                <c:pt idx="63">
                  <c:v>1.9402336862948445E-4</c:v>
                </c:pt>
                <c:pt idx="64">
                  <c:v>1.9402336862948445E-4</c:v>
                </c:pt>
                <c:pt idx="65">
                  <c:v>2.1402377035630873E-4</c:v>
                </c:pt>
                <c:pt idx="66">
                  <c:v>2.1402377035630873E-4</c:v>
                </c:pt>
                <c:pt idx="67">
                  <c:v>2.0595684893658821E-4</c:v>
                </c:pt>
                <c:pt idx="68">
                  <c:v>2.0595684893658821E-4</c:v>
                </c:pt>
                <c:pt idx="69">
                  <c:v>2.0595684893658821E-4</c:v>
                </c:pt>
                <c:pt idx="70">
                  <c:v>2.0609593378865236E-4</c:v>
                </c:pt>
                <c:pt idx="71">
                  <c:v>2.0609593378865236E-4</c:v>
                </c:pt>
                <c:pt idx="72">
                  <c:v>2.0609593378865236E-4</c:v>
                </c:pt>
                <c:pt idx="73">
                  <c:v>2.0609593378865236E-4</c:v>
                </c:pt>
                <c:pt idx="74">
                  <c:v>2.1076918481800769E-4</c:v>
                </c:pt>
                <c:pt idx="75">
                  <c:v>2.1076918481800769E-4</c:v>
                </c:pt>
                <c:pt idx="76">
                  <c:v>2.1744525771708674E-4</c:v>
                </c:pt>
                <c:pt idx="77">
                  <c:v>2.1744525771708674E-4</c:v>
                </c:pt>
                <c:pt idx="78">
                  <c:v>2.1744525771708674E-4</c:v>
                </c:pt>
              </c:numCache>
            </c:numRef>
          </c:yVal>
          <c:smooth val="0"/>
        </c:ser>
        <c:ser>
          <c:idx val="2"/>
          <c:order val="2"/>
          <c:tx>
            <c:v>Non-Corrected No Tail</c:v>
          </c:tx>
          <c:spPr>
            <a:ln w="28575">
              <a:noFill/>
            </a:ln>
          </c:spPr>
          <c:xVal>
            <c:numRef>
              <c:f>'Tail OFf 65 MPH'!$A$2:$A$71</c:f>
              <c:numCache>
                <c:formatCode>General</c:formatCode>
                <c:ptCount val="7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-7.9809999999999999</c:v>
                </c:pt>
                <c:pt idx="6">
                  <c:v>-7.9809999999999999</c:v>
                </c:pt>
                <c:pt idx="7">
                  <c:v>-7.9980000000000002</c:v>
                </c:pt>
                <c:pt idx="8">
                  <c:v>-7.9980000000000002</c:v>
                </c:pt>
                <c:pt idx="9">
                  <c:v>-7.9980000000000002</c:v>
                </c:pt>
                <c:pt idx="10">
                  <c:v>-6.0140000000000002</c:v>
                </c:pt>
                <c:pt idx="11">
                  <c:v>-6.0140000000000002</c:v>
                </c:pt>
                <c:pt idx="12">
                  <c:v>-6.0140000000000002</c:v>
                </c:pt>
                <c:pt idx="13">
                  <c:v>-6.0019999999999998</c:v>
                </c:pt>
                <c:pt idx="14">
                  <c:v>-6.0019999999999998</c:v>
                </c:pt>
                <c:pt idx="15">
                  <c:v>-3.9990000000000001</c:v>
                </c:pt>
                <c:pt idx="16">
                  <c:v>-3.9990000000000001</c:v>
                </c:pt>
                <c:pt idx="17">
                  <c:v>-3.9990000000000001</c:v>
                </c:pt>
                <c:pt idx="18">
                  <c:v>-3.9929999999999999</c:v>
                </c:pt>
                <c:pt idx="19">
                  <c:v>-3.9929999999999999</c:v>
                </c:pt>
                <c:pt idx="20">
                  <c:v>-1.976</c:v>
                </c:pt>
                <c:pt idx="21">
                  <c:v>-1.976</c:v>
                </c:pt>
                <c:pt idx="22">
                  <c:v>-1.976</c:v>
                </c:pt>
                <c:pt idx="23">
                  <c:v>-1.966</c:v>
                </c:pt>
                <c:pt idx="24">
                  <c:v>-1.966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2.5999999999999999E-2</c:v>
                </c:pt>
                <c:pt idx="30">
                  <c:v>1.966</c:v>
                </c:pt>
                <c:pt idx="31">
                  <c:v>2.0270000000000001</c:v>
                </c:pt>
                <c:pt idx="32">
                  <c:v>2.0270000000000001</c:v>
                </c:pt>
                <c:pt idx="33">
                  <c:v>2.0270000000000001</c:v>
                </c:pt>
                <c:pt idx="34">
                  <c:v>2.0270000000000001</c:v>
                </c:pt>
                <c:pt idx="35">
                  <c:v>3.976</c:v>
                </c:pt>
                <c:pt idx="36">
                  <c:v>3.976</c:v>
                </c:pt>
                <c:pt idx="37">
                  <c:v>3.976</c:v>
                </c:pt>
                <c:pt idx="38">
                  <c:v>4.0709999999999997</c:v>
                </c:pt>
                <c:pt idx="39">
                  <c:v>4.0709999999999997</c:v>
                </c:pt>
                <c:pt idx="40">
                  <c:v>5.9749999999999996</c:v>
                </c:pt>
                <c:pt idx="41">
                  <c:v>5.9749999999999996</c:v>
                </c:pt>
                <c:pt idx="42">
                  <c:v>5.9749999999999996</c:v>
                </c:pt>
                <c:pt idx="43">
                  <c:v>5.9960000000000004</c:v>
                </c:pt>
                <c:pt idx="44">
                  <c:v>5.9960000000000004</c:v>
                </c:pt>
                <c:pt idx="45">
                  <c:v>8.0299999999999994</c:v>
                </c:pt>
                <c:pt idx="46">
                  <c:v>8.0299999999999994</c:v>
                </c:pt>
                <c:pt idx="47">
                  <c:v>8.0299999999999994</c:v>
                </c:pt>
                <c:pt idx="48">
                  <c:v>8.0310000000000006</c:v>
                </c:pt>
                <c:pt idx="49">
                  <c:v>8.0310000000000006</c:v>
                </c:pt>
                <c:pt idx="50">
                  <c:v>9.984</c:v>
                </c:pt>
                <c:pt idx="51">
                  <c:v>9.984</c:v>
                </c:pt>
                <c:pt idx="52">
                  <c:v>9.984</c:v>
                </c:pt>
                <c:pt idx="53">
                  <c:v>9.984</c:v>
                </c:pt>
                <c:pt idx="54">
                  <c:v>10.005000000000001</c:v>
                </c:pt>
                <c:pt idx="55">
                  <c:v>11.971</c:v>
                </c:pt>
                <c:pt idx="56">
                  <c:v>11.971</c:v>
                </c:pt>
                <c:pt idx="57">
                  <c:v>11.971</c:v>
                </c:pt>
                <c:pt idx="58">
                  <c:v>11.988</c:v>
                </c:pt>
                <c:pt idx="59">
                  <c:v>11.988</c:v>
                </c:pt>
                <c:pt idx="60">
                  <c:v>13.962999999999999</c:v>
                </c:pt>
                <c:pt idx="61">
                  <c:v>13.962999999999999</c:v>
                </c:pt>
                <c:pt idx="62">
                  <c:v>13.962999999999999</c:v>
                </c:pt>
                <c:pt idx="63">
                  <c:v>13.976000000000001</c:v>
                </c:pt>
                <c:pt idx="64">
                  <c:v>13.976000000000001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16.016999999999999</c:v>
                </c:pt>
              </c:numCache>
            </c:numRef>
          </c:xVal>
          <c:yVal>
            <c:numRef>
              <c:f>'Tail OFf 65 MPH'!$J$2:$J$71</c:f>
              <c:numCache>
                <c:formatCode>General</c:formatCode>
                <c:ptCount val="70"/>
                <c:pt idx="0">
                  <c:v>1.0618737995214365E-4</c:v>
                </c:pt>
                <c:pt idx="1">
                  <c:v>1.0618737995214365E-4</c:v>
                </c:pt>
                <c:pt idx="2">
                  <c:v>1.0159488778121762E-4</c:v>
                </c:pt>
                <c:pt idx="3">
                  <c:v>1.0159488778121762E-4</c:v>
                </c:pt>
                <c:pt idx="4">
                  <c:v>1.0159488778121762E-4</c:v>
                </c:pt>
                <c:pt idx="5">
                  <c:v>1.9966139743111398E-5</c:v>
                </c:pt>
                <c:pt idx="6">
                  <c:v>1.9966139743111398E-5</c:v>
                </c:pt>
                <c:pt idx="7">
                  <c:v>1.6269743605536778E-5</c:v>
                </c:pt>
                <c:pt idx="8">
                  <c:v>1.6269743605536778E-5</c:v>
                </c:pt>
                <c:pt idx="9">
                  <c:v>1.6269743605536778E-5</c:v>
                </c:pt>
                <c:pt idx="10">
                  <c:v>3.9316213463293693E-5</c:v>
                </c:pt>
                <c:pt idx="11">
                  <c:v>3.9316213463293693E-5</c:v>
                </c:pt>
                <c:pt idx="12">
                  <c:v>3.9316213463293693E-5</c:v>
                </c:pt>
                <c:pt idx="13">
                  <c:v>3.3379577242340516E-5</c:v>
                </c:pt>
                <c:pt idx="14">
                  <c:v>3.3379577242340516E-5</c:v>
                </c:pt>
                <c:pt idx="15">
                  <c:v>5.4297819020887804E-5</c:v>
                </c:pt>
                <c:pt idx="16">
                  <c:v>5.4297819020887804E-5</c:v>
                </c:pt>
                <c:pt idx="17">
                  <c:v>5.4297819020887804E-5</c:v>
                </c:pt>
                <c:pt idx="18">
                  <c:v>5.9254350205362863E-5</c:v>
                </c:pt>
                <c:pt idx="19">
                  <c:v>5.9254350205362863E-5</c:v>
                </c:pt>
                <c:pt idx="20">
                  <c:v>8.1292712025599431E-5</c:v>
                </c:pt>
                <c:pt idx="21">
                  <c:v>8.1292712025599431E-5</c:v>
                </c:pt>
                <c:pt idx="22">
                  <c:v>8.1292712025599431E-5</c:v>
                </c:pt>
                <c:pt idx="23">
                  <c:v>8.3504949107935763E-5</c:v>
                </c:pt>
                <c:pt idx="24">
                  <c:v>8.3504949107935763E-5</c:v>
                </c:pt>
                <c:pt idx="25">
                  <c:v>9.876658467595218E-5</c:v>
                </c:pt>
                <c:pt idx="26">
                  <c:v>9.876658467595218E-5</c:v>
                </c:pt>
                <c:pt idx="27">
                  <c:v>9.876658467595218E-5</c:v>
                </c:pt>
                <c:pt idx="28">
                  <c:v>9.876658467595218E-5</c:v>
                </c:pt>
                <c:pt idx="29">
                  <c:v>9.5350218548799866E-5</c:v>
                </c:pt>
                <c:pt idx="30">
                  <c:v>1.1430825025439092E-4</c:v>
                </c:pt>
                <c:pt idx="31">
                  <c:v>1.0778355101155087E-4</c:v>
                </c:pt>
                <c:pt idx="32">
                  <c:v>1.0778355101155087E-4</c:v>
                </c:pt>
                <c:pt idx="33">
                  <c:v>1.0778355101155087E-4</c:v>
                </c:pt>
                <c:pt idx="34">
                  <c:v>1.0778355101155087E-4</c:v>
                </c:pt>
                <c:pt idx="35">
                  <c:v>1.3553452504440276E-4</c:v>
                </c:pt>
                <c:pt idx="36">
                  <c:v>1.3553452504440276E-4</c:v>
                </c:pt>
                <c:pt idx="37">
                  <c:v>1.3553452504440276E-4</c:v>
                </c:pt>
                <c:pt idx="38">
                  <c:v>1.4141515526327146E-4</c:v>
                </c:pt>
                <c:pt idx="39">
                  <c:v>1.4141515526327146E-4</c:v>
                </c:pt>
                <c:pt idx="40">
                  <c:v>1.6258542405119886E-4</c:v>
                </c:pt>
                <c:pt idx="41">
                  <c:v>1.6258542405119886E-4</c:v>
                </c:pt>
                <c:pt idx="42">
                  <c:v>1.6258542405119886E-4</c:v>
                </c:pt>
                <c:pt idx="43">
                  <c:v>1.5522063477709183E-4</c:v>
                </c:pt>
                <c:pt idx="44">
                  <c:v>1.5522063477709183E-4</c:v>
                </c:pt>
                <c:pt idx="45">
                  <c:v>1.7233046841389559E-4</c:v>
                </c:pt>
                <c:pt idx="46">
                  <c:v>1.7233046841389559E-4</c:v>
                </c:pt>
                <c:pt idx="47">
                  <c:v>1.7233046841389559E-4</c:v>
                </c:pt>
                <c:pt idx="48">
                  <c:v>1.7731500259941286E-4</c:v>
                </c:pt>
                <c:pt idx="49">
                  <c:v>1.7731500259941286E-4</c:v>
                </c:pt>
                <c:pt idx="50">
                  <c:v>1.9011237407571288E-4</c:v>
                </c:pt>
                <c:pt idx="51">
                  <c:v>1.9011237407571288E-4</c:v>
                </c:pt>
                <c:pt idx="52">
                  <c:v>1.9011237407571288E-4</c:v>
                </c:pt>
                <c:pt idx="53">
                  <c:v>1.9011237407571288E-4</c:v>
                </c:pt>
                <c:pt idx="54">
                  <c:v>1.9358474620494965E-4</c:v>
                </c:pt>
                <c:pt idx="55">
                  <c:v>1.9232461115804923E-4</c:v>
                </c:pt>
                <c:pt idx="56">
                  <c:v>1.9232461115804923E-4</c:v>
                </c:pt>
                <c:pt idx="57">
                  <c:v>1.9232461115804923E-4</c:v>
                </c:pt>
                <c:pt idx="58">
                  <c:v>1.9431282423204769E-4</c:v>
                </c:pt>
                <c:pt idx="59">
                  <c:v>1.9431282423204769E-4</c:v>
                </c:pt>
                <c:pt idx="60">
                  <c:v>1.9879330439880481E-4</c:v>
                </c:pt>
                <c:pt idx="61">
                  <c:v>1.9879330439880481E-4</c:v>
                </c:pt>
                <c:pt idx="62">
                  <c:v>1.9879330439880481E-4</c:v>
                </c:pt>
                <c:pt idx="63">
                  <c:v>1.9798121736858007E-4</c:v>
                </c:pt>
                <c:pt idx="64">
                  <c:v>1.9798121736858007E-4</c:v>
                </c:pt>
                <c:pt idx="65">
                  <c:v>1.986252863925514E-4</c:v>
                </c:pt>
                <c:pt idx="66">
                  <c:v>1.986252863925514E-4</c:v>
                </c:pt>
                <c:pt idx="67">
                  <c:v>1.986252863925514E-4</c:v>
                </c:pt>
                <c:pt idx="68">
                  <c:v>1.986252863925514E-4</c:v>
                </c:pt>
                <c:pt idx="69">
                  <c:v>2.0013744844883194E-4</c:v>
                </c:pt>
              </c:numCache>
            </c:numRef>
          </c:yVal>
          <c:smooth val="0"/>
        </c:ser>
        <c:ser>
          <c:idx val="3"/>
          <c:order val="3"/>
          <c:tx>
            <c:v>Corrected No Tail</c:v>
          </c:tx>
          <c:spPr>
            <a:ln w="28575">
              <a:noFill/>
            </a:ln>
          </c:spPr>
          <c:xVal>
            <c:numRef>
              <c:f>'Tail OFf 65 MPH'!$B$2:$B$71</c:f>
              <c:numCache>
                <c:formatCode>0.000</c:formatCode>
                <c:ptCount val="70"/>
                <c:pt idx="0">
                  <c:v>0.1135743435201037</c:v>
                </c:pt>
                <c:pt idx="1">
                  <c:v>0.1135743435201037</c:v>
                </c:pt>
                <c:pt idx="2">
                  <c:v>0.1135743435201037</c:v>
                </c:pt>
                <c:pt idx="3">
                  <c:v>0.1135743435201037</c:v>
                </c:pt>
                <c:pt idx="4">
                  <c:v>0.1135743435201037</c:v>
                </c:pt>
                <c:pt idx="5">
                  <c:v>-7.8734256564798963</c:v>
                </c:pt>
                <c:pt idx="6">
                  <c:v>-7.8734256564798963</c:v>
                </c:pt>
                <c:pt idx="7">
                  <c:v>-7.8904256564798967</c:v>
                </c:pt>
                <c:pt idx="8">
                  <c:v>-7.8904256564798967</c:v>
                </c:pt>
                <c:pt idx="9">
                  <c:v>-7.8904256564798967</c:v>
                </c:pt>
                <c:pt idx="10">
                  <c:v>-5.9064256564798967</c:v>
                </c:pt>
                <c:pt idx="11">
                  <c:v>-5.9064256564798967</c:v>
                </c:pt>
                <c:pt idx="12">
                  <c:v>-5.9064256564798967</c:v>
                </c:pt>
                <c:pt idx="13">
                  <c:v>-5.8944256564798962</c:v>
                </c:pt>
                <c:pt idx="14">
                  <c:v>-5.8944256564798962</c:v>
                </c:pt>
                <c:pt idx="15">
                  <c:v>-3.8914256564798966</c:v>
                </c:pt>
                <c:pt idx="16">
                  <c:v>-3.8914256564798966</c:v>
                </c:pt>
                <c:pt idx="17">
                  <c:v>-3.8914256564798966</c:v>
                </c:pt>
                <c:pt idx="18">
                  <c:v>-3.8854256564798964</c:v>
                </c:pt>
                <c:pt idx="19">
                  <c:v>-3.8854256564798964</c:v>
                </c:pt>
                <c:pt idx="20">
                  <c:v>-1.8684256564798962</c:v>
                </c:pt>
                <c:pt idx="21">
                  <c:v>-1.8684256564798962</c:v>
                </c:pt>
                <c:pt idx="22">
                  <c:v>-1.8684256564798962</c:v>
                </c:pt>
                <c:pt idx="23">
                  <c:v>-1.8584256564798962</c:v>
                </c:pt>
                <c:pt idx="24">
                  <c:v>-1.8584256564798962</c:v>
                </c:pt>
                <c:pt idx="25">
                  <c:v>0.1205743435201037</c:v>
                </c:pt>
                <c:pt idx="26">
                  <c:v>0.1205743435201037</c:v>
                </c:pt>
                <c:pt idx="27">
                  <c:v>0.1205743435201037</c:v>
                </c:pt>
                <c:pt idx="28">
                  <c:v>0.1205743435201037</c:v>
                </c:pt>
                <c:pt idx="29">
                  <c:v>0.13357434352010369</c:v>
                </c:pt>
                <c:pt idx="30">
                  <c:v>2.0735743435201037</c:v>
                </c:pt>
                <c:pt idx="31">
                  <c:v>2.1345743435201037</c:v>
                </c:pt>
                <c:pt idx="32">
                  <c:v>2.1345743435201037</c:v>
                </c:pt>
                <c:pt idx="33">
                  <c:v>2.1345743435201037</c:v>
                </c:pt>
                <c:pt idx="34">
                  <c:v>2.1345743435201037</c:v>
                </c:pt>
                <c:pt idx="35">
                  <c:v>4.0835743435201035</c:v>
                </c:pt>
                <c:pt idx="36">
                  <c:v>4.0835743435201035</c:v>
                </c:pt>
                <c:pt idx="37">
                  <c:v>4.0835743435201035</c:v>
                </c:pt>
                <c:pt idx="38">
                  <c:v>4.1785743435201033</c:v>
                </c:pt>
                <c:pt idx="39">
                  <c:v>4.1785743435201033</c:v>
                </c:pt>
                <c:pt idx="40">
                  <c:v>6.0825743435201032</c:v>
                </c:pt>
                <c:pt idx="41">
                  <c:v>6.0825743435201032</c:v>
                </c:pt>
                <c:pt idx="42">
                  <c:v>6.0825743435201032</c:v>
                </c:pt>
                <c:pt idx="43">
                  <c:v>6.103574343520104</c:v>
                </c:pt>
                <c:pt idx="44">
                  <c:v>6.103574343520104</c:v>
                </c:pt>
                <c:pt idx="45">
                  <c:v>8.1375743435201038</c:v>
                </c:pt>
                <c:pt idx="46">
                  <c:v>8.1375743435201038</c:v>
                </c:pt>
                <c:pt idx="47">
                  <c:v>8.1375743435201038</c:v>
                </c:pt>
                <c:pt idx="48">
                  <c:v>8.138574343520105</c:v>
                </c:pt>
                <c:pt idx="49">
                  <c:v>8.138574343520105</c:v>
                </c:pt>
                <c:pt idx="50">
                  <c:v>10.091574343520104</c:v>
                </c:pt>
                <c:pt idx="51">
                  <c:v>10.091574343520104</c:v>
                </c:pt>
                <c:pt idx="52">
                  <c:v>10.091574343520104</c:v>
                </c:pt>
                <c:pt idx="53">
                  <c:v>10.091574343520104</c:v>
                </c:pt>
                <c:pt idx="54">
                  <c:v>10.112574343520105</c:v>
                </c:pt>
                <c:pt idx="55">
                  <c:v>12.078574343520105</c:v>
                </c:pt>
                <c:pt idx="56">
                  <c:v>12.078574343520105</c:v>
                </c:pt>
                <c:pt idx="57">
                  <c:v>12.078574343520105</c:v>
                </c:pt>
                <c:pt idx="58">
                  <c:v>12.095574343520104</c:v>
                </c:pt>
                <c:pt idx="59">
                  <c:v>12.095574343520104</c:v>
                </c:pt>
                <c:pt idx="60">
                  <c:v>14.070574343520104</c:v>
                </c:pt>
                <c:pt idx="61">
                  <c:v>14.070574343520104</c:v>
                </c:pt>
                <c:pt idx="62">
                  <c:v>14.070574343520104</c:v>
                </c:pt>
                <c:pt idx="63">
                  <c:v>14.083574343520105</c:v>
                </c:pt>
                <c:pt idx="64">
                  <c:v>14.083574343520105</c:v>
                </c:pt>
                <c:pt idx="65">
                  <c:v>16.107574343520103</c:v>
                </c:pt>
                <c:pt idx="66">
                  <c:v>16.107574343520103</c:v>
                </c:pt>
                <c:pt idx="67">
                  <c:v>16.107574343520103</c:v>
                </c:pt>
                <c:pt idx="68">
                  <c:v>16.107574343520103</c:v>
                </c:pt>
                <c:pt idx="69">
                  <c:v>16.124574343520102</c:v>
                </c:pt>
              </c:numCache>
            </c:numRef>
          </c:xVal>
          <c:yVal>
            <c:numRef>
              <c:f>'Tail OFf 65 MPH'!$N$2:$N$71</c:f>
              <c:numCache>
                <c:formatCode>General</c:formatCode>
                <c:ptCount val="70"/>
                <c:pt idx="0">
                  <c:v>1.0548195180544875E-4</c:v>
                </c:pt>
                <c:pt idx="1">
                  <c:v>1.0548195180544875E-4</c:v>
                </c:pt>
                <c:pt idx="2">
                  <c:v>1.0091996865774474E-4</c:v>
                </c:pt>
                <c:pt idx="3">
                  <c:v>1.0091996865774474E-4</c:v>
                </c:pt>
                <c:pt idx="4">
                  <c:v>1.0091996865774474E-4</c:v>
                </c:pt>
                <c:pt idx="5">
                  <c:v>1.9833499904347299E-5</c:v>
                </c:pt>
                <c:pt idx="6">
                  <c:v>1.9833499904347299E-5</c:v>
                </c:pt>
                <c:pt idx="7">
                  <c:v>1.6161659809853828E-5</c:v>
                </c:pt>
                <c:pt idx="8">
                  <c:v>1.6161659809853828E-5</c:v>
                </c:pt>
                <c:pt idx="9">
                  <c:v>1.6161659809853828E-5</c:v>
                </c:pt>
                <c:pt idx="10">
                  <c:v>3.9055026459612351E-5</c:v>
                </c:pt>
                <c:pt idx="11">
                  <c:v>3.9055026459612351E-5</c:v>
                </c:pt>
                <c:pt idx="12">
                  <c:v>3.9055026459612351E-5</c:v>
                </c:pt>
                <c:pt idx="13">
                  <c:v>3.3157828732092541E-5</c:v>
                </c:pt>
                <c:pt idx="14">
                  <c:v>3.3157828732092541E-5</c:v>
                </c:pt>
                <c:pt idx="15">
                  <c:v>5.3937105630476034E-5</c:v>
                </c:pt>
                <c:pt idx="16">
                  <c:v>5.3937105630476034E-5</c:v>
                </c:pt>
                <c:pt idx="17">
                  <c:v>5.3937105630476034E-5</c:v>
                </c:pt>
                <c:pt idx="18">
                  <c:v>5.8860709393546823E-5</c:v>
                </c:pt>
                <c:pt idx="19">
                  <c:v>5.8860709393546823E-5</c:v>
                </c:pt>
                <c:pt idx="20">
                  <c:v>8.0752665108443488E-5</c:v>
                </c:pt>
                <c:pt idx="21">
                  <c:v>8.0752665108443488E-5</c:v>
                </c:pt>
                <c:pt idx="22">
                  <c:v>8.0752665108443488E-5</c:v>
                </c:pt>
                <c:pt idx="23">
                  <c:v>8.295020577105701E-5</c:v>
                </c:pt>
                <c:pt idx="24">
                  <c:v>8.295020577105701E-5</c:v>
                </c:pt>
                <c:pt idx="25">
                  <c:v>9.8110454646048979E-5</c:v>
                </c:pt>
                <c:pt idx="26">
                  <c:v>9.8110454646048979E-5</c:v>
                </c:pt>
                <c:pt idx="27">
                  <c:v>9.8110454646048979E-5</c:v>
                </c:pt>
                <c:pt idx="28">
                  <c:v>9.8110454646048979E-5</c:v>
                </c:pt>
                <c:pt idx="29">
                  <c:v>9.4716784255683797E-5</c:v>
                </c:pt>
                <c:pt idx="30">
                  <c:v>1.1354887322516925E-4</c:v>
                </c:pt>
                <c:pt idx="31">
                  <c:v>1.0706751911898003E-4</c:v>
                </c:pt>
                <c:pt idx="32">
                  <c:v>1.0706751911898003E-4</c:v>
                </c:pt>
                <c:pt idx="33">
                  <c:v>1.0706751911898003E-4</c:v>
                </c:pt>
                <c:pt idx="34">
                  <c:v>1.0706751911898003E-4</c:v>
                </c:pt>
                <c:pt idx="35">
                  <c:v>1.3463413679809386E-4</c:v>
                </c:pt>
                <c:pt idx="36">
                  <c:v>1.3463413679809386E-4</c:v>
                </c:pt>
                <c:pt idx="37">
                  <c:v>1.3463413679809386E-4</c:v>
                </c:pt>
                <c:pt idx="38">
                  <c:v>1.4047570058478803E-4</c:v>
                </c:pt>
                <c:pt idx="39">
                  <c:v>1.4047570058478803E-4</c:v>
                </c:pt>
                <c:pt idx="40">
                  <c:v>1.6150533021688698E-4</c:v>
                </c:pt>
                <c:pt idx="41">
                  <c:v>1.6150533021688698E-4</c:v>
                </c:pt>
                <c:pt idx="42">
                  <c:v>1.6150533021688698E-4</c:v>
                </c:pt>
                <c:pt idx="43">
                  <c:v>1.5418946699831287E-4</c:v>
                </c:pt>
                <c:pt idx="44">
                  <c:v>1.5418946699831287E-4</c:v>
                </c:pt>
                <c:pt idx="45">
                  <c:v>1.7118563592055159E-4</c:v>
                </c:pt>
                <c:pt idx="46">
                  <c:v>1.7118563592055159E-4</c:v>
                </c:pt>
                <c:pt idx="47">
                  <c:v>1.7118563592055159E-4</c:v>
                </c:pt>
                <c:pt idx="48">
                  <c:v>1.7613705665403521E-4</c:v>
                </c:pt>
                <c:pt idx="49">
                  <c:v>1.7613705665403521E-4</c:v>
                </c:pt>
                <c:pt idx="50">
                  <c:v>1.8884941213269819E-4</c:v>
                </c:pt>
                <c:pt idx="51">
                  <c:v>1.8884941213269819E-4</c:v>
                </c:pt>
                <c:pt idx="52">
                  <c:v>1.8884941213269819E-4</c:v>
                </c:pt>
                <c:pt idx="53">
                  <c:v>1.8884941213269819E-4</c:v>
                </c:pt>
                <c:pt idx="54">
                  <c:v>1.9229871646388904E-4</c:v>
                </c:pt>
                <c:pt idx="55">
                  <c:v>1.9104695279531172E-4</c:v>
                </c:pt>
                <c:pt idx="56">
                  <c:v>1.9104695279531172E-4</c:v>
                </c:pt>
                <c:pt idx="57">
                  <c:v>1.9104695279531172E-4</c:v>
                </c:pt>
                <c:pt idx="58">
                  <c:v>1.9302195769462259E-4</c:v>
                </c:pt>
                <c:pt idx="59">
                  <c:v>1.9302195769462259E-4</c:v>
                </c:pt>
                <c:pt idx="60">
                  <c:v>1.974726729606753E-4</c:v>
                </c:pt>
                <c:pt idx="61">
                  <c:v>1.974726729606753E-4</c:v>
                </c:pt>
                <c:pt idx="62">
                  <c:v>1.974726729606753E-4</c:v>
                </c:pt>
                <c:pt idx="63">
                  <c:v>1.9666598081870325E-4</c:v>
                </c:pt>
                <c:pt idx="64">
                  <c:v>1.9666598081870325E-4</c:v>
                </c:pt>
                <c:pt idx="65">
                  <c:v>1.973057711381983E-4</c:v>
                </c:pt>
                <c:pt idx="66">
                  <c:v>1.973057711381983E-4</c:v>
                </c:pt>
                <c:pt idx="67">
                  <c:v>1.973057711381983E-4</c:v>
                </c:pt>
                <c:pt idx="68">
                  <c:v>1.973057711381983E-4</c:v>
                </c:pt>
                <c:pt idx="69">
                  <c:v>1.9880788754049109E-4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5168"/>
        <c:axId val="146961920"/>
      </c:scatterChart>
      <c:valAx>
        <c:axId val="1469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Alpha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61920"/>
        <c:crosses val="autoZero"/>
        <c:crossBetween val="midCat"/>
      </c:valAx>
      <c:valAx>
        <c:axId val="146961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35168"/>
        <c:crosses val="autoZero"/>
        <c:crossBetween val="midCat"/>
      </c:valAx>
    </c:plotArea>
    <c:legend>
      <c:legendPos val="r"/>
      <c:legendEntry>
        <c:idx val="4"/>
        <c:delete val="1"/>
      </c:legendEntry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nowin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ilon65mph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iloff65mph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Model65mp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F76" sqref="F7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-7.976</v>
      </c>
      <c r="B2">
        <v>-3.1E-2</v>
      </c>
      <c r="C2">
        <v>-0.14199999999999999</v>
      </c>
      <c r="D2">
        <f>-C2</f>
        <v>0.14199999999999999</v>
      </c>
      <c r="E2">
        <v>3.484</v>
      </c>
      <c r="F2">
        <v>0.38900000000000001</v>
      </c>
      <c r="G2">
        <v>3.9260000000000002</v>
      </c>
      <c r="H2">
        <v>-0.126</v>
      </c>
    </row>
    <row r="3" spans="1:8" x14ac:dyDescent="0.25">
      <c r="A3">
        <v>-7.976</v>
      </c>
      <c r="B3">
        <v>-3.1E-2</v>
      </c>
      <c r="C3">
        <v>-0.14199999999999999</v>
      </c>
      <c r="D3">
        <f t="shared" ref="D3:D66" si="0">-C3</f>
        <v>0.14199999999999999</v>
      </c>
      <c r="E3">
        <v>3.484</v>
      </c>
      <c r="F3">
        <v>0.38900000000000001</v>
      </c>
      <c r="G3">
        <v>3.9260000000000002</v>
      </c>
      <c r="H3">
        <v>-0.126</v>
      </c>
    </row>
    <row r="4" spans="1:8" x14ac:dyDescent="0.25">
      <c r="A4">
        <v>-7.9740000000000002</v>
      </c>
      <c r="B4">
        <v>-0.02</v>
      </c>
      <c r="C4">
        <v>-7.6999999999999999E-2</v>
      </c>
      <c r="D4">
        <f t="shared" si="0"/>
        <v>7.6999999999999999E-2</v>
      </c>
      <c r="E4">
        <v>3.4689999999999999</v>
      </c>
      <c r="F4">
        <v>2.1999999999999999E-2</v>
      </c>
      <c r="G4">
        <v>0.623</v>
      </c>
      <c r="H4">
        <v>5.8000000000000003E-2</v>
      </c>
    </row>
    <row r="5" spans="1:8" x14ac:dyDescent="0.25">
      <c r="A5">
        <v>-7.9740000000000002</v>
      </c>
      <c r="B5">
        <v>-0.02</v>
      </c>
      <c r="C5">
        <v>-7.6999999999999999E-2</v>
      </c>
      <c r="D5">
        <f t="shared" si="0"/>
        <v>7.6999999999999999E-2</v>
      </c>
      <c r="E5">
        <v>3.4689999999999999</v>
      </c>
      <c r="F5">
        <v>2.1999999999999999E-2</v>
      </c>
      <c r="G5">
        <v>0.623</v>
      </c>
      <c r="H5">
        <v>5.8000000000000003E-2</v>
      </c>
    </row>
    <row r="6" spans="1:8" x14ac:dyDescent="0.25">
      <c r="A6">
        <v>-7.9740000000000002</v>
      </c>
      <c r="B6">
        <v>-0.02</v>
      </c>
      <c r="C6">
        <v>-7.6999999999999999E-2</v>
      </c>
      <c r="D6">
        <f t="shared" si="0"/>
        <v>7.6999999999999999E-2</v>
      </c>
      <c r="E6">
        <v>3.4689999999999999</v>
      </c>
      <c r="F6">
        <v>2.1999999999999999E-2</v>
      </c>
      <c r="G6">
        <v>0.623</v>
      </c>
      <c r="H6">
        <v>5.8000000000000003E-2</v>
      </c>
    </row>
    <row r="7" spans="1:8" x14ac:dyDescent="0.25">
      <c r="A7">
        <v>-5.9989999999999997</v>
      </c>
      <c r="B7">
        <v>-2.7E-2</v>
      </c>
      <c r="C7">
        <v>6.7000000000000004E-2</v>
      </c>
      <c r="D7">
        <f t="shared" si="0"/>
        <v>-6.7000000000000004E-2</v>
      </c>
      <c r="E7">
        <v>1.7969999999999999</v>
      </c>
      <c r="F7">
        <v>8.6999999999999994E-2</v>
      </c>
      <c r="G7">
        <v>1.331</v>
      </c>
      <c r="H7">
        <v>-0.33400000000000002</v>
      </c>
    </row>
    <row r="8" spans="1:8" x14ac:dyDescent="0.25">
      <c r="A8">
        <v>-5.9989999999999997</v>
      </c>
      <c r="B8">
        <v>-2.7E-2</v>
      </c>
      <c r="C8">
        <v>6.7000000000000004E-2</v>
      </c>
      <c r="D8">
        <f t="shared" si="0"/>
        <v>-6.7000000000000004E-2</v>
      </c>
      <c r="E8">
        <v>1.7969999999999999</v>
      </c>
      <c r="F8">
        <v>8.6999999999999994E-2</v>
      </c>
      <c r="G8">
        <v>1.331</v>
      </c>
      <c r="H8">
        <v>-0.33400000000000002</v>
      </c>
    </row>
    <row r="9" spans="1:8" x14ac:dyDescent="0.25">
      <c r="A9">
        <v>-5.9989999999999997</v>
      </c>
      <c r="B9">
        <v>-2.7E-2</v>
      </c>
      <c r="C9">
        <v>6.7000000000000004E-2</v>
      </c>
      <c r="D9">
        <f t="shared" si="0"/>
        <v>-6.7000000000000004E-2</v>
      </c>
      <c r="E9">
        <v>1.7969999999999999</v>
      </c>
      <c r="F9">
        <v>8.6999999999999994E-2</v>
      </c>
      <c r="G9">
        <v>1.331</v>
      </c>
      <c r="H9">
        <v>-0.33400000000000002</v>
      </c>
    </row>
    <row r="10" spans="1:8" x14ac:dyDescent="0.25">
      <c r="A10">
        <v>-5.9930000000000003</v>
      </c>
      <c r="B10">
        <v>-5.0999999999999997E-2</v>
      </c>
      <c r="C10">
        <v>9.7000000000000003E-2</v>
      </c>
      <c r="D10">
        <f t="shared" si="0"/>
        <v>-9.7000000000000003E-2</v>
      </c>
      <c r="E10">
        <v>1.748</v>
      </c>
      <c r="F10">
        <v>1E-3</v>
      </c>
      <c r="G10">
        <v>0.79700000000000004</v>
      </c>
      <c r="H10">
        <v>-0.311</v>
      </c>
    </row>
    <row r="11" spans="1:8" x14ac:dyDescent="0.25">
      <c r="A11">
        <v>-5.9930000000000003</v>
      </c>
      <c r="B11">
        <v>-5.0999999999999997E-2</v>
      </c>
      <c r="C11">
        <v>9.7000000000000003E-2</v>
      </c>
      <c r="D11">
        <f t="shared" si="0"/>
        <v>-9.7000000000000003E-2</v>
      </c>
      <c r="E11">
        <v>1.748</v>
      </c>
      <c r="F11">
        <v>1E-3</v>
      </c>
      <c r="G11">
        <v>0.79700000000000004</v>
      </c>
      <c r="H11">
        <v>-0.311</v>
      </c>
    </row>
    <row r="12" spans="1:8" x14ac:dyDescent="0.25">
      <c r="A12">
        <v>-3.9950000000000001</v>
      </c>
      <c r="B12">
        <v>-2E-3</v>
      </c>
      <c r="C12">
        <v>-1.2999999999999999E-2</v>
      </c>
      <c r="D12">
        <f t="shared" si="0"/>
        <v>1.2999999999999999E-2</v>
      </c>
      <c r="E12">
        <v>-0.68</v>
      </c>
      <c r="F12">
        <v>2.5999999999999999E-2</v>
      </c>
      <c r="G12">
        <v>0.68100000000000005</v>
      </c>
      <c r="H12">
        <v>0.01</v>
      </c>
    </row>
    <row r="13" spans="1:8" x14ac:dyDescent="0.25">
      <c r="A13">
        <v>-3.9950000000000001</v>
      </c>
      <c r="B13">
        <v>-2E-3</v>
      </c>
      <c r="C13">
        <v>-1.2999999999999999E-2</v>
      </c>
      <c r="D13">
        <f t="shared" si="0"/>
        <v>1.2999999999999999E-2</v>
      </c>
      <c r="E13">
        <v>-0.68</v>
      </c>
      <c r="F13">
        <v>2.5999999999999999E-2</v>
      </c>
      <c r="G13">
        <v>0.68100000000000005</v>
      </c>
      <c r="H13">
        <v>0.01</v>
      </c>
    </row>
    <row r="14" spans="1:8" x14ac:dyDescent="0.25">
      <c r="A14">
        <v>-3.9950000000000001</v>
      </c>
      <c r="B14">
        <v>-2E-3</v>
      </c>
      <c r="C14">
        <v>-1.2999999999999999E-2</v>
      </c>
      <c r="D14">
        <f t="shared" si="0"/>
        <v>1.2999999999999999E-2</v>
      </c>
      <c r="E14">
        <v>-0.68</v>
      </c>
      <c r="F14">
        <v>2.5999999999999999E-2</v>
      </c>
      <c r="G14">
        <v>0.68100000000000005</v>
      </c>
      <c r="H14">
        <v>0.01</v>
      </c>
    </row>
    <row r="15" spans="1:8" x14ac:dyDescent="0.25">
      <c r="A15">
        <v>-3.99</v>
      </c>
      <c r="B15">
        <v>-1.0999999999999999E-2</v>
      </c>
      <c r="C15">
        <v>-5.5E-2</v>
      </c>
      <c r="D15">
        <f t="shared" si="0"/>
        <v>5.5E-2</v>
      </c>
      <c r="E15">
        <v>-1.5960000000000001</v>
      </c>
      <c r="F15">
        <v>2.1999999999999999E-2</v>
      </c>
      <c r="G15">
        <v>0.52100000000000002</v>
      </c>
      <c r="H15">
        <v>-1.0999999999999999E-2</v>
      </c>
    </row>
    <row r="16" spans="1:8" x14ac:dyDescent="0.25">
      <c r="A16">
        <v>-3.99</v>
      </c>
      <c r="B16">
        <v>-1.0999999999999999E-2</v>
      </c>
      <c r="C16">
        <v>-5.5E-2</v>
      </c>
      <c r="D16">
        <f t="shared" si="0"/>
        <v>5.5E-2</v>
      </c>
      <c r="E16">
        <v>-1.5960000000000001</v>
      </c>
      <c r="F16">
        <v>2.1999999999999999E-2</v>
      </c>
      <c r="G16">
        <v>0.52100000000000002</v>
      </c>
      <c r="H16">
        <v>-1.0999999999999999E-2</v>
      </c>
    </row>
    <row r="17" spans="1:8" x14ac:dyDescent="0.25">
      <c r="A17">
        <v>-2.032</v>
      </c>
      <c r="B17">
        <v>-3.9E-2</v>
      </c>
      <c r="C17">
        <v>0.05</v>
      </c>
      <c r="D17">
        <f t="shared" si="0"/>
        <v>-0.05</v>
      </c>
      <c r="E17">
        <v>1.2869999999999999</v>
      </c>
      <c r="F17">
        <v>5.1999999999999998E-2</v>
      </c>
      <c r="G17">
        <v>1.0229999999999999</v>
      </c>
      <c r="H17">
        <v>-0.223</v>
      </c>
    </row>
    <row r="18" spans="1:8" x14ac:dyDescent="0.25">
      <c r="A18">
        <v>-2.032</v>
      </c>
      <c r="B18">
        <v>-3.9E-2</v>
      </c>
      <c r="C18">
        <v>0.05</v>
      </c>
      <c r="D18">
        <f t="shared" si="0"/>
        <v>-0.05</v>
      </c>
      <c r="E18">
        <v>1.2869999999999999</v>
      </c>
      <c r="F18">
        <v>5.1999999999999998E-2</v>
      </c>
      <c r="G18">
        <v>1.0229999999999999</v>
      </c>
      <c r="H18">
        <v>-0.223</v>
      </c>
    </row>
    <row r="19" spans="1:8" x14ac:dyDescent="0.25">
      <c r="A19">
        <v>-2.032</v>
      </c>
      <c r="B19">
        <v>-3.9E-2</v>
      </c>
      <c r="C19">
        <v>0.05</v>
      </c>
      <c r="D19">
        <f t="shared" si="0"/>
        <v>-0.05</v>
      </c>
      <c r="E19">
        <v>1.2869999999999999</v>
      </c>
      <c r="F19">
        <v>5.1999999999999998E-2</v>
      </c>
      <c r="G19">
        <v>1.0229999999999999</v>
      </c>
      <c r="H19">
        <v>-0.223</v>
      </c>
    </row>
    <row r="20" spans="1:8" x14ac:dyDescent="0.25">
      <c r="A20">
        <v>-2.032</v>
      </c>
      <c r="B20">
        <v>-3.9E-2</v>
      </c>
      <c r="C20">
        <v>0.05</v>
      </c>
      <c r="D20">
        <f t="shared" si="0"/>
        <v>-0.05</v>
      </c>
      <c r="E20">
        <v>1.2869999999999999</v>
      </c>
      <c r="F20">
        <v>5.1999999999999998E-2</v>
      </c>
      <c r="G20">
        <v>1.0229999999999999</v>
      </c>
      <c r="H20">
        <v>-0.223</v>
      </c>
    </row>
    <row r="21" spans="1:8" x14ac:dyDescent="0.25">
      <c r="A21">
        <v>-2.032</v>
      </c>
      <c r="B21">
        <v>-3.9E-2</v>
      </c>
      <c r="C21">
        <v>0.05</v>
      </c>
      <c r="D21">
        <f t="shared" si="0"/>
        <v>-0.05</v>
      </c>
      <c r="E21">
        <v>1.2869999999999999</v>
      </c>
      <c r="F21">
        <v>5.1999999999999998E-2</v>
      </c>
      <c r="G21">
        <v>1.0229999999999999</v>
      </c>
      <c r="H21">
        <v>-0.223</v>
      </c>
    </row>
    <row r="22" spans="1:8" x14ac:dyDescent="0.25">
      <c r="A22">
        <v>-1.7000000000000001E-2</v>
      </c>
      <c r="B22">
        <v>-0.16600000000000001</v>
      </c>
      <c r="C22">
        <v>5.5E-2</v>
      </c>
      <c r="D22">
        <f t="shared" si="0"/>
        <v>-5.5E-2</v>
      </c>
      <c r="E22">
        <v>-0.60199999999999998</v>
      </c>
      <c r="F22">
        <v>-1.2999999999999999E-2</v>
      </c>
      <c r="G22">
        <v>0.65700000000000003</v>
      </c>
      <c r="H22">
        <v>-0.08</v>
      </c>
    </row>
    <row r="23" spans="1:8" x14ac:dyDescent="0.25">
      <c r="A23">
        <v>-1.7000000000000001E-2</v>
      </c>
      <c r="B23">
        <v>-0.16600000000000001</v>
      </c>
      <c r="C23">
        <v>5.5E-2</v>
      </c>
      <c r="D23">
        <f t="shared" si="0"/>
        <v>-5.5E-2</v>
      </c>
      <c r="E23">
        <v>-0.60199999999999998</v>
      </c>
      <c r="F23">
        <v>-1.2999999999999999E-2</v>
      </c>
      <c r="G23">
        <v>0.65700000000000003</v>
      </c>
      <c r="H23">
        <v>-0.08</v>
      </c>
    </row>
    <row r="24" spans="1:8" x14ac:dyDescent="0.25">
      <c r="A24">
        <v>-1.7000000000000001E-2</v>
      </c>
      <c r="B24">
        <v>-0.16600000000000001</v>
      </c>
      <c r="C24">
        <v>5.5E-2</v>
      </c>
      <c r="D24">
        <f t="shared" si="0"/>
        <v>-5.5E-2</v>
      </c>
      <c r="E24">
        <v>-0.60199999999999998</v>
      </c>
      <c r="F24">
        <v>-1.2999999999999999E-2</v>
      </c>
      <c r="G24">
        <v>0.65700000000000003</v>
      </c>
      <c r="H24">
        <v>-0.08</v>
      </c>
    </row>
    <row r="25" spans="1:8" x14ac:dyDescent="0.25">
      <c r="A25">
        <v>-1.4E-2</v>
      </c>
      <c r="B25">
        <v>-0.16600000000000001</v>
      </c>
      <c r="C25">
        <v>2.5000000000000001E-2</v>
      </c>
      <c r="D25">
        <f t="shared" si="0"/>
        <v>-2.5000000000000001E-2</v>
      </c>
      <c r="E25">
        <v>-0.43099999999999999</v>
      </c>
      <c r="F25">
        <v>7.8E-2</v>
      </c>
      <c r="G25">
        <v>1.524</v>
      </c>
      <c r="H25">
        <v>-0.11899999999999999</v>
      </c>
    </row>
    <row r="26" spans="1:8" x14ac:dyDescent="0.25">
      <c r="A26">
        <v>-1.4E-2</v>
      </c>
      <c r="B26">
        <v>-0.16600000000000001</v>
      </c>
      <c r="C26">
        <v>2.5000000000000001E-2</v>
      </c>
      <c r="D26">
        <f t="shared" si="0"/>
        <v>-2.5000000000000001E-2</v>
      </c>
      <c r="E26">
        <v>-0.43099999999999999</v>
      </c>
      <c r="F26">
        <v>7.8E-2</v>
      </c>
      <c r="G26">
        <v>1.524</v>
      </c>
      <c r="H26">
        <v>-0.11899999999999999</v>
      </c>
    </row>
    <row r="27" spans="1:8" x14ac:dyDescent="0.25">
      <c r="A27">
        <v>1.9510000000000001</v>
      </c>
      <c r="B27">
        <v>8.0000000000000002E-3</v>
      </c>
      <c r="C27">
        <v>-4.4999999999999998E-2</v>
      </c>
      <c r="D27">
        <f t="shared" si="0"/>
        <v>4.4999999999999998E-2</v>
      </c>
      <c r="E27">
        <v>0.59399999999999997</v>
      </c>
      <c r="F27">
        <v>4.9000000000000002E-2</v>
      </c>
      <c r="G27">
        <v>1.151</v>
      </c>
      <c r="H27">
        <v>-5.2999999999999999E-2</v>
      </c>
    </row>
    <row r="28" spans="1:8" x14ac:dyDescent="0.25">
      <c r="A28">
        <v>1.9510000000000001</v>
      </c>
      <c r="B28">
        <v>8.0000000000000002E-3</v>
      </c>
      <c r="C28">
        <v>-4.4999999999999998E-2</v>
      </c>
      <c r="D28">
        <f t="shared" si="0"/>
        <v>4.4999999999999998E-2</v>
      </c>
      <c r="E28">
        <v>0.59399999999999997</v>
      </c>
      <c r="F28">
        <v>4.9000000000000002E-2</v>
      </c>
      <c r="G28">
        <v>1.151</v>
      </c>
      <c r="H28">
        <v>-5.2999999999999999E-2</v>
      </c>
    </row>
    <row r="29" spans="1:8" x14ac:dyDescent="0.25">
      <c r="A29">
        <v>1.956</v>
      </c>
      <c r="B29">
        <v>1E-3</v>
      </c>
      <c r="C29">
        <v>-4.2000000000000003E-2</v>
      </c>
      <c r="D29">
        <f t="shared" si="0"/>
        <v>4.2000000000000003E-2</v>
      </c>
      <c r="E29">
        <v>0.57199999999999995</v>
      </c>
      <c r="F29">
        <v>4.2000000000000003E-2</v>
      </c>
      <c r="G29">
        <v>0.91400000000000003</v>
      </c>
      <c r="H29">
        <v>-6.0999999999999999E-2</v>
      </c>
    </row>
    <row r="30" spans="1:8" x14ac:dyDescent="0.25">
      <c r="A30">
        <v>1.956</v>
      </c>
      <c r="B30">
        <v>1E-3</v>
      </c>
      <c r="C30">
        <v>-4.2000000000000003E-2</v>
      </c>
      <c r="D30">
        <f t="shared" si="0"/>
        <v>4.2000000000000003E-2</v>
      </c>
      <c r="E30">
        <v>0.57199999999999995</v>
      </c>
      <c r="F30">
        <v>4.2000000000000003E-2</v>
      </c>
      <c r="G30">
        <v>0.91400000000000003</v>
      </c>
      <c r="H30">
        <v>-6.0999999999999999E-2</v>
      </c>
    </row>
    <row r="31" spans="1:8" x14ac:dyDescent="0.25">
      <c r="A31">
        <v>1.956</v>
      </c>
      <c r="B31">
        <v>1E-3</v>
      </c>
      <c r="C31">
        <v>-4.2000000000000003E-2</v>
      </c>
      <c r="D31">
        <f t="shared" si="0"/>
        <v>4.2000000000000003E-2</v>
      </c>
      <c r="E31">
        <v>0.57199999999999995</v>
      </c>
      <c r="F31">
        <v>4.2000000000000003E-2</v>
      </c>
      <c r="G31">
        <v>0.91400000000000003</v>
      </c>
      <c r="H31">
        <v>-6.0999999999999999E-2</v>
      </c>
    </row>
    <row r="32" spans="1:8" x14ac:dyDescent="0.25">
      <c r="A32">
        <v>4</v>
      </c>
      <c r="B32">
        <v>-0.01</v>
      </c>
      <c r="C32">
        <v>-3.9E-2</v>
      </c>
      <c r="D32">
        <f t="shared" si="0"/>
        <v>3.9E-2</v>
      </c>
      <c r="E32">
        <v>-1.4690000000000001</v>
      </c>
      <c r="F32">
        <v>-8.5000000000000006E-2</v>
      </c>
      <c r="G32">
        <v>-0.71499999999999997</v>
      </c>
      <c r="H32">
        <v>0.06</v>
      </c>
    </row>
    <row r="33" spans="1:8" x14ac:dyDescent="0.25">
      <c r="A33">
        <v>4</v>
      </c>
      <c r="B33">
        <v>-0.01</v>
      </c>
      <c r="C33">
        <v>-3.9E-2</v>
      </c>
      <c r="D33">
        <f t="shared" si="0"/>
        <v>3.9E-2</v>
      </c>
      <c r="E33">
        <v>-1.4690000000000001</v>
      </c>
      <c r="F33">
        <v>-8.5000000000000006E-2</v>
      </c>
      <c r="G33">
        <v>-0.71499999999999997</v>
      </c>
      <c r="H33">
        <v>0.06</v>
      </c>
    </row>
    <row r="34" spans="1:8" x14ac:dyDescent="0.25">
      <c r="A34">
        <v>4.0389999999999997</v>
      </c>
      <c r="B34">
        <v>8.9999999999999993E-3</v>
      </c>
      <c r="C34">
        <v>-6.6000000000000003E-2</v>
      </c>
      <c r="D34">
        <f t="shared" si="0"/>
        <v>6.6000000000000003E-2</v>
      </c>
      <c r="E34">
        <v>-2.085</v>
      </c>
      <c r="F34">
        <v>1E-3</v>
      </c>
      <c r="G34">
        <v>0.25</v>
      </c>
      <c r="H34">
        <v>2.5999999999999999E-2</v>
      </c>
    </row>
    <row r="35" spans="1:8" x14ac:dyDescent="0.25">
      <c r="A35">
        <v>4.0389999999999997</v>
      </c>
      <c r="B35">
        <v>8.9999999999999993E-3</v>
      </c>
      <c r="C35">
        <v>-6.6000000000000003E-2</v>
      </c>
      <c r="D35">
        <f t="shared" si="0"/>
        <v>6.6000000000000003E-2</v>
      </c>
      <c r="E35">
        <v>-2.085</v>
      </c>
      <c r="F35">
        <v>1E-3</v>
      </c>
      <c r="G35">
        <v>0.25</v>
      </c>
      <c r="H35">
        <v>2.5999999999999999E-2</v>
      </c>
    </row>
    <row r="36" spans="1:8" x14ac:dyDescent="0.25">
      <c r="A36">
        <v>4.0389999999999997</v>
      </c>
      <c r="B36">
        <v>8.9999999999999993E-3</v>
      </c>
      <c r="C36">
        <v>-6.6000000000000003E-2</v>
      </c>
      <c r="D36">
        <f t="shared" si="0"/>
        <v>6.6000000000000003E-2</v>
      </c>
      <c r="E36">
        <v>-2.085</v>
      </c>
      <c r="F36">
        <v>1E-3</v>
      </c>
      <c r="G36">
        <v>0.25</v>
      </c>
      <c r="H36">
        <v>2.5999999999999999E-2</v>
      </c>
    </row>
    <row r="37" spans="1:8" x14ac:dyDescent="0.25">
      <c r="A37">
        <v>5.9909999999999997</v>
      </c>
      <c r="B37">
        <v>-1.0999999999999999E-2</v>
      </c>
      <c r="C37">
        <v>-0.19900000000000001</v>
      </c>
      <c r="D37">
        <f t="shared" si="0"/>
        <v>0.19900000000000001</v>
      </c>
      <c r="E37">
        <v>-4.4989999999999997</v>
      </c>
      <c r="F37">
        <v>3.7999999999999999E-2</v>
      </c>
      <c r="G37">
        <v>1.349</v>
      </c>
      <c r="H37">
        <v>-0.307</v>
      </c>
    </row>
    <row r="38" spans="1:8" x14ac:dyDescent="0.25">
      <c r="A38">
        <v>5.9909999999999997</v>
      </c>
      <c r="B38">
        <v>-1.0999999999999999E-2</v>
      </c>
      <c r="C38">
        <v>-0.19900000000000001</v>
      </c>
      <c r="D38">
        <f t="shared" si="0"/>
        <v>0.19900000000000001</v>
      </c>
      <c r="E38">
        <v>-4.4989999999999997</v>
      </c>
      <c r="F38">
        <v>3.7999999999999999E-2</v>
      </c>
      <c r="G38">
        <v>1.349</v>
      </c>
      <c r="H38">
        <v>-0.307</v>
      </c>
    </row>
    <row r="39" spans="1:8" x14ac:dyDescent="0.25">
      <c r="A39">
        <v>5.9950000000000001</v>
      </c>
      <c r="B39">
        <v>-3.0000000000000001E-3</v>
      </c>
      <c r="C39">
        <v>-0.17299999999999999</v>
      </c>
      <c r="D39">
        <f t="shared" si="0"/>
        <v>0.17299999999999999</v>
      </c>
      <c r="E39">
        <v>-4.4589999999999996</v>
      </c>
      <c r="F39">
        <v>-6.6000000000000003E-2</v>
      </c>
      <c r="G39">
        <v>0.54900000000000004</v>
      </c>
      <c r="H39">
        <v>-0.16900000000000001</v>
      </c>
    </row>
    <row r="40" spans="1:8" x14ac:dyDescent="0.25">
      <c r="A40">
        <v>5.9950000000000001</v>
      </c>
      <c r="B40">
        <v>-3.0000000000000001E-3</v>
      </c>
      <c r="C40">
        <v>-0.17299999999999999</v>
      </c>
      <c r="D40">
        <f t="shared" si="0"/>
        <v>0.17299999999999999</v>
      </c>
      <c r="E40">
        <v>-4.4589999999999996</v>
      </c>
      <c r="F40">
        <v>-6.6000000000000003E-2</v>
      </c>
      <c r="G40">
        <v>0.54900000000000004</v>
      </c>
      <c r="H40">
        <v>-0.16900000000000001</v>
      </c>
    </row>
    <row r="41" spans="1:8" x14ac:dyDescent="0.25">
      <c r="A41">
        <v>5.9950000000000001</v>
      </c>
      <c r="B41">
        <v>-3.0000000000000001E-3</v>
      </c>
      <c r="C41">
        <v>-0.17299999999999999</v>
      </c>
      <c r="D41">
        <f t="shared" si="0"/>
        <v>0.17299999999999999</v>
      </c>
      <c r="E41">
        <v>-4.4589999999999996</v>
      </c>
      <c r="F41">
        <v>-6.6000000000000003E-2</v>
      </c>
      <c r="G41">
        <v>0.54900000000000004</v>
      </c>
      <c r="H41">
        <v>-0.16900000000000001</v>
      </c>
    </row>
    <row r="42" spans="1:8" x14ac:dyDescent="0.25">
      <c r="A42">
        <v>7.968</v>
      </c>
      <c r="B42">
        <v>-1.7999999999999999E-2</v>
      </c>
      <c r="C42">
        <v>-0.29899999999999999</v>
      </c>
      <c r="D42">
        <f t="shared" si="0"/>
        <v>0.29899999999999999</v>
      </c>
      <c r="E42">
        <v>-8.3699999999999992</v>
      </c>
      <c r="F42">
        <v>-2.7E-2</v>
      </c>
      <c r="G42">
        <v>0.129</v>
      </c>
      <c r="H42">
        <v>-0.107</v>
      </c>
    </row>
    <row r="43" spans="1:8" x14ac:dyDescent="0.25">
      <c r="A43">
        <v>7.9749999999999996</v>
      </c>
      <c r="B43">
        <v>-7.1999999999999995E-2</v>
      </c>
      <c r="C43">
        <v>-0.26700000000000002</v>
      </c>
      <c r="D43">
        <f t="shared" si="0"/>
        <v>0.26700000000000002</v>
      </c>
      <c r="E43">
        <v>-7.2889999999999997</v>
      </c>
      <c r="F43">
        <v>6.0999999999999999E-2</v>
      </c>
      <c r="G43">
        <v>1.2929999999999999</v>
      </c>
      <c r="H43">
        <v>-0.115</v>
      </c>
    </row>
    <row r="44" spans="1:8" x14ac:dyDescent="0.25">
      <c r="A44">
        <v>7.9749999999999996</v>
      </c>
      <c r="B44">
        <v>-7.1999999999999995E-2</v>
      </c>
      <c r="C44">
        <v>-0.26700000000000002</v>
      </c>
      <c r="D44">
        <f t="shared" si="0"/>
        <v>0.26700000000000002</v>
      </c>
      <c r="E44">
        <v>-7.2889999999999997</v>
      </c>
      <c r="F44">
        <v>6.0999999999999999E-2</v>
      </c>
      <c r="G44">
        <v>1.2929999999999999</v>
      </c>
      <c r="H44">
        <v>-0.115</v>
      </c>
    </row>
    <row r="45" spans="1:8" x14ac:dyDescent="0.25">
      <c r="A45">
        <v>7.9749999999999996</v>
      </c>
      <c r="B45">
        <v>-7.1999999999999995E-2</v>
      </c>
      <c r="C45">
        <v>-0.26700000000000002</v>
      </c>
      <c r="D45">
        <f t="shared" si="0"/>
        <v>0.26700000000000002</v>
      </c>
      <c r="E45">
        <v>-7.2889999999999997</v>
      </c>
      <c r="F45">
        <v>6.0999999999999999E-2</v>
      </c>
      <c r="G45">
        <v>1.2929999999999999</v>
      </c>
      <c r="H45">
        <v>-0.115</v>
      </c>
    </row>
    <row r="46" spans="1:8" x14ac:dyDescent="0.25">
      <c r="A46">
        <v>7.9749999999999996</v>
      </c>
      <c r="B46">
        <v>-7.1999999999999995E-2</v>
      </c>
      <c r="C46">
        <v>-0.26700000000000002</v>
      </c>
      <c r="D46">
        <f t="shared" si="0"/>
        <v>0.26700000000000002</v>
      </c>
      <c r="E46">
        <v>-7.2889999999999997</v>
      </c>
      <c r="F46">
        <v>6.0999999999999999E-2</v>
      </c>
      <c r="G46">
        <v>1.2929999999999999</v>
      </c>
      <c r="H46">
        <v>-0.115</v>
      </c>
    </row>
    <row r="47" spans="1:8" x14ac:dyDescent="0.25">
      <c r="A47">
        <v>10.02</v>
      </c>
      <c r="B47">
        <v>-2.1999999999999999E-2</v>
      </c>
      <c r="C47">
        <v>-0.42499999999999999</v>
      </c>
      <c r="D47">
        <f t="shared" si="0"/>
        <v>0.42499999999999999</v>
      </c>
      <c r="E47">
        <v>-10.71</v>
      </c>
      <c r="F47">
        <v>1.7000000000000001E-2</v>
      </c>
      <c r="G47">
        <v>0.54200000000000004</v>
      </c>
      <c r="H47">
        <v>-0.127</v>
      </c>
    </row>
    <row r="48" spans="1:8" x14ac:dyDescent="0.25">
      <c r="A48">
        <v>10.02</v>
      </c>
      <c r="B48">
        <v>-2.1999999999999999E-2</v>
      </c>
      <c r="C48">
        <v>-0.42499999999999999</v>
      </c>
      <c r="D48">
        <f t="shared" si="0"/>
        <v>0.42499999999999999</v>
      </c>
      <c r="E48">
        <v>-10.71</v>
      </c>
      <c r="F48">
        <v>1.7000000000000001E-2</v>
      </c>
      <c r="G48">
        <v>0.54200000000000004</v>
      </c>
      <c r="H48">
        <v>-0.127</v>
      </c>
    </row>
    <row r="49" spans="1:8" x14ac:dyDescent="0.25">
      <c r="A49">
        <v>10.048999999999999</v>
      </c>
      <c r="B49">
        <v>-5.2999999999999999E-2</v>
      </c>
      <c r="C49">
        <v>-0.33</v>
      </c>
      <c r="D49">
        <f t="shared" si="0"/>
        <v>0.33</v>
      </c>
      <c r="E49">
        <v>-9.6750000000000007</v>
      </c>
      <c r="F49">
        <v>-3.3000000000000002E-2</v>
      </c>
      <c r="G49">
        <v>0.35499999999999998</v>
      </c>
      <c r="H49">
        <v>-8.2000000000000003E-2</v>
      </c>
    </row>
    <row r="50" spans="1:8" x14ac:dyDescent="0.25">
      <c r="A50">
        <v>10.048999999999999</v>
      </c>
      <c r="B50">
        <v>-5.2999999999999999E-2</v>
      </c>
      <c r="C50">
        <v>-0.33</v>
      </c>
      <c r="D50">
        <f t="shared" si="0"/>
        <v>0.33</v>
      </c>
      <c r="E50">
        <v>-9.6750000000000007</v>
      </c>
      <c r="F50">
        <v>-3.3000000000000002E-2</v>
      </c>
      <c r="G50">
        <v>0.35499999999999998</v>
      </c>
      <c r="H50">
        <v>-8.2000000000000003E-2</v>
      </c>
    </row>
    <row r="51" spans="1:8" x14ac:dyDescent="0.25">
      <c r="A51">
        <v>10.048999999999999</v>
      </c>
      <c r="B51">
        <v>-5.2999999999999999E-2</v>
      </c>
      <c r="C51">
        <v>-0.33</v>
      </c>
      <c r="D51">
        <f t="shared" si="0"/>
        <v>0.33</v>
      </c>
      <c r="E51">
        <v>-9.6750000000000007</v>
      </c>
      <c r="F51">
        <v>-3.3000000000000002E-2</v>
      </c>
      <c r="G51">
        <v>0.35499999999999998</v>
      </c>
      <c r="H51">
        <v>-8.2000000000000003E-2</v>
      </c>
    </row>
    <row r="52" spans="1:8" x14ac:dyDescent="0.25">
      <c r="A52">
        <v>11.957000000000001</v>
      </c>
      <c r="B52">
        <v>0.05</v>
      </c>
      <c r="C52">
        <v>-0.46500000000000002</v>
      </c>
      <c r="D52">
        <f t="shared" si="0"/>
        <v>0.46500000000000002</v>
      </c>
      <c r="E52">
        <v>-9.2240000000000002</v>
      </c>
      <c r="F52">
        <v>4.2999999999999997E-2</v>
      </c>
      <c r="G52">
        <v>1.7130000000000001</v>
      </c>
      <c r="H52">
        <v>-0.124</v>
      </c>
    </row>
    <row r="53" spans="1:8" x14ac:dyDescent="0.25">
      <c r="A53">
        <v>11.957000000000001</v>
      </c>
      <c r="B53">
        <v>0.05</v>
      </c>
      <c r="C53">
        <v>-0.46500000000000002</v>
      </c>
      <c r="D53">
        <f t="shared" si="0"/>
        <v>0.46500000000000002</v>
      </c>
      <c r="E53">
        <v>-9.2240000000000002</v>
      </c>
      <c r="F53">
        <v>4.2999999999999997E-2</v>
      </c>
      <c r="G53">
        <v>1.7130000000000001</v>
      </c>
      <c r="H53">
        <v>-0.124</v>
      </c>
    </row>
    <row r="54" spans="1:8" x14ac:dyDescent="0.25">
      <c r="A54">
        <v>11.973000000000001</v>
      </c>
      <c r="B54">
        <v>1.7999999999999999E-2</v>
      </c>
      <c r="C54">
        <v>-0.42299999999999999</v>
      </c>
      <c r="D54">
        <f t="shared" si="0"/>
        <v>0.42299999999999999</v>
      </c>
      <c r="E54">
        <v>-8.8230000000000004</v>
      </c>
      <c r="F54">
        <v>-0.11899999999999999</v>
      </c>
      <c r="G54">
        <v>0.14399999999999999</v>
      </c>
      <c r="H54">
        <v>-3.9E-2</v>
      </c>
    </row>
    <row r="55" spans="1:8" x14ac:dyDescent="0.25">
      <c r="A55">
        <v>11.973000000000001</v>
      </c>
      <c r="B55">
        <v>1.7999999999999999E-2</v>
      </c>
      <c r="C55">
        <v>-0.42299999999999999</v>
      </c>
      <c r="D55">
        <f t="shared" si="0"/>
        <v>0.42299999999999999</v>
      </c>
      <c r="E55">
        <v>-8.8230000000000004</v>
      </c>
      <c r="F55">
        <v>-0.11899999999999999</v>
      </c>
      <c r="G55">
        <v>0.14399999999999999</v>
      </c>
      <c r="H55">
        <v>-3.9E-2</v>
      </c>
    </row>
    <row r="56" spans="1:8" x14ac:dyDescent="0.25">
      <c r="A56">
        <v>11.973000000000001</v>
      </c>
      <c r="B56">
        <v>1.7999999999999999E-2</v>
      </c>
      <c r="C56">
        <v>-0.42299999999999999</v>
      </c>
      <c r="D56">
        <f t="shared" si="0"/>
        <v>0.42299999999999999</v>
      </c>
      <c r="E56">
        <v>-8.8230000000000004</v>
      </c>
      <c r="F56">
        <v>-0.11899999999999999</v>
      </c>
      <c r="G56">
        <v>0.14399999999999999</v>
      </c>
      <c r="H56">
        <v>-3.9E-2</v>
      </c>
    </row>
    <row r="57" spans="1:8" x14ac:dyDescent="0.25">
      <c r="A57">
        <v>14</v>
      </c>
      <c r="B57">
        <v>8.7999999999999995E-2</v>
      </c>
      <c r="C57">
        <v>-0.52400000000000002</v>
      </c>
      <c r="D57">
        <f t="shared" si="0"/>
        <v>0.52400000000000002</v>
      </c>
      <c r="E57">
        <v>-13.256</v>
      </c>
      <c r="F57">
        <v>-0.04</v>
      </c>
      <c r="G57">
        <v>-3.3000000000000002E-2</v>
      </c>
      <c r="H57">
        <v>-1E-3</v>
      </c>
    </row>
    <row r="58" spans="1:8" x14ac:dyDescent="0.25">
      <c r="A58">
        <v>14</v>
      </c>
      <c r="B58">
        <v>8.7999999999999995E-2</v>
      </c>
      <c r="C58">
        <v>-0.52400000000000002</v>
      </c>
      <c r="D58">
        <f t="shared" si="0"/>
        <v>0.52400000000000002</v>
      </c>
      <c r="E58">
        <v>-13.256</v>
      </c>
      <c r="F58">
        <v>-0.04</v>
      </c>
      <c r="G58">
        <v>-3.3000000000000002E-2</v>
      </c>
      <c r="H58">
        <v>-1E-3</v>
      </c>
    </row>
    <row r="59" spans="1:8" x14ac:dyDescent="0.25">
      <c r="A59">
        <v>14.006</v>
      </c>
      <c r="B59">
        <v>9.9000000000000005E-2</v>
      </c>
      <c r="C59">
        <v>-0.53400000000000003</v>
      </c>
      <c r="D59">
        <f t="shared" si="0"/>
        <v>0.53400000000000003</v>
      </c>
      <c r="E59">
        <v>-13.721</v>
      </c>
      <c r="F59">
        <v>-9.7000000000000003E-2</v>
      </c>
      <c r="G59">
        <v>-0.78600000000000003</v>
      </c>
      <c r="H59">
        <v>3.4000000000000002E-2</v>
      </c>
    </row>
    <row r="60" spans="1:8" x14ac:dyDescent="0.25">
      <c r="A60">
        <v>14.006</v>
      </c>
      <c r="B60">
        <v>9.9000000000000005E-2</v>
      </c>
      <c r="C60">
        <v>-0.53400000000000003</v>
      </c>
      <c r="D60">
        <f t="shared" si="0"/>
        <v>0.53400000000000003</v>
      </c>
      <c r="E60">
        <v>-13.721</v>
      </c>
      <c r="F60">
        <v>-9.7000000000000003E-2</v>
      </c>
      <c r="G60">
        <v>-0.78600000000000003</v>
      </c>
      <c r="H60">
        <v>3.4000000000000002E-2</v>
      </c>
    </row>
    <row r="61" spans="1:8" x14ac:dyDescent="0.25">
      <c r="A61">
        <v>14.006</v>
      </c>
      <c r="B61">
        <v>9.9000000000000005E-2</v>
      </c>
      <c r="C61">
        <v>-0.53400000000000003</v>
      </c>
      <c r="D61">
        <f t="shared" si="0"/>
        <v>0.53400000000000003</v>
      </c>
      <c r="E61">
        <v>-13.721</v>
      </c>
      <c r="F61">
        <v>-9.7000000000000003E-2</v>
      </c>
      <c r="G61">
        <v>-0.78600000000000003</v>
      </c>
      <c r="H61">
        <v>3.4000000000000002E-2</v>
      </c>
    </row>
    <row r="62" spans="1:8" x14ac:dyDescent="0.25">
      <c r="A62">
        <v>15.974</v>
      </c>
      <c r="B62">
        <v>0</v>
      </c>
      <c r="C62">
        <v>-0.58499999999999996</v>
      </c>
      <c r="D62">
        <f t="shared" si="0"/>
        <v>0.58499999999999996</v>
      </c>
      <c r="E62">
        <v>-15.637</v>
      </c>
      <c r="F62">
        <v>5.3999999999999999E-2</v>
      </c>
      <c r="G62">
        <v>1.4950000000000001</v>
      </c>
      <c r="H62">
        <v>-0.17100000000000001</v>
      </c>
    </row>
    <row r="63" spans="1:8" x14ac:dyDescent="0.25">
      <c r="A63">
        <v>15.974</v>
      </c>
      <c r="B63">
        <v>0</v>
      </c>
      <c r="C63">
        <v>-0.58499999999999996</v>
      </c>
      <c r="D63">
        <f t="shared" si="0"/>
        <v>0.58499999999999996</v>
      </c>
      <c r="E63">
        <v>-15.637</v>
      </c>
      <c r="F63">
        <v>5.3999999999999999E-2</v>
      </c>
      <c r="G63">
        <v>1.4950000000000001</v>
      </c>
      <c r="H63">
        <v>-0.17100000000000001</v>
      </c>
    </row>
    <row r="64" spans="1:8" x14ac:dyDescent="0.25">
      <c r="A64">
        <v>15.98</v>
      </c>
      <c r="B64">
        <v>-3.7999999999999999E-2</v>
      </c>
      <c r="C64">
        <v>-0.57599999999999996</v>
      </c>
      <c r="D64">
        <f t="shared" si="0"/>
        <v>0.57599999999999996</v>
      </c>
      <c r="E64">
        <v>-15.361000000000001</v>
      </c>
      <c r="F64">
        <v>-2.5999999999999999E-2</v>
      </c>
      <c r="G64">
        <v>0.29599999999999999</v>
      </c>
      <c r="H64">
        <v>-0.114</v>
      </c>
    </row>
    <row r="65" spans="1:8" x14ac:dyDescent="0.25">
      <c r="A65">
        <v>15.98</v>
      </c>
      <c r="B65">
        <v>-3.7999999999999999E-2</v>
      </c>
      <c r="C65">
        <v>-0.57599999999999996</v>
      </c>
      <c r="D65">
        <f t="shared" si="0"/>
        <v>0.57599999999999996</v>
      </c>
      <c r="E65">
        <v>-15.361000000000001</v>
      </c>
      <c r="F65">
        <v>-2.5999999999999999E-2</v>
      </c>
      <c r="G65">
        <v>0.29599999999999999</v>
      </c>
      <c r="H65">
        <v>-0.114</v>
      </c>
    </row>
    <row r="66" spans="1:8" x14ac:dyDescent="0.25">
      <c r="A66">
        <v>15.98</v>
      </c>
      <c r="B66">
        <v>-3.7999999999999999E-2</v>
      </c>
      <c r="C66">
        <v>-0.57599999999999996</v>
      </c>
      <c r="D66">
        <f t="shared" si="0"/>
        <v>0.57599999999999996</v>
      </c>
      <c r="E66">
        <v>-15.361000000000001</v>
      </c>
      <c r="F66">
        <v>-2.5999999999999999E-2</v>
      </c>
      <c r="G66">
        <v>0.29599999999999999</v>
      </c>
      <c r="H66">
        <v>-0.114</v>
      </c>
    </row>
    <row r="67" spans="1:8" x14ac:dyDescent="0.25">
      <c r="A67">
        <v>-2.5999999999999999E-2</v>
      </c>
      <c r="B67">
        <v>5.2999999999999999E-2</v>
      </c>
      <c r="C67">
        <v>-6.3E-2</v>
      </c>
      <c r="D67">
        <f t="shared" ref="D67:D70" si="1">-C67</f>
        <v>6.3E-2</v>
      </c>
      <c r="E67">
        <v>-1.49</v>
      </c>
      <c r="F67">
        <v>5.8000000000000003E-2</v>
      </c>
      <c r="G67">
        <v>1.2849999999999999</v>
      </c>
      <c r="H67">
        <v>-9.1999999999999998E-2</v>
      </c>
    </row>
    <row r="68" spans="1:8" x14ac:dyDescent="0.25">
      <c r="A68">
        <v>-2.5999999999999999E-2</v>
      </c>
      <c r="B68">
        <v>5.2999999999999999E-2</v>
      </c>
      <c r="C68">
        <v>-6.3E-2</v>
      </c>
      <c r="D68">
        <f t="shared" si="1"/>
        <v>6.3E-2</v>
      </c>
      <c r="E68">
        <v>-1.49</v>
      </c>
      <c r="F68">
        <v>5.8000000000000003E-2</v>
      </c>
      <c r="G68">
        <v>1.2849999999999999</v>
      </c>
      <c r="H68">
        <v>-9.1999999999999998E-2</v>
      </c>
    </row>
    <row r="69" spans="1:8" x14ac:dyDescent="0.25">
      <c r="A69">
        <v>-2.5999999999999999E-2</v>
      </c>
      <c r="B69">
        <v>5.2999999999999999E-2</v>
      </c>
      <c r="C69">
        <v>-6.3E-2</v>
      </c>
      <c r="D69">
        <f t="shared" si="1"/>
        <v>6.3E-2</v>
      </c>
      <c r="E69">
        <v>-1.49</v>
      </c>
      <c r="F69">
        <v>5.8000000000000003E-2</v>
      </c>
      <c r="G69">
        <v>1.2849999999999999</v>
      </c>
      <c r="H69">
        <v>-9.1999999999999998E-2</v>
      </c>
    </row>
    <row r="70" spans="1:8" x14ac:dyDescent="0.25">
      <c r="A70">
        <v>-2.5999999999999999E-2</v>
      </c>
      <c r="B70">
        <v>5.2999999999999999E-2</v>
      </c>
      <c r="C70">
        <v>-6.3E-2</v>
      </c>
      <c r="D70">
        <f t="shared" si="1"/>
        <v>6.3E-2</v>
      </c>
      <c r="E70">
        <v>-1.49</v>
      </c>
      <c r="F70">
        <v>5.8000000000000003E-2</v>
      </c>
      <c r="G70">
        <v>1.2849999999999999</v>
      </c>
      <c r="H70">
        <v>-9.1999999999999998E-2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workbookViewId="0">
      <selection activeCell="Q1" sqref="Q1:R85"/>
    </sheetView>
  </sheetViews>
  <sheetFormatPr defaultRowHeight="15" x14ac:dyDescent="0.25"/>
  <cols>
    <col min="1" max="1" width="11.28515625" bestFit="1" customWidth="1"/>
    <col min="2" max="2" width="20.7109375" bestFit="1" customWidth="1"/>
    <col min="3" max="3" width="8.28515625" bestFit="1" customWidth="1"/>
    <col min="4" max="4" width="9.42578125" bestFit="1" customWidth="1"/>
    <col min="5" max="6" width="12.28515625" bestFit="1" customWidth="1"/>
    <col min="7" max="7" width="9.28515625" bestFit="1" customWidth="1"/>
    <col min="8" max="8" width="11.28515625" bestFit="1" customWidth="1"/>
    <col min="9" max="9" width="11.42578125" bestFit="1" customWidth="1"/>
    <col min="11" max="12" width="12" bestFit="1" customWidth="1"/>
    <col min="13" max="13" width="27.85546875" bestFit="1" customWidth="1"/>
    <col min="14" max="14" width="13.42578125" bestFit="1" customWidth="1"/>
    <col min="15" max="15" width="13.85546875" bestFit="1" customWidth="1"/>
    <col min="16" max="16" width="12" bestFit="1" customWidth="1"/>
    <col min="18" max="18" width="14" bestFit="1" customWidth="1"/>
  </cols>
  <sheetData>
    <row r="1" spans="1:18" x14ac:dyDescent="0.25">
      <c r="A1" t="s">
        <v>0</v>
      </c>
      <c r="B1" t="s">
        <v>134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103</v>
      </c>
      <c r="K1" t="s">
        <v>104</v>
      </c>
      <c r="L1" t="s">
        <v>105</v>
      </c>
      <c r="M1" t="s">
        <v>118</v>
      </c>
      <c r="N1" t="s">
        <v>119</v>
      </c>
      <c r="O1" t="s">
        <v>120</v>
      </c>
      <c r="P1" t="s">
        <v>135</v>
      </c>
      <c r="Q1" t="s">
        <v>150</v>
      </c>
      <c r="R1" t="s">
        <v>151</v>
      </c>
    </row>
    <row r="2" spans="1:18" x14ac:dyDescent="0.25">
      <c r="A2">
        <v>-4.7E-2</v>
      </c>
      <c r="B2" s="14">
        <f>A2+deltalph</f>
        <v>6.0574343520103699E-2</v>
      </c>
      <c r="C2">
        <v>4.0060000000000002</v>
      </c>
      <c r="D2">
        <v>-0.92700000000000005</v>
      </c>
      <c r="E2">
        <f>-D2</f>
        <v>0.92700000000000005</v>
      </c>
      <c r="F2">
        <v>-9.0210000000000008</v>
      </c>
      <c r="G2">
        <v>0.32300000000000001</v>
      </c>
      <c r="H2">
        <v>0.752</v>
      </c>
      <c r="I2">
        <v>-0.02</v>
      </c>
      <c r="J2">
        <f t="shared" ref="J2:J33" si="0">C2/(0.5*0.002377*(65*12)^2*wing_area)</f>
        <v>1.121800221751813E-4</v>
      </c>
      <c r="K2">
        <f t="shared" ref="K2:K33" si="1">E2/(0.5*0.002377*(65*12)^2*wing_area)</f>
        <v>2.5958781966149043E-5</v>
      </c>
      <c r="L2">
        <f>J2^2</f>
        <v>1.2584357375224169E-8</v>
      </c>
      <c r="M2" s="11">
        <f t="shared" ref="M2:M33" si="2">0.5*(65*12)^2*0.002377*(1+eps_tot_t)^2</f>
        <v>727.91914084511302</v>
      </c>
      <c r="N2">
        <f>C2/(M2*wing_area)</f>
        <v>1.1143478347379423E-4</v>
      </c>
      <c r="O2">
        <f t="shared" ref="O2:O33" si="3">E2/(M2*wing_area)</f>
        <v>2.5786331572692774E-5</v>
      </c>
      <c r="P2">
        <f>O2-'No Model 65 MPH'!I2</f>
        <v>1.2036858060956875E-5</v>
      </c>
      <c r="Q2">
        <f>F2/(M2*wing_area*wmac)</f>
        <v>-1.2511164397553245E-4</v>
      </c>
      <c r="R2">
        <f>Q2-deltaCmcgt</f>
        <v>-1.2429762579791874E-4</v>
      </c>
    </row>
    <row r="3" spans="1:18" x14ac:dyDescent="0.25">
      <c r="A3">
        <v>-4.7E-2</v>
      </c>
      <c r="B3" s="14">
        <f>A3+deltalph</f>
        <v>6.0574343520103699E-2</v>
      </c>
      <c r="C3">
        <v>4.0060000000000002</v>
      </c>
      <c r="D3">
        <v>-0.92700000000000005</v>
      </c>
      <c r="E3">
        <f t="shared" ref="E3:E66" si="4">-D3</f>
        <v>0.92700000000000005</v>
      </c>
      <c r="F3">
        <v>-9.0210000000000008</v>
      </c>
      <c r="G3">
        <v>0.32300000000000001</v>
      </c>
      <c r="H3">
        <v>0.752</v>
      </c>
      <c r="I3">
        <v>-0.02</v>
      </c>
      <c r="J3">
        <f t="shared" si="0"/>
        <v>1.121800221751813E-4</v>
      </c>
      <c r="K3">
        <f t="shared" si="1"/>
        <v>2.5958781966149043E-5</v>
      </c>
      <c r="L3">
        <f t="shared" ref="L3:L66" si="5">J3^2</f>
        <v>1.2584357375224169E-8</v>
      </c>
      <c r="M3" s="11">
        <f t="shared" si="2"/>
        <v>727.91914084511302</v>
      </c>
      <c r="N3">
        <f t="shared" ref="N2:N33" si="6">C3/(M3*wing_area)</f>
        <v>1.1143478347379423E-4</v>
      </c>
      <c r="O3">
        <f t="shared" si="3"/>
        <v>2.5786331572692774E-5</v>
      </c>
      <c r="P3">
        <f>O3-'No Model 65 MPH'!I3</f>
        <v>1.2036858060956875E-5</v>
      </c>
      <c r="Q3">
        <f>F3/(M3*wing_area*wmac)</f>
        <v>-1.2511164397553245E-4</v>
      </c>
      <c r="R3">
        <f>Q3-deltaCmcgt</f>
        <v>-1.2429762579791874E-4</v>
      </c>
    </row>
    <row r="4" spans="1:18" x14ac:dyDescent="0.25">
      <c r="A4">
        <v>-4.7E-2</v>
      </c>
      <c r="B4" s="14">
        <f>A4+deltalph</f>
        <v>6.0574343520103699E-2</v>
      </c>
      <c r="C4">
        <v>4.0060000000000002</v>
      </c>
      <c r="D4">
        <v>-0.92700000000000005</v>
      </c>
      <c r="E4">
        <f t="shared" si="4"/>
        <v>0.92700000000000005</v>
      </c>
      <c r="F4">
        <v>-9.0210000000000008</v>
      </c>
      <c r="G4">
        <v>0.32300000000000001</v>
      </c>
      <c r="H4">
        <v>0.752</v>
      </c>
      <c r="I4">
        <v>-0.02</v>
      </c>
      <c r="J4">
        <f t="shared" si="0"/>
        <v>1.121800221751813E-4</v>
      </c>
      <c r="K4">
        <f t="shared" si="1"/>
        <v>2.5958781966149043E-5</v>
      </c>
      <c r="L4">
        <f t="shared" si="5"/>
        <v>1.2584357375224169E-8</v>
      </c>
      <c r="M4" s="11">
        <f t="shared" si="2"/>
        <v>727.91914084511302</v>
      </c>
      <c r="N4">
        <f t="shared" si="6"/>
        <v>1.1143478347379423E-4</v>
      </c>
      <c r="O4">
        <f t="shared" si="3"/>
        <v>2.5786331572692774E-5</v>
      </c>
      <c r="P4">
        <f>O4-'No Model 65 MPH'!I4</f>
        <v>1.5509230190193638E-5</v>
      </c>
      <c r="Q4">
        <f>F4/(M4*wing_area*wmac)</f>
        <v>-1.2511164397553245E-4</v>
      </c>
      <c r="R4">
        <f>Q4-deltaCmcgt</f>
        <v>-1.2429762579791874E-4</v>
      </c>
    </row>
    <row r="5" spans="1:18" x14ac:dyDescent="0.25">
      <c r="A5">
        <v>-4.7E-2</v>
      </c>
      <c r="B5" s="14">
        <f>A5+deltalph</f>
        <v>6.0574343520103699E-2</v>
      </c>
      <c r="C5">
        <v>4.0060000000000002</v>
      </c>
      <c r="D5">
        <v>-0.92700000000000005</v>
      </c>
      <c r="E5">
        <f t="shared" si="4"/>
        <v>0.92700000000000005</v>
      </c>
      <c r="F5">
        <v>-9.0210000000000008</v>
      </c>
      <c r="G5">
        <v>0.32300000000000001</v>
      </c>
      <c r="H5">
        <v>0.752</v>
      </c>
      <c r="I5">
        <v>-0.02</v>
      </c>
      <c r="J5">
        <f t="shared" si="0"/>
        <v>1.121800221751813E-4</v>
      </c>
      <c r="K5">
        <f t="shared" si="1"/>
        <v>2.5958781966149043E-5</v>
      </c>
      <c r="L5">
        <f t="shared" si="5"/>
        <v>1.2584357375224169E-8</v>
      </c>
      <c r="M5" s="11">
        <f t="shared" si="2"/>
        <v>727.91914084511302</v>
      </c>
      <c r="N5">
        <f t="shared" si="6"/>
        <v>1.1143478347379423E-4</v>
      </c>
      <c r="O5">
        <f t="shared" si="3"/>
        <v>2.5786331572692774E-5</v>
      </c>
      <c r="P5">
        <f>O5-'No Model 65 MPH'!I5</f>
        <v>1.5509230190193638E-5</v>
      </c>
      <c r="Q5">
        <f>F5/(M5*wing_area*wmac)</f>
        <v>-1.2511164397553245E-4</v>
      </c>
      <c r="R5">
        <f>Q5-deltaCmcgt</f>
        <v>-1.2429762579791874E-4</v>
      </c>
    </row>
    <row r="6" spans="1:18" x14ac:dyDescent="0.25">
      <c r="A6">
        <v>-4.2000000000000003E-2</v>
      </c>
      <c r="B6" s="14">
        <f>A6+deltalph</f>
        <v>6.5574343520103689E-2</v>
      </c>
      <c r="C6">
        <v>3.9969999999999999</v>
      </c>
      <c r="D6">
        <v>-0.86699999999999999</v>
      </c>
      <c r="E6">
        <f t="shared" si="4"/>
        <v>0.86699999999999999</v>
      </c>
      <c r="F6">
        <v>-10.814</v>
      </c>
      <c r="G6">
        <v>9.9000000000000005E-2</v>
      </c>
      <c r="H6">
        <v>-1.2529999999999999</v>
      </c>
      <c r="I6">
        <v>-0.04</v>
      </c>
      <c r="J6">
        <f t="shared" si="0"/>
        <v>1.1192799516580121E-4</v>
      </c>
      <c r="K6">
        <f t="shared" si="1"/>
        <v>2.4278601903615122E-5</v>
      </c>
      <c r="L6">
        <f t="shared" si="5"/>
        <v>1.2527876101835618E-8</v>
      </c>
      <c r="M6" s="11">
        <f t="shared" si="2"/>
        <v>727.91914084511302</v>
      </c>
      <c r="N6">
        <f t="shared" si="6"/>
        <v>1.1118443074007875E-4</v>
      </c>
      <c r="O6">
        <f t="shared" si="3"/>
        <v>2.4117313347923014E-5</v>
      </c>
      <c r="P6">
        <f>O6-'No Model 65 MPH'!I6</f>
        <v>1.2020016897678801E-5</v>
      </c>
      <c r="Q6">
        <f>F6/(M6*wing_area*wmac)</f>
        <v>-1.4997864072180552E-4</v>
      </c>
      <c r="R6">
        <f>Q6-deltaCmcgt</f>
        <v>-1.4916462254419181E-4</v>
      </c>
    </row>
    <row r="7" spans="1:18" x14ac:dyDescent="0.25">
      <c r="A7">
        <v>-4.7E-2</v>
      </c>
      <c r="B7" s="14">
        <f>A7+deltalph</f>
        <v>6.0574343520103699E-2</v>
      </c>
      <c r="C7">
        <v>4.0720000000000001</v>
      </c>
      <c r="D7">
        <v>-0.89200000000000002</v>
      </c>
      <c r="E7">
        <f t="shared" si="4"/>
        <v>0.89200000000000002</v>
      </c>
      <c r="F7">
        <v>-11.063000000000001</v>
      </c>
      <c r="G7">
        <v>0.17</v>
      </c>
      <c r="H7">
        <v>-0.623</v>
      </c>
      <c r="I7">
        <v>-0.06</v>
      </c>
      <c r="J7">
        <f t="shared" si="0"/>
        <v>1.1402822024396861E-4</v>
      </c>
      <c r="K7">
        <f t="shared" si="1"/>
        <v>2.4978676929670925E-5</v>
      </c>
      <c r="L7">
        <f t="shared" si="5"/>
        <v>1.3002435012007012E-8</v>
      </c>
      <c r="M7" s="11">
        <f t="shared" si="2"/>
        <v>727.91914084511302</v>
      </c>
      <c r="N7">
        <f t="shared" si="6"/>
        <v>1.1327070352104096E-4</v>
      </c>
      <c r="O7">
        <f t="shared" si="3"/>
        <v>2.4812737608243746E-5</v>
      </c>
      <c r="P7">
        <f>O7-'No Model 65 MPH'!I7</f>
        <v>2.6072872655144185E-5</v>
      </c>
      <c r="Q7">
        <f>F7/(M7*wing_area*wmac)</f>
        <v>-1.5343200502176204E-4</v>
      </c>
      <c r="R7">
        <f>Q7-deltaCmcgt</f>
        <v>-1.5261798684414833E-4</v>
      </c>
    </row>
    <row r="8" spans="1:18" x14ac:dyDescent="0.25">
      <c r="A8">
        <v>-4.7E-2</v>
      </c>
      <c r="B8" s="14">
        <f>A8+deltalph</f>
        <v>6.0574343520103699E-2</v>
      </c>
      <c r="C8">
        <v>4.0720000000000001</v>
      </c>
      <c r="D8">
        <v>-0.89200000000000002</v>
      </c>
      <c r="E8">
        <f t="shared" si="4"/>
        <v>0.89200000000000002</v>
      </c>
      <c r="F8">
        <v>-11.063000000000001</v>
      </c>
      <c r="G8">
        <v>0.17</v>
      </c>
      <c r="H8">
        <v>-0.623</v>
      </c>
      <c r="I8">
        <v>-0.06</v>
      </c>
      <c r="J8">
        <f t="shared" si="0"/>
        <v>1.1402822024396861E-4</v>
      </c>
      <c r="K8">
        <f t="shared" si="1"/>
        <v>2.4978676929670925E-5</v>
      </c>
      <c r="L8">
        <f t="shared" si="5"/>
        <v>1.3002435012007012E-8</v>
      </c>
      <c r="M8" s="11">
        <f t="shared" si="2"/>
        <v>727.91914084511302</v>
      </c>
      <c r="N8">
        <f t="shared" si="6"/>
        <v>1.1327070352104096E-4</v>
      </c>
      <c r="O8">
        <f t="shared" si="3"/>
        <v>2.4812737608243746E-5</v>
      </c>
      <c r="P8">
        <f>O8-'No Model 65 MPH'!I8</f>
        <v>2.4616716600948122E-5</v>
      </c>
      <c r="Q8">
        <f>F8/(M8*wing_area*wmac)</f>
        <v>-1.5343200502176204E-4</v>
      </c>
      <c r="R8">
        <f>Q8-deltaCmcgt</f>
        <v>-1.5261798684414833E-4</v>
      </c>
    </row>
    <row r="9" spans="1:18" x14ac:dyDescent="0.25">
      <c r="A9">
        <v>-4.7E-2</v>
      </c>
      <c r="B9" s="14">
        <f>A9+deltalph</f>
        <v>6.0574343520103699E-2</v>
      </c>
      <c r="C9">
        <v>4.0720000000000001</v>
      </c>
      <c r="D9">
        <v>-0.89200000000000002</v>
      </c>
      <c r="E9">
        <f t="shared" si="4"/>
        <v>0.89200000000000002</v>
      </c>
      <c r="F9">
        <v>-11.063000000000001</v>
      </c>
      <c r="G9">
        <v>0.17</v>
      </c>
      <c r="H9">
        <v>-0.623</v>
      </c>
      <c r="I9">
        <v>-0.06</v>
      </c>
      <c r="J9">
        <f t="shared" si="0"/>
        <v>1.1402822024396861E-4</v>
      </c>
      <c r="K9">
        <f t="shared" si="1"/>
        <v>2.4978676929670925E-5</v>
      </c>
      <c r="L9">
        <f t="shared" si="5"/>
        <v>1.3002435012007012E-8</v>
      </c>
      <c r="M9" s="11">
        <f t="shared" si="2"/>
        <v>727.91914084511302</v>
      </c>
      <c r="N9">
        <f t="shared" si="6"/>
        <v>1.1327070352104096E-4</v>
      </c>
      <c r="O9">
        <f t="shared" si="3"/>
        <v>2.4812737608243746E-5</v>
      </c>
      <c r="P9">
        <f>O9-'No Model 65 MPH'!I9</f>
        <v>2.4616716600948122E-5</v>
      </c>
      <c r="Q9">
        <f>F9/(M9*wing_area*wmac)</f>
        <v>-1.5343200502176204E-4</v>
      </c>
      <c r="R9">
        <f>Q9-deltaCmcgt</f>
        <v>-1.5261798684414833E-4</v>
      </c>
    </row>
    <row r="10" spans="1:18" x14ac:dyDescent="0.25">
      <c r="A10">
        <v>-4.7E-2</v>
      </c>
      <c r="B10" s="14">
        <f>A10+deltalph</f>
        <v>6.0574343520103699E-2</v>
      </c>
      <c r="C10">
        <v>4.0720000000000001</v>
      </c>
      <c r="D10">
        <v>-0.89200000000000002</v>
      </c>
      <c r="E10">
        <f t="shared" si="4"/>
        <v>0.89200000000000002</v>
      </c>
      <c r="F10">
        <v>-11.063000000000001</v>
      </c>
      <c r="G10">
        <v>0.17</v>
      </c>
      <c r="H10">
        <v>-0.623</v>
      </c>
      <c r="I10">
        <v>-0.06</v>
      </c>
      <c r="J10">
        <f t="shared" si="0"/>
        <v>1.1402822024396861E-4</v>
      </c>
      <c r="K10">
        <f t="shared" si="1"/>
        <v>2.4978676929670925E-5</v>
      </c>
      <c r="L10">
        <f t="shared" si="5"/>
        <v>1.3002435012007012E-8</v>
      </c>
      <c r="M10" s="11">
        <f t="shared" si="2"/>
        <v>727.91914084511302</v>
      </c>
      <c r="N10">
        <f t="shared" si="6"/>
        <v>1.1327070352104096E-4</v>
      </c>
      <c r="O10">
        <f t="shared" si="3"/>
        <v>2.4812737608243746E-5</v>
      </c>
      <c r="P10">
        <f>O10-'No Model 65 MPH'!I10</f>
        <v>2.4616716600948122E-5</v>
      </c>
      <c r="Q10">
        <f>F10/(M10*wing_area*wmac)</f>
        <v>-1.5343200502176204E-4</v>
      </c>
      <c r="R10">
        <f>Q10-deltaCmcgt</f>
        <v>-1.5261798684414833E-4</v>
      </c>
    </row>
    <row r="11" spans="1:18" x14ac:dyDescent="0.25">
      <c r="A11">
        <v>-4.4999999999999998E-2</v>
      </c>
      <c r="B11" s="14">
        <f>A11+deltalph</f>
        <v>6.2574343520103701E-2</v>
      </c>
      <c r="C11">
        <v>4.2510000000000003</v>
      </c>
      <c r="D11">
        <v>-0.89100000000000001</v>
      </c>
      <c r="E11">
        <f t="shared" si="4"/>
        <v>0.89100000000000001</v>
      </c>
      <c r="F11">
        <v>-10.696999999999999</v>
      </c>
      <c r="G11">
        <v>0.156</v>
      </c>
      <c r="H11">
        <v>-0.51</v>
      </c>
      <c r="I11">
        <v>-0.125</v>
      </c>
      <c r="J11">
        <f t="shared" si="0"/>
        <v>1.1904075743052814E-4</v>
      </c>
      <c r="K11">
        <f t="shared" si="1"/>
        <v>2.4950673928628693E-5</v>
      </c>
      <c r="L11">
        <f t="shared" si="5"/>
        <v>1.4170701929633841E-8</v>
      </c>
      <c r="M11" s="11">
        <f t="shared" si="2"/>
        <v>727.91914084511302</v>
      </c>
      <c r="N11">
        <f t="shared" si="6"/>
        <v>1.1824994122493741E-4</v>
      </c>
      <c r="O11">
        <f t="shared" si="3"/>
        <v>2.4784920637830915E-5</v>
      </c>
      <c r="P11">
        <f>O11-'No Model 65 MPH'!I11</f>
        <v>2.4588899630535292E-5</v>
      </c>
      <c r="Q11">
        <f>F11/(M11*wing_area*wmac)</f>
        <v>-1.4835597556881391E-4</v>
      </c>
      <c r="R11">
        <f>Q11-deltaCmcgt</f>
        <v>-1.475419573912002E-4</v>
      </c>
    </row>
    <row r="12" spans="1:18" x14ac:dyDescent="0.25">
      <c r="A12">
        <v>-4.5999999999999999E-2</v>
      </c>
      <c r="B12" s="14">
        <f>A12+deltalph</f>
        <v>6.15743435201037E-2</v>
      </c>
      <c r="C12">
        <v>3.3980000000000001</v>
      </c>
      <c r="D12">
        <v>-0.81299999999999994</v>
      </c>
      <c r="E12">
        <f t="shared" si="4"/>
        <v>0.81299999999999994</v>
      </c>
      <c r="F12">
        <v>-11.031000000000001</v>
      </c>
      <c r="G12">
        <v>0.13100000000000001</v>
      </c>
      <c r="H12">
        <v>3.4000000000000002E-2</v>
      </c>
      <c r="I12">
        <v>-0.05</v>
      </c>
      <c r="J12">
        <f t="shared" si="0"/>
        <v>9.5154197541504263E-5</v>
      </c>
      <c r="K12">
        <f t="shared" si="1"/>
        <v>2.2766439847334595E-5</v>
      </c>
      <c r="L12">
        <f t="shared" si="5"/>
        <v>9.0543213097676161E-9</v>
      </c>
      <c r="M12" s="11">
        <f t="shared" si="2"/>
        <v>727.91914084511302</v>
      </c>
      <c r="N12">
        <f t="shared" si="6"/>
        <v>9.4522065462794E-5</v>
      </c>
      <c r="O12">
        <f t="shared" si="3"/>
        <v>2.2615196945630227E-5</v>
      </c>
      <c r="P12">
        <f>O12-'No Model 65 MPH'!I12</f>
        <v>2.1719100912278804E-5</v>
      </c>
      <c r="Q12">
        <f>F12/(M12*wing_area*wmac)</f>
        <v>-1.5298819916795237E-4</v>
      </c>
      <c r="R12">
        <f>Q12-deltaCmcgt</f>
        <v>-1.5217418099033867E-4</v>
      </c>
    </row>
    <row r="13" spans="1:18" x14ac:dyDescent="0.25">
      <c r="A13">
        <v>-4.7E-2</v>
      </c>
      <c r="B13" s="14">
        <f>A13+deltalph</f>
        <v>6.0574343520103699E-2</v>
      </c>
      <c r="C13">
        <v>3.79</v>
      </c>
      <c r="D13">
        <v>-0.94499999999999995</v>
      </c>
      <c r="E13">
        <f t="shared" si="4"/>
        <v>0.94499999999999995</v>
      </c>
      <c r="F13">
        <v>-12.673</v>
      </c>
      <c r="G13">
        <v>6.7000000000000004E-2</v>
      </c>
      <c r="H13">
        <v>-0.35899999999999999</v>
      </c>
      <c r="I13">
        <v>-4.5999999999999999E-2</v>
      </c>
      <c r="J13">
        <f t="shared" si="0"/>
        <v>1.061313739500592E-4</v>
      </c>
      <c r="K13">
        <f t="shared" si="1"/>
        <v>2.6462835984909216E-5</v>
      </c>
      <c r="L13">
        <f t="shared" si="5"/>
        <v>1.1263868536527303E-8</v>
      </c>
      <c r="M13" s="11">
        <f t="shared" si="2"/>
        <v>727.91914084511302</v>
      </c>
      <c r="N13">
        <f t="shared" si="6"/>
        <v>1.0542631786462309E-4</v>
      </c>
      <c r="O13">
        <f t="shared" si="3"/>
        <v>2.6287037040123699E-5</v>
      </c>
      <c r="P13">
        <f>O13-'No Model 65 MPH'!I13</f>
        <v>2.5390941006772276E-5</v>
      </c>
      <c r="Q13">
        <f>F13/(M13*wing_area*wmac)</f>
        <v>-1.7576098704156107E-4</v>
      </c>
      <c r="R13">
        <f>Q13-deltaCmcgt</f>
        <v>-1.7494696886394736E-4</v>
      </c>
    </row>
    <row r="14" spans="1:18" x14ac:dyDescent="0.25">
      <c r="A14">
        <v>-4.7E-2</v>
      </c>
      <c r="B14" s="14">
        <f>A14+deltalph</f>
        <v>6.0574343520103699E-2</v>
      </c>
      <c r="C14">
        <v>3.79</v>
      </c>
      <c r="D14">
        <v>-0.94499999999999995</v>
      </c>
      <c r="E14">
        <f t="shared" si="4"/>
        <v>0.94499999999999995</v>
      </c>
      <c r="F14">
        <v>-12.673</v>
      </c>
      <c r="G14">
        <v>6.7000000000000004E-2</v>
      </c>
      <c r="H14">
        <v>-0.35899999999999999</v>
      </c>
      <c r="I14">
        <v>-4.5999999999999999E-2</v>
      </c>
      <c r="J14">
        <f t="shared" si="0"/>
        <v>1.061313739500592E-4</v>
      </c>
      <c r="K14">
        <f t="shared" si="1"/>
        <v>2.6462835984909216E-5</v>
      </c>
      <c r="L14">
        <f t="shared" si="5"/>
        <v>1.1263868536527303E-8</v>
      </c>
      <c r="M14" s="11">
        <f t="shared" si="2"/>
        <v>727.91914084511302</v>
      </c>
      <c r="N14">
        <f t="shared" si="6"/>
        <v>1.0542631786462309E-4</v>
      </c>
      <c r="O14">
        <f t="shared" si="3"/>
        <v>2.6287037040123699E-5</v>
      </c>
      <c r="P14">
        <f>O14-'No Model 65 MPH'!I14</f>
        <v>2.5390941006772276E-5</v>
      </c>
      <c r="Q14">
        <f>F14/(M14*wing_area*wmac)</f>
        <v>-1.7576098704156107E-4</v>
      </c>
      <c r="R14">
        <f>Q14-deltaCmcgt</f>
        <v>-1.7494696886394736E-4</v>
      </c>
    </row>
    <row r="15" spans="1:18" x14ac:dyDescent="0.25">
      <c r="A15">
        <v>-4.7E-2</v>
      </c>
      <c r="B15" s="14">
        <f>A15+deltalph</f>
        <v>6.0574343520103699E-2</v>
      </c>
      <c r="C15">
        <v>3.79</v>
      </c>
      <c r="D15">
        <v>-0.94499999999999995</v>
      </c>
      <c r="E15">
        <f t="shared" si="4"/>
        <v>0.94499999999999995</v>
      </c>
      <c r="F15">
        <v>-12.673</v>
      </c>
      <c r="G15">
        <v>6.7000000000000004E-2</v>
      </c>
      <c r="H15">
        <v>-0.35899999999999999</v>
      </c>
      <c r="I15">
        <v>-4.5999999999999999E-2</v>
      </c>
      <c r="J15">
        <f t="shared" si="0"/>
        <v>1.061313739500592E-4</v>
      </c>
      <c r="K15">
        <f t="shared" si="1"/>
        <v>2.6462835984909216E-5</v>
      </c>
      <c r="L15">
        <f t="shared" si="5"/>
        <v>1.1263868536527303E-8</v>
      </c>
      <c r="M15" s="11">
        <f t="shared" si="2"/>
        <v>727.91914084511302</v>
      </c>
      <c r="N15">
        <f t="shared" si="6"/>
        <v>1.0542631786462309E-4</v>
      </c>
      <c r="O15">
        <f t="shared" si="3"/>
        <v>2.6287037040123699E-5</v>
      </c>
      <c r="P15">
        <f>O15-'No Model 65 MPH'!I15</f>
        <v>2.4662862979674244E-5</v>
      </c>
      <c r="Q15">
        <f>F15/(M15*wing_area*wmac)</f>
        <v>-1.7576098704156107E-4</v>
      </c>
      <c r="R15">
        <f>Q15-deltaCmcgt</f>
        <v>-1.7494696886394736E-4</v>
      </c>
    </row>
    <row r="16" spans="1:18" x14ac:dyDescent="0.25">
      <c r="A16">
        <v>-4.7E-2</v>
      </c>
      <c r="B16" s="14">
        <f>A16+deltalph</f>
        <v>6.0574343520103699E-2</v>
      </c>
      <c r="C16">
        <v>3.79</v>
      </c>
      <c r="D16">
        <v>-0.94499999999999995</v>
      </c>
      <c r="E16">
        <f t="shared" si="4"/>
        <v>0.94499999999999995</v>
      </c>
      <c r="F16">
        <v>-12.673</v>
      </c>
      <c r="G16">
        <v>6.7000000000000004E-2</v>
      </c>
      <c r="H16">
        <v>-0.35899999999999999</v>
      </c>
      <c r="I16">
        <v>-4.5999999999999999E-2</v>
      </c>
      <c r="J16">
        <f t="shared" si="0"/>
        <v>1.061313739500592E-4</v>
      </c>
      <c r="K16">
        <f t="shared" si="1"/>
        <v>2.6462835984909216E-5</v>
      </c>
      <c r="L16">
        <f t="shared" si="5"/>
        <v>1.1263868536527303E-8</v>
      </c>
      <c r="M16" s="11">
        <f t="shared" si="2"/>
        <v>727.91914084511302</v>
      </c>
      <c r="N16">
        <f t="shared" si="6"/>
        <v>1.0542631786462309E-4</v>
      </c>
      <c r="O16">
        <f t="shared" si="3"/>
        <v>2.6287037040123699E-5</v>
      </c>
      <c r="P16">
        <f>O16-'No Model 65 MPH'!I16</f>
        <v>2.4662862979674244E-5</v>
      </c>
      <c r="Q16">
        <f>F16/(M16*wing_area*wmac)</f>
        <v>-1.7576098704156107E-4</v>
      </c>
      <c r="R16">
        <f>Q16-deltaCmcgt</f>
        <v>-1.7494696886394736E-4</v>
      </c>
    </row>
    <row r="17" spans="1:18" x14ac:dyDescent="0.25">
      <c r="A17">
        <v>-8.0860000000000003</v>
      </c>
      <c r="B17" s="14">
        <f>A17+deltalph</f>
        <v>-7.9784256564798968</v>
      </c>
      <c r="C17">
        <v>0.86299999999999999</v>
      </c>
      <c r="D17">
        <v>-0.70899999999999996</v>
      </c>
      <c r="E17">
        <f t="shared" si="4"/>
        <v>0.70899999999999996</v>
      </c>
      <c r="F17">
        <v>-4.8330000000000002</v>
      </c>
      <c r="G17">
        <v>7.0999999999999994E-2</v>
      </c>
      <c r="H17">
        <v>-1.335</v>
      </c>
      <c r="I17">
        <v>-1.304</v>
      </c>
      <c r="J17">
        <f t="shared" si="0"/>
        <v>2.4166589899446194E-5</v>
      </c>
      <c r="K17">
        <f t="shared" si="1"/>
        <v>1.9854127738942471E-5</v>
      </c>
      <c r="L17">
        <f t="shared" si="5"/>
        <v>5.8402406736801484E-10</v>
      </c>
      <c r="M17" s="11">
        <f t="shared" si="2"/>
        <v>727.91914084511302</v>
      </c>
      <c r="N17">
        <f t="shared" si="6"/>
        <v>2.4006045466271695E-5</v>
      </c>
      <c r="O17">
        <f t="shared" si="3"/>
        <v>1.972223202269598E-5</v>
      </c>
      <c r="P17">
        <f>O17-'No Model 65 MPH'!I17</f>
        <v>1.5241751855938865E-5</v>
      </c>
      <c r="Q17">
        <f>F17/(M17*wing_area*wmac)</f>
        <v>-6.7028552858191799E-5</v>
      </c>
      <c r="R17">
        <f>Q17-deltaCmcgt</f>
        <v>-6.6214534680578079E-5</v>
      </c>
    </row>
    <row r="18" spans="1:18" x14ac:dyDescent="0.25">
      <c r="A18">
        <v>-8.0860000000000003</v>
      </c>
      <c r="B18" s="14">
        <f>A18+deltalph</f>
        <v>-7.9784256564798968</v>
      </c>
      <c r="C18">
        <v>0.86299999999999999</v>
      </c>
      <c r="D18">
        <v>-0.70899999999999996</v>
      </c>
      <c r="E18">
        <f t="shared" si="4"/>
        <v>0.70899999999999996</v>
      </c>
      <c r="F18">
        <v>-4.8330000000000002</v>
      </c>
      <c r="G18">
        <v>7.0999999999999994E-2</v>
      </c>
      <c r="H18">
        <v>-1.335</v>
      </c>
      <c r="I18">
        <v>-1.304</v>
      </c>
      <c r="J18">
        <f t="shared" si="0"/>
        <v>2.4166589899446194E-5</v>
      </c>
      <c r="K18">
        <f t="shared" si="1"/>
        <v>1.9854127738942471E-5</v>
      </c>
      <c r="L18">
        <f t="shared" si="5"/>
        <v>5.8402406736801484E-10</v>
      </c>
      <c r="M18" s="11">
        <f t="shared" si="2"/>
        <v>727.91914084511302</v>
      </c>
      <c r="N18">
        <f t="shared" si="6"/>
        <v>2.4006045466271695E-5</v>
      </c>
      <c r="O18">
        <f t="shared" si="3"/>
        <v>1.972223202269598E-5</v>
      </c>
      <c r="P18">
        <f>O18-'No Model 65 MPH'!I18</f>
        <v>1.4373658823629674E-5</v>
      </c>
      <c r="Q18">
        <f>F18/(M18*wing_area*wmac)</f>
        <v>-6.7028552858191799E-5</v>
      </c>
      <c r="R18">
        <f>Q18-deltaCmcgt</f>
        <v>-6.6214534680578079E-5</v>
      </c>
    </row>
    <row r="19" spans="1:18" x14ac:dyDescent="0.25">
      <c r="A19">
        <v>-8.0860000000000003</v>
      </c>
      <c r="B19" s="14">
        <f>A19+deltalph</f>
        <v>-7.9784256564798968</v>
      </c>
      <c r="C19">
        <v>0.86299999999999999</v>
      </c>
      <c r="D19">
        <v>-0.70899999999999996</v>
      </c>
      <c r="E19">
        <f t="shared" si="4"/>
        <v>0.70899999999999996</v>
      </c>
      <c r="F19">
        <v>-4.8330000000000002</v>
      </c>
      <c r="G19">
        <v>7.0999999999999994E-2</v>
      </c>
      <c r="H19">
        <v>-1.335</v>
      </c>
      <c r="I19">
        <v>-1.304</v>
      </c>
      <c r="J19">
        <f t="shared" si="0"/>
        <v>2.4166589899446194E-5</v>
      </c>
      <c r="K19">
        <f t="shared" si="1"/>
        <v>1.9854127738942471E-5</v>
      </c>
      <c r="L19">
        <f t="shared" si="5"/>
        <v>5.8402406736801484E-10</v>
      </c>
      <c r="M19" s="11">
        <f t="shared" si="2"/>
        <v>727.91914084511302</v>
      </c>
      <c r="N19">
        <f t="shared" si="6"/>
        <v>2.4006045466271695E-5</v>
      </c>
      <c r="O19">
        <f t="shared" si="3"/>
        <v>1.972223202269598E-5</v>
      </c>
      <c r="P19">
        <f>O19-'No Model 65 MPH'!I19</f>
        <v>1.4373658823629674E-5</v>
      </c>
      <c r="Q19">
        <f>F19/(M19*wing_area*wmac)</f>
        <v>-6.7028552858191799E-5</v>
      </c>
      <c r="R19">
        <f>Q19-deltaCmcgt</f>
        <v>-6.6214534680578079E-5</v>
      </c>
    </row>
    <row r="20" spans="1:18" x14ac:dyDescent="0.25">
      <c r="A20">
        <v>-8.0860000000000003</v>
      </c>
      <c r="B20" s="14">
        <f>A20+deltalph</f>
        <v>-7.9784256564798968</v>
      </c>
      <c r="C20">
        <v>0.86299999999999999</v>
      </c>
      <c r="D20">
        <v>-0.70899999999999996</v>
      </c>
      <c r="E20">
        <f t="shared" si="4"/>
        <v>0.70899999999999996</v>
      </c>
      <c r="F20">
        <v>-4.8330000000000002</v>
      </c>
      <c r="G20">
        <v>7.0999999999999994E-2</v>
      </c>
      <c r="H20">
        <v>-1.335</v>
      </c>
      <c r="I20">
        <v>-1.304</v>
      </c>
      <c r="J20">
        <f t="shared" si="0"/>
        <v>2.4166589899446194E-5</v>
      </c>
      <c r="K20">
        <f t="shared" si="1"/>
        <v>1.9854127738942471E-5</v>
      </c>
      <c r="L20">
        <f t="shared" si="5"/>
        <v>5.8402406736801484E-10</v>
      </c>
      <c r="M20" s="11">
        <f t="shared" si="2"/>
        <v>727.91914084511302</v>
      </c>
      <c r="N20">
        <f t="shared" si="6"/>
        <v>2.4006045466271695E-5</v>
      </c>
      <c r="O20">
        <f t="shared" si="3"/>
        <v>1.972223202269598E-5</v>
      </c>
      <c r="P20">
        <f>O20-'No Model 65 MPH'!I20</f>
        <v>1.4373658823629674E-5</v>
      </c>
      <c r="Q20">
        <f>F20/(M20*wing_area*wmac)</f>
        <v>-6.7028552858191799E-5</v>
      </c>
      <c r="R20">
        <f>Q20-deltaCmcgt</f>
        <v>-6.6214534680578079E-5</v>
      </c>
    </row>
    <row r="21" spans="1:18" x14ac:dyDescent="0.25">
      <c r="A21">
        <v>-8.0860000000000003</v>
      </c>
      <c r="B21" s="14">
        <f>A21+deltalph</f>
        <v>-7.9784256564798968</v>
      </c>
      <c r="C21">
        <v>0.86299999999999999</v>
      </c>
      <c r="D21">
        <v>-0.70899999999999996</v>
      </c>
      <c r="E21">
        <f t="shared" si="4"/>
        <v>0.70899999999999996</v>
      </c>
      <c r="F21">
        <v>-4.8330000000000002</v>
      </c>
      <c r="G21">
        <v>7.0999999999999994E-2</v>
      </c>
      <c r="H21">
        <v>-1.335</v>
      </c>
      <c r="I21">
        <v>-1.304</v>
      </c>
      <c r="J21">
        <f t="shared" si="0"/>
        <v>2.4166589899446194E-5</v>
      </c>
      <c r="K21">
        <f t="shared" si="1"/>
        <v>1.9854127738942471E-5</v>
      </c>
      <c r="L21">
        <f t="shared" si="5"/>
        <v>5.8402406736801484E-10</v>
      </c>
      <c r="M21" s="11">
        <f t="shared" si="2"/>
        <v>727.91914084511302</v>
      </c>
      <c r="N21">
        <f t="shared" si="6"/>
        <v>2.4006045466271695E-5</v>
      </c>
      <c r="O21">
        <f t="shared" si="3"/>
        <v>1.972223202269598E-5</v>
      </c>
      <c r="P21">
        <f>O21-'No Model 65 MPH'!I21</f>
        <v>1.4373658823629674E-5</v>
      </c>
      <c r="Q21">
        <f>F21/(M21*wing_area*wmac)</f>
        <v>-6.7028552858191799E-5</v>
      </c>
      <c r="R21">
        <f>Q21-deltaCmcgt</f>
        <v>-6.6214534680578079E-5</v>
      </c>
    </row>
    <row r="22" spans="1:18" x14ac:dyDescent="0.25">
      <c r="A22">
        <v>-6.0060000000000002</v>
      </c>
      <c r="B22" s="14">
        <f>A22+deltalph</f>
        <v>-5.8984256564798967</v>
      </c>
      <c r="C22">
        <v>1.895</v>
      </c>
      <c r="D22">
        <v>-0.83599999999999997</v>
      </c>
      <c r="E22">
        <f t="shared" si="4"/>
        <v>0.83599999999999997</v>
      </c>
      <c r="F22">
        <v>-3.1179999999999999</v>
      </c>
      <c r="G22">
        <v>0.23699999999999999</v>
      </c>
      <c r="H22">
        <v>3.5999999999999997E-2</v>
      </c>
      <c r="I22">
        <v>-0.629</v>
      </c>
      <c r="J22">
        <f t="shared" si="0"/>
        <v>5.3065686975029598E-5</v>
      </c>
      <c r="K22">
        <f t="shared" si="1"/>
        <v>2.3410508871305931E-5</v>
      </c>
      <c r="L22">
        <f t="shared" si="5"/>
        <v>2.8159671341318259E-9</v>
      </c>
      <c r="M22" s="11">
        <f t="shared" si="2"/>
        <v>727.91914084511302</v>
      </c>
      <c r="N22">
        <f t="shared" si="6"/>
        <v>5.2713158932311547E-5</v>
      </c>
      <c r="O22">
        <f t="shared" si="3"/>
        <v>2.3254987265125305E-5</v>
      </c>
      <c r="P22">
        <f>O22-'No Model 65 MPH'!I22</f>
        <v>1.7570378053552212E-5</v>
      </c>
      <c r="Q22">
        <f>F22/(M22*wing_area*wmac)</f>
        <v>-4.3243332880579769E-5</v>
      </c>
      <c r="R22">
        <f>Q22-deltaCmcgt</f>
        <v>-4.2429314702966049E-5</v>
      </c>
    </row>
    <row r="23" spans="1:18" x14ac:dyDescent="0.25">
      <c r="A23">
        <v>-6.0060000000000002</v>
      </c>
      <c r="B23" s="14">
        <f>A23+deltalph</f>
        <v>-5.8984256564798967</v>
      </c>
      <c r="C23">
        <v>1.895</v>
      </c>
      <c r="D23">
        <v>-0.83599999999999997</v>
      </c>
      <c r="E23">
        <f t="shared" si="4"/>
        <v>0.83599999999999997</v>
      </c>
      <c r="F23">
        <v>-3.1179999999999999</v>
      </c>
      <c r="G23">
        <v>0.23699999999999999</v>
      </c>
      <c r="H23">
        <v>3.5999999999999997E-2</v>
      </c>
      <c r="I23">
        <v>-0.629</v>
      </c>
      <c r="J23">
        <f t="shared" si="0"/>
        <v>5.3065686975029598E-5</v>
      </c>
      <c r="K23">
        <f t="shared" si="1"/>
        <v>2.3410508871305931E-5</v>
      </c>
      <c r="L23">
        <f t="shared" si="5"/>
        <v>2.8159671341318259E-9</v>
      </c>
      <c r="M23" s="11">
        <f t="shared" si="2"/>
        <v>727.91914084511302</v>
      </c>
      <c r="N23">
        <f t="shared" si="6"/>
        <v>5.2713158932311547E-5</v>
      </c>
      <c r="O23">
        <f t="shared" si="3"/>
        <v>2.3254987265125305E-5</v>
      </c>
      <c r="P23">
        <f>O23-'No Model 65 MPH'!I23</f>
        <v>1.7570378053552212E-5</v>
      </c>
      <c r="Q23">
        <f>F23/(M23*wing_area*wmac)</f>
        <v>-4.3243332880579769E-5</v>
      </c>
      <c r="R23">
        <f>Q23-deltaCmcgt</f>
        <v>-4.2429314702966049E-5</v>
      </c>
    </row>
    <row r="24" spans="1:18" x14ac:dyDescent="0.25">
      <c r="A24">
        <v>-6.0060000000000002</v>
      </c>
      <c r="B24" s="14">
        <f>A24+deltalph</f>
        <v>-5.8984256564798967</v>
      </c>
      <c r="C24">
        <v>1.895</v>
      </c>
      <c r="D24">
        <v>-0.83599999999999997</v>
      </c>
      <c r="E24">
        <f t="shared" si="4"/>
        <v>0.83599999999999997</v>
      </c>
      <c r="F24">
        <v>-3.1179999999999999</v>
      </c>
      <c r="G24">
        <v>0.23699999999999999</v>
      </c>
      <c r="H24">
        <v>3.5999999999999997E-2</v>
      </c>
      <c r="I24">
        <v>-0.629</v>
      </c>
      <c r="J24">
        <f t="shared" si="0"/>
        <v>5.3065686975029598E-5</v>
      </c>
      <c r="K24">
        <f t="shared" si="1"/>
        <v>2.3410508871305931E-5</v>
      </c>
      <c r="L24">
        <f t="shared" si="5"/>
        <v>2.8159671341318259E-9</v>
      </c>
      <c r="M24" s="11">
        <f t="shared" si="2"/>
        <v>727.91914084511302</v>
      </c>
      <c r="N24">
        <f t="shared" si="6"/>
        <v>5.2713158932311547E-5</v>
      </c>
      <c r="O24">
        <f t="shared" si="3"/>
        <v>2.3254987265125305E-5</v>
      </c>
      <c r="P24">
        <f>O24-'No Model 65 MPH'!I24</f>
        <v>1.7570378053552212E-5</v>
      </c>
      <c r="Q24">
        <f>F24/(M24*wing_area*wmac)</f>
        <v>-4.3243332880579769E-5</v>
      </c>
      <c r="R24">
        <f>Q24-deltaCmcgt</f>
        <v>-4.2429314702966049E-5</v>
      </c>
    </row>
    <row r="25" spans="1:18" x14ac:dyDescent="0.25">
      <c r="A25">
        <v>-6.0060000000000002</v>
      </c>
      <c r="B25" s="14">
        <f>A25+deltalph</f>
        <v>-5.8984256564798967</v>
      </c>
      <c r="C25">
        <v>1.895</v>
      </c>
      <c r="D25">
        <v>-0.83599999999999997</v>
      </c>
      <c r="E25">
        <f t="shared" si="4"/>
        <v>0.83599999999999997</v>
      </c>
      <c r="F25">
        <v>-3.1179999999999999</v>
      </c>
      <c r="G25">
        <v>0.23699999999999999</v>
      </c>
      <c r="H25">
        <v>3.5999999999999997E-2</v>
      </c>
      <c r="I25">
        <v>-0.629</v>
      </c>
      <c r="J25">
        <f t="shared" si="0"/>
        <v>5.3065686975029598E-5</v>
      </c>
      <c r="K25">
        <f t="shared" si="1"/>
        <v>2.3410508871305931E-5</v>
      </c>
      <c r="L25">
        <f t="shared" si="5"/>
        <v>2.8159671341318259E-9</v>
      </c>
      <c r="M25" s="11">
        <f t="shared" si="2"/>
        <v>727.91914084511302</v>
      </c>
      <c r="N25">
        <f t="shared" si="6"/>
        <v>5.2713158932311547E-5</v>
      </c>
      <c r="O25">
        <f t="shared" si="3"/>
        <v>2.3254987265125305E-5</v>
      </c>
      <c r="P25">
        <f>O25-'No Model 65 MPH'!I25</f>
        <v>1.496609895662464E-5</v>
      </c>
      <c r="Q25">
        <f>F25/(M25*wing_area*wmac)</f>
        <v>-4.3243332880579769E-5</v>
      </c>
      <c r="R25">
        <f>Q25-deltaCmcgt</f>
        <v>-4.2429314702966049E-5</v>
      </c>
    </row>
    <row r="26" spans="1:18" x14ac:dyDescent="0.25">
      <c r="A26">
        <v>-6.0060000000000002</v>
      </c>
      <c r="B26" s="14">
        <f>A26+deltalph</f>
        <v>-5.8984256564798967</v>
      </c>
      <c r="C26">
        <v>1.895</v>
      </c>
      <c r="D26">
        <v>-0.83599999999999997</v>
      </c>
      <c r="E26">
        <f t="shared" si="4"/>
        <v>0.83599999999999997</v>
      </c>
      <c r="F26">
        <v>-3.1179999999999999</v>
      </c>
      <c r="G26">
        <v>0.23699999999999999</v>
      </c>
      <c r="H26">
        <v>3.5999999999999997E-2</v>
      </c>
      <c r="I26">
        <v>-0.629</v>
      </c>
      <c r="J26">
        <f t="shared" si="0"/>
        <v>5.3065686975029598E-5</v>
      </c>
      <c r="K26">
        <f t="shared" si="1"/>
        <v>2.3410508871305931E-5</v>
      </c>
      <c r="L26">
        <f t="shared" si="5"/>
        <v>2.8159671341318259E-9</v>
      </c>
      <c r="M26" s="11">
        <f t="shared" si="2"/>
        <v>727.91914084511302</v>
      </c>
      <c r="N26">
        <f t="shared" si="6"/>
        <v>5.2713158932311547E-5</v>
      </c>
      <c r="O26">
        <f t="shared" si="3"/>
        <v>2.3254987265125305E-5</v>
      </c>
      <c r="P26">
        <f>O26-'No Model 65 MPH'!I26</f>
        <v>1.496609895662464E-5</v>
      </c>
      <c r="Q26">
        <f>F26/(M26*wing_area*wmac)</f>
        <v>-4.3243332880579769E-5</v>
      </c>
      <c r="R26">
        <f>Q26-deltaCmcgt</f>
        <v>-4.2429314702966049E-5</v>
      </c>
    </row>
    <row r="27" spans="1:18" x14ac:dyDescent="0.25">
      <c r="A27">
        <v>-3.9950000000000001</v>
      </c>
      <c r="B27" s="14">
        <f>A27+deltalph</f>
        <v>-3.8874256564798966</v>
      </c>
      <c r="C27">
        <v>2.2370000000000001</v>
      </c>
      <c r="D27">
        <v>-0.79800000000000004</v>
      </c>
      <c r="E27">
        <f t="shared" si="4"/>
        <v>0.79800000000000004</v>
      </c>
      <c r="F27">
        <v>-9.5239999999999991</v>
      </c>
      <c r="G27">
        <v>1.4999999999999999E-2</v>
      </c>
      <c r="H27">
        <v>-2.2709999999999999</v>
      </c>
      <c r="I27">
        <v>-0.247</v>
      </c>
      <c r="J27">
        <f t="shared" si="0"/>
        <v>6.2642713331472938E-5</v>
      </c>
      <c r="K27">
        <f t="shared" si="1"/>
        <v>2.2346394831701119E-5</v>
      </c>
      <c r="L27">
        <f t="shared" si="5"/>
        <v>3.9241095335290972E-9</v>
      </c>
      <c r="M27" s="11">
        <f t="shared" si="2"/>
        <v>727.91914084511302</v>
      </c>
      <c r="N27">
        <f t="shared" si="6"/>
        <v>6.2226562813499171E-5</v>
      </c>
      <c r="O27">
        <f t="shared" si="3"/>
        <v>2.2197942389437792E-5</v>
      </c>
      <c r="P27">
        <f>O27-'No Model 65 MPH'!I27</f>
        <v>4.8080787422117345E-6</v>
      </c>
      <c r="Q27">
        <f>F27/(M27*wing_area*wmac)</f>
        <v>-1.3208771724010316E-4</v>
      </c>
      <c r="R27">
        <f>Q27-deltaCmcgt</f>
        <v>-1.3127369906248946E-4</v>
      </c>
    </row>
    <row r="28" spans="1:18" x14ac:dyDescent="0.25">
      <c r="A28">
        <v>-3.9950000000000001</v>
      </c>
      <c r="B28" s="14">
        <f>A28+deltalph</f>
        <v>-3.8874256564798966</v>
      </c>
      <c r="C28">
        <v>2.4780000000000002</v>
      </c>
      <c r="D28">
        <v>-0.75700000000000001</v>
      </c>
      <c r="E28">
        <f t="shared" si="4"/>
        <v>0.75700000000000001</v>
      </c>
      <c r="F28">
        <v>-8.7729999999999997</v>
      </c>
      <c r="G28">
        <v>0.13700000000000001</v>
      </c>
      <c r="H28">
        <v>-0.70599999999999996</v>
      </c>
      <c r="I28">
        <v>-0.30599999999999999</v>
      </c>
      <c r="J28">
        <f t="shared" si="0"/>
        <v>6.9391436582650837E-5</v>
      </c>
      <c r="K28">
        <f t="shared" si="1"/>
        <v>2.1198271788969605E-5</v>
      </c>
      <c r="L28">
        <f t="shared" si="5"/>
        <v>4.8151714710040527E-9</v>
      </c>
      <c r="M28" s="11">
        <f t="shared" si="2"/>
        <v>727.91914084511302</v>
      </c>
      <c r="N28">
        <f t="shared" si="6"/>
        <v>6.8930452682991033E-5</v>
      </c>
      <c r="O28">
        <f t="shared" si="3"/>
        <v>2.105744660251179E-5</v>
      </c>
      <c r="P28">
        <f>O28-'No Model 65 MPH'!I28</f>
        <v>3.6675829552857325E-6</v>
      </c>
      <c r="Q28">
        <f>F28/(M28*wing_area*wmac)</f>
        <v>-1.2167214860850748E-4</v>
      </c>
      <c r="R28">
        <f>Q28-deltaCmcgt</f>
        <v>-1.2085813043089376E-4</v>
      </c>
    </row>
    <row r="29" spans="1:18" x14ac:dyDescent="0.25">
      <c r="A29">
        <v>-3.9950000000000001</v>
      </c>
      <c r="B29" s="14">
        <f>A29+deltalph</f>
        <v>-3.8874256564798966</v>
      </c>
      <c r="C29">
        <v>2.4780000000000002</v>
      </c>
      <c r="D29">
        <v>-0.75700000000000001</v>
      </c>
      <c r="E29">
        <f t="shared" si="4"/>
        <v>0.75700000000000001</v>
      </c>
      <c r="F29">
        <v>-8.7729999999999997</v>
      </c>
      <c r="G29">
        <v>0.13700000000000001</v>
      </c>
      <c r="H29">
        <v>-0.70599999999999996</v>
      </c>
      <c r="I29">
        <v>-0.30599999999999999</v>
      </c>
      <c r="J29">
        <f t="shared" si="0"/>
        <v>6.9391436582650837E-5</v>
      </c>
      <c r="K29">
        <f t="shared" si="1"/>
        <v>2.1198271788969605E-5</v>
      </c>
      <c r="L29">
        <f t="shared" si="5"/>
        <v>4.8151714710040527E-9</v>
      </c>
      <c r="M29" s="11">
        <f t="shared" si="2"/>
        <v>727.91914084511302</v>
      </c>
      <c r="N29">
        <f t="shared" si="6"/>
        <v>6.8930452682991033E-5</v>
      </c>
      <c r="O29">
        <f t="shared" si="3"/>
        <v>2.105744660251179E-5</v>
      </c>
      <c r="P29">
        <f>O29-'No Model 65 MPH'!I29</f>
        <v>3.6675829552857325E-6</v>
      </c>
      <c r="Q29">
        <f>F29/(M29*wing_area*wmac)</f>
        <v>-1.2167214860850748E-4</v>
      </c>
      <c r="R29">
        <f>Q29-deltaCmcgt</f>
        <v>-1.2085813043089376E-4</v>
      </c>
    </row>
    <row r="30" spans="1:18" x14ac:dyDescent="0.25">
      <c r="A30">
        <v>-3.9950000000000001</v>
      </c>
      <c r="B30" s="14">
        <f>A30+deltalph</f>
        <v>-3.8874256564798966</v>
      </c>
      <c r="C30">
        <v>2.4780000000000002</v>
      </c>
      <c r="D30">
        <v>-0.75700000000000001</v>
      </c>
      <c r="E30">
        <f t="shared" si="4"/>
        <v>0.75700000000000001</v>
      </c>
      <c r="F30">
        <v>-8.7729999999999997</v>
      </c>
      <c r="G30">
        <v>0.13700000000000001</v>
      </c>
      <c r="H30">
        <v>-0.70599999999999996</v>
      </c>
      <c r="I30">
        <v>-0.30599999999999999</v>
      </c>
      <c r="J30">
        <f t="shared" si="0"/>
        <v>6.9391436582650837E-5</v>
      </c>
      <c r="K30">
        <f t="shared" si="1"/>
        <v>2.1198271788969605E-5</v>
      </c>
      <c r="L30">
        <f t="shared" si="5"/>
        <v>4.8151714710040527E-9</v>
      </c>
      <c r="M30" s="11">
        <f t="shared" si="2"/>
        <v>727.91914084511302</v>
      </c>
      <c r="N30">
        <f t="shared" si="6"/>
        <v>6.8930452682991033E-5</v>
      </c>
      <c r="O30">
        <f t="shared" si="3"/>
        <v>2.105744660251179E-5</v>
      </c>
      <c r="P30">
        <f>O30-'No Model 65 MPH'!I30</f>
        <v>5.2357510136507263E-6</v>
      </c>
      <c r="Q30">
        <f>F30/(M30*wing_area*wmac)</f>
        <v>-1.2167214860850748E-4</v>
      </c>
      <c r="R30">
        <f>Q30-deltaCmcgt</f>
        <v>-1.2085813043089376E-4</v>
      </c>
    </row>
    <row r="31" spans="1:18" x14ac:dyDescent="0.25">
      <c r="A31">
        <v>-3.9950000000000001</v>
      </c>
      <c r="B31" s="14">
        <f>A31+deltalph</f>
        <v>-3.8874256564798966</v>
      </c>
      <c r="C31">
        <v>2.4780000000000002</v>
      </c>
      <c r="D31">
        <v>-0.75700000000000001</v>
      </c>
      <c r="E31">
        <f t="shared" si="4"/>
        <v>0.75700000000000001</v>
      </c>
      <c r="F31">
        <v>-8.7729999999999997</v>
      </c>
      <c r="G31">
        <v>0.13700000000000001</v>
      </c>
      <c r="H31">
        <v>-0.70599999999999996</v>
      </c>
      <c r="I31">
        <v>-0.30599999999999999</v>
      </c>
      <c r="J31">
        <f t="shared" si="0"/>
        <v>6.9391436582650837E-5</v>
      </c>
      <c r="K31">
        <f t="shared" si="1"/>
        <v>2.1198271788969605E-5</v>
      </c>
      <c r="L31">
        <f t="shared" si="5"/>
        <v>4.8151714710040527E-9</v>
      </c>
      <c r="M31" s="11">
        <f t="shared" si="2"/>
        <v>727.91914084511302</v>
      </c>
      <c r="N31">
        <f t="shared" si="6"/>
        <v>6.8930452682991033E-5</v>
      </c>
      <c r="O31">
        <f t="shared" si="3"/>
        <v>2.105744660251179E-5</v>
      </c>
      <c r="P31">
        <f>O31-'No Model 65 MPH'!I31</f>
        <v>5.2357510136507263E-6</v>
      </c>
      <c r="Q31">
        <f>F31/(M31*wing_area*wmac)</f>
        <v>-1.2167214860850748E-4</v>
      </c>
      <c r="R31">
        <f>Q31-deltaCmcgt</f>
        <v>-1.2085813043089376E-4</v>
      </c>
    </row>
    <row r="32" spans="1:18" x14ac:dyDescent="0.25">
      <c r="A32">
        <v>-2.0299999999999998</v>
      </c>
      <c r="B32" s="14">
        <f>A32+deltalph</f>
        <v>-1.9224256564798961</v>
      </c>
      <c r="C32">
        <v>3.1349999999999998</v>
      </c>
      <c r="D32">
        <v>-0.68700000000000006</v>
      </c>
      <c r="E32">
        <f t="shared" si="4"/>
        <v>0.68700000000000006</v>
      </c>
      <c r="F32">
        <v>-7.6029999999999998</v>
      </c>
      <c r="G32">
        <v>9.5000000000000001E-2</v>
      </c>
      <c r="H32">
        <v>0.192</v>
      </c>
      <c r="I32">
        <v>-0.31</v>
      </c>
      <c r="J32">
        <f t="shared" si="0"/>
        <v>8.7789408267397234E-5</v>
      </c>
      <c r="K32">
        <f t="shared" si="1"/>
        <v>1.9238061716013371E-5</v>
      </c>
      <c r="L32">
        <f t="shared" si="5"/>
        <v>7.7069802039397532E-9</v>
      </c>
      <c r="M32" s="11">
        <f t="shared" si="2"/>
        <v>727.91914084511302</v>
      </c>
      <c r="N32">
        <f t="shared" si="6"/>
        <v>8.7206202244219884E-5</v>
      </c>
      <c r="O32">
        <f t="shared" si="3"/>
        <v>1.911025867361374E-5</v>
      </c>
      <c r="P32">
        <f>O32-'No Model 65 MPH'!I32</f>
        <v>3.372572087879369E-6</v>
      </c>
      <c r="Q32">
        <f>F32/(M32*wing_area*wmac)</f>
        <v>-1.054454970785914E-4</v>
      </c>
      <c r="R32">
        <f>Q32-deltaCmcgt</f>
        <v>-1.0463147890097768E-4</v>
      </c>
    </row>
    <row r="33" spans="1:18" x14ac:dyDescent="0.25">
      <c r="A33">
        <v>-2.0299999999999998</v>
      </c>
      <c r="B33" s="14">
        <f>A33+deltalph</f>
        <v>-1.9224256564798961</v>
      </c>
      <c r="C33">
        <v>3.1349999999999998</v>
      </c>
      <c r="D33">
        <v>-0.68700000000000006</v>
      </c>
      <c r="E33">
        <f t="shared" si="4"/>
        <v>0.68700000000000006</v>
      </c>
      <c r="F33">
        <v>-7.6029999999999998</v>
      </c>
      <c r="G33">
        <v>9.5000000000000001E-2</v>
      </c>
      <c r="H33">
        <v>0.192</v>
      </c>
      <c r="I33">
        <v>-0.31</v>
      </c>
      <c r="J33">
        <f t="shared" si="0"/>
        <v>8.7789408267397234E-5</v>
      </c>
      <c r="K33">
        <f t="shared" si="1"/>
        <v>1.9238061716013371E-5</v>
      </c>
      <c r="L33">
        <f t="shared" si="5"/>
        <v>7.7069802039397532E-9</v>
      </c>
      <c r="M33" s="11">
        <f t="shared" si="2"/>
        <v>727.91914084511302</v>
      </c>
      <c r="N33">
        <f t="shared" si="6"/>
        <v>8.7206202244219884E-5</v>
      </c>
      <c r="O33">
        <f t="shared" si="3"/>
        <v>1.911025867361374E-5</v>
      </c>
      <c r="P33">
        <f>O33-'No Model 65 MPH'!I33</f>
        <v>3.372572087879369E-6</v>
      </c>
      <c r="Q33">
        <f>F33/(M33*wing_area*wmac)</f>
        <v>-1.054454970785914E-4</v>
      </c>
      <c r="R33">
        <f>Q33-deltaCmcgt</f>
        <v>-1.0463147890097768E-4</v>
      </c>
    </row>
    <row r="34" spans="1:18" x14ac:dyDescent="0.25">
      <c r="A34">
        <v>-1.976</v>
      </c>
      <c r="B34" s="14">
        <f>A34+deltalph</f>
        <v>-1.8684256564798962</v>
      </c>
      <c r="C34">
        <v>3.3490000000000002</v>
      </c>
      <c r="D34">
        <v>-0.83099999999999996</v>
      </c>
      <c r="E34">
        <f t="shared" si="4"/>
        <v>0.83099999999999996</v>
      </c>
      <c r="F34">
        <v>-7.63</v>
      </c>
      <c r="G34">
        <v>0.216</v>
      </c>
      <c r="H34">
        <v>0.442</v>
      </c>
      <c r="I34">
        <v>-0.22600000000000001</v>
      </c>
      <c r="J34">
        <f t="shared" ref="J34:J65" si="7">C34/(0.5*0.002377*(65*12)^2*wing_area)</f>
        <v>9.378205049043489E-5</v>
      </c>
      <c r="K34">
        <f t="shared" ref="K34:K65" si="8">E34/(0.5*0.002377*(65*12)^2*wing_area)</f>
        <v>2.3270493866094771E-5</v>
      </c>
      <c r="L34">
        <f t="shared" si="5"/>
        <v>8.7950729941904794E-9</v>
      </c>
      <c r="M34" s="11">
        <f t="shared" ref="M34:M65" si="9">0.5*(65*12)^2*0.002377*(1+eps_tot_t)^2</f>
        <v>727.91914084511302</v>
      </c>
      <c r="N34">
        <f t="shared" ref="N34:N65" si="10">C34/(M34*wing_area)</f>
        <v>9.3159033912565363E-5</v>
      </c>
      <c r="O34">
        <f t="shared" ref="O34:O65" si="11">E34/(M34*wing_area)</f>
        <v>2.3115902413061155E-5</v>
      </c>
      <c r="P34">
        <f>O34-'No Model 65 MPH'!I34</f>
        <v>7.3782158273267843E-6</v>
      </c>
      <c r="Q34">
        <f>F34/(M34*wing_area*wmac)</f>
        <v>-1.0581995826774331E-4</v>
      </c>
      <c r="R34">
        <f>Q34-deltaCmcgt</f>
        <v>-1.0500594009012959E-4</v>
      </c>
    </row>
    <row r="35" spans="1:18" x14ac:dyDescent="0.25">
      <c r="A35">
        <v>-1.976</v>
      </c>
      <c r="B35" s="14">
        <f>A35+deltalph</f>
        <v>-1.8684256564798962</v>
      </c>
      <c r="C35">
        <v>3.3490000000000002</v>
      </c>
      <c r="D35">
        <v>-0.83099999999999996</v>
      </c>
      <c r="E35">
        <f t="shared" si="4"/>
        <v>0.83099999999999996</v>
      </c>
      <c r="F35">
        <v>-7.63</v>
      </c>
      <c r="G35">
        <v>0.216</v>
      </c>
      <c r="H35">
        <v>0.442</v>
      </c>
      <c r="I35">
        <v>-0.22600000000000001</v>
      </c>
      <c r="J35">
        <f t="shared" si="7"/>
        <v>9.378205049043489E-5</v>
      </c>
      <c r="K35">
        <f t="shared" si="8"/>
        <v>2.3270493866094771E-5</v>
      </c>
      <c r="L35">
        <f t="shared" si="5"/>
        <v>8.7950729941904794E-9</v>
      </c>
      <c r="M35" s="11">
        <f t="shared" si="9"/>
        <v>727.91914084511302</v>
      </c>
      <c r="N35">
        <f t="shared" si="10"/>
        <v>9.3159033912565363E-5</v>
      </c>
      <c r="O35">
        <f t="shared" si="11"/>
        <v>2.3115902413061155E-5</v>
      </c>
      <c r="P35">
        <f>O35-'No Model 65 MPH'!I35</f>
        <v>8.638350874227223E-6</v>
      </c>
      <c r="Q35">
        <f>F35/(M35*wing_area*wmac)</f>
        <v>-1.0581995826774331E-4</v>
      </c>
      <c r="R35">
        <f>Q35-deltaCmcgt</f>
        <v>-1.0500594009012959E-4</v>
      </c>
    </row>
    <row r="36" spans="1:18" x14ac:dyDescent="0.25">
      <c r="A36">
        <v>-1.976</v>
      </c>
      <c r="B36" s="14">
        <f>A36+deltalph</f>
        <v>-1.8684256564798962</v>
      </c>
      <c r="C36">
        <v>3.3490000000000002</v>
      </c>
      <c r="D36">
        <v>-0.83099999999999996</v>
      </c>
      <c r="E36">
        <f t="shared" si="4"/>
        <v>0.83099999999999996</v>
      </c>
      <c r="F36">
        <v>-7.63</v>
      </c>
      <c r="G36">
        <v>0.216</v>
      </c>
      <c r="H36">
        <v>0.442</v>
      </c>
      <c r="I36">
        <v>-0.22600000000000001</v>
      </c>
      <c r="J36">
        <f t="shared" si="7"/>
        <v>9.378205049043489E-5</v>
      </c>
      <c r="K36">
        <f t="shared" si="8"/>
        <v>2.3270493866094771E-5</v>
      </c>
      <c r="L36">
        <f t="shared" si="5"/>
        <v>8.7950729941904794E-9</v>
      </c>
      <c r="M36" s="11">
        <f t="shared" si="9"/>
        <v>727.91914084511302</v>
      </c>
      <c r="N36">
        <f t="shared" si="10"/>
        <v>9.3159033912565363E-5</v>
      </c>
      <c r="O36">
        <f t="shared" si="11"/>
        <v>2.3115902413061155E-5</v>
      </c>
      <c r="P36">
        <f>O36-'No Model 65 MPH'!I36</f>
        <v>8.638350874227223E-6</v>
      </c>
      <c r="Q36">
        <f>F36/(M36*wing_area*wmac)</f>
        <v>-1.0581995826774331E-4</v>
      </c>
      <c r="R36">
        <f>Q36-deltaCmcgt</f>
        <v>-1.0500594009012959E-4</v>
      </c>
    </row>
    <row r="37" spans="1:18" x14ac:dyDescent="0.25">
      <c r="A37">
        <v>1.9E-2</v>
      </c>
      <c r="B37" s="14">
        <f>A37+deltalph</f>
        <v>0.12657434352010369</v>
      </c>
      <c r="C37">
        <v>3.5470000000000002</v>
      </c>
      <c r="D37">
        <v>-0.94499999999999995</v>
      </c>
      <c r="E37">
        <f t="shared" si="4"/>
        <v>0.94499999999999995</v>
      </c>
      <c r="F37">
        <v>-9.9580000000000002</v>
      </c>
      <c r="G37">
        <v>8.0000000000000002E-3</v>
      </c>
      <c r="H37">
        <v>-0.96599999999999997</v>
      </c>
      <c r="I37">
        <v>7.2999999999999995E-2</v>
      </c>
      <c r="J37">
        <f t="shared" si="7"/>
        <v>9.932664469679682E-5</v>
      </c>
      <c r="K37">
        <f t="shared" si="8"/>
        <v>2.6462835984909216E-5</v>
      </c>
      <c r="L37">
        <f t="shared" si="5"/>
        <v>9.865782346723716E-9</v>
      </c>
      <c r="M37" s="11">
        <f t="shared" si="9"/>
        <v>727.91914084511302</v>
      </c>
      <c r="N37">
        <f t="shared" si="10"/>
        <v>9.8666794054305578E-5</v>
      </c>
      <c r="O37">
        <f t="shared" si="11"/>
        <v>2.6287037040123699E-5</v>
      </c>
      <c r="P37">
        <f>O37-'No Model 65 MPH'!I37</f>
        <v>8.8971733928976416E-6</v>
      </c>
      <c r="Q37">
        <f>F37/(M37*wing_area*wmac)</f>
        <v>-1.3810683413239684E-4</v>
      </c>
      <c r="R37">
        <f>Q37-deltaCmcgt</f>
        <v>-1.3729281595478314E-4</v>
      </c>
    </row>
    <row r="38" spans="1:18" x14ac:dyDescent="0.25">
      <c r="A38">
        <v>1.9E-2</v>
      </c>
      <c r="B38" s="14">
        <f>A38+deltalph</f>
        <v>0.12657434352010369</v>
      </c>
      <c r="C38">
        <v>3.5470000000000002</v>
      </c>
      <c r="D38">
        <v>-0.94499999999999995</v>
      </c>
      <c r="E38">
        <f t="shared" si="4"/>
        <v>0.94499999999999995</v>
      </c>
      <c r="F38">
        <v>-9.9580000000000002</v>
      </c>
      <c r="G38">
        <v>8.0000000000000002E-3</v>
      </c>
      <c r="H38">
        <v>-0.96599999999999997</v>
      </c>
      <c r="I38">
        <v>7.2999999999999995E-2</v>
      </c>
      <c r="J38">
        <f t="shared" si="7"/>
        <v>9.932664469679682E-5</v>
      </c>
      <c r="K38">
        <f t="shared" si="8"/>
        <v>2.6462835984909216E-5</v>
      </c>
      <c r="L38">
        <f t="shared" si="5"/>
        <v>9.865782346723716E-9</v>
      </c>
      <c r="M38" s="11">
        <f t="shared" si="9"/>
        <v>727.91914084511302</v>
      </c>
      <c r="N38">
        <f t="shared" si="10"/>
        <v>9.8666794054305578E-5</v>
      </c>
      <c r="O38">
        <f t="shared" si="11"/>
        <v>2.6287037040123699E-5</v>
      </c>
      <c r="P38">
        <f>O38-'No Model 65 MPH'!I38</f>
        <v>8.8971733928976416E-6</v>
      </c>
      <c r="Q38">
        <f>F38/(M38*wing_area*wmac)</f>
        <v>-1.3810683413239684E-4</v>
      </c>
      <c r="R38">
        <f>Q38-deltaCmcgt</f>
        <v>-1.3729281595478314E-4</v>
      </c>
    </row>
    <row r="39" spans="1:18" x14ac:dyDescent="0.25">
      <c r="A39">
        <v>1.9E-2</v>
      </c>
      <c r="B39" s="14">
        <f>A39+deltalph</f>
        <v>0.12657434352010369</v>
      </c>
      <c r="C39">
        <v>3.5470000000000002</v>
      </c>
      <c r="D39">
        <v>-0.94499999999999995</v>
      </c>
      <c r="E39">
        <f t="shared" si="4"/>
        <v>0.94499999999999995</v>
      </c>
      <c r="F39">
        <v>-9.9580000000000002</v>
      </c>
      <c r="G39">
        <v>8.0000000000000002E-3</v>
      </c>
      <c r="H39">
        <v>-0.96599999999999997</v>
      </c>
      <c r="I39">
        <v>7.2999999999999995E-2</v>
      </c>
      <c r="J39">
        <f t="shared" si="7"/>
        <v>9.932664469679682E-5</v>
      </c>
      <c r="K39">
        <f t="shared" si="8"/>
        <v>2.6462835984909216E-5</v>
      </c>
      <c r="L39">
        <f t="shared" si="5"/>
        <v>9.865782346723716E-9</v>
      </c>
      <c r="M39" s="11">
        <f t="shared" si="9"/>
        <v>727.91914084511302</v>
      </c>
      <c r="N39">
        <f t="shared" si="10"/>
        <v>9.8666794054305578E-5</v>
      </c>
      <c r="O39">
        <f t="shared" si="11"/>
        <v>2.6287037040123699E-5</v>
      </c>
      <c r="P39">
        <f>O39-'No Model 65 MPH'!I39</f>
        <v>8.8971733928976416E-6</v>
      </c>
      <c r="Q39">
        <f>F39/(M39*wing_area*wmac)</f>
        <v>-1.3810683413239684E-4</v>
      </c>
      <c r="R39">
        <f>Q39-deltaCmcgt</f>
        <v>-1.3729281595478314E-4</v>
      </c>
    </row>
    <row r="40" spans="1:18" x14ac:dyDescent="0.25">
      <c r="A40">
        <v>1.9E-2</v>
      </c>
      <c r="B40" s="14">
        <f>A40+deltalph</f>
        <v>0.12657434352010369</v>
      </c>
      <c r="C40">
        <v>3.5470000000000002</v>
      </c>
      <c r="D40">
        <v>-0.94499999999999995</v>
      </c>
      <c r="E40">
        <f t="shared" si="4"/>
        <v>0.94499999999999995</v>
      </c>
      <c r="F40">
        <v>-9.9580000000000002</v>
      </c>
      <c r="G40">
        <v>8.0000000000000002E-3</v>
      </c>
      <c r="H40">
        <v>-0.96599999999999997</v>
      </c>
      <c r="I40">
        <v>7.2999999999999995E-2</v>
      </c>
      <c r="J40">
        <f t="shared" si="7"/>
        <v>9.932664469679682E-5</v>
      </c>
      <c r="K40">
        <f t="shared" si="8"/>
        <v>2.6462835984909216E-5</v>
      </c>
      <c r="L40">
        <f t="shared" si="5"/>
        <v>9.865782346723716E-9</v>
      </c>
      <c r="M40" s="11">
        <f t="shared" si="9"/>
        <v>727.91914084511302</v>
      </c>
      <c r="N40">
        <f t="shared" si="10"/>
        <v>9.8666794054305578E-5</v>
      </c>
      <c r="O40">
        <f t="shared" si="11"/>
        <v>2.6287037040123699E-5</v>
      </c>
      <c r="P40">
        <f>O40-'No Model 65 MPH'!I40</f>
        <v>7.7490503501661308E-6</v>
      </c>
      <c r="Q40">
        <f>F40/(M40*wing_area*wmac)</f>
        <v>-1.3810683413239684E-4</v>
      </c>
      <c r="R40">
        <f>Q40-deltaCmcgt</f>
        <v>-1.3729281595478314E-4</v>
      </c>
    </row>
    <row r="41" spans="1:18" x14ac:dyDescent="0.25">
      <c r="A41">
        <v>1.9E-2</v>
      </c>
      <c r="B41" s="14">
        <f>A41+deltalph</f>
        <v>0.12657434352010369</v>
      </c>
      <c r="C41">
        <v>3.5470000000000002</v>
      </c>
      <c r="D41">
        <v>-0.94499999999999995</v>
      </c>
      <c r="E41">
        <f t="shared" si="4"/>
        <v>0.94499999999999995</v>
      </c>
      <c r="F41">
        <v>-9.9580000000000002</v>
      </c>
      <c r="G41">
        <v>8.0000000000000002E-3</v>
      </c>
      <c r="H41">
        <v>-0.96599999999999997</v>
      </c>
      <c r="I41">
        <v>7.2999999999999995E-2</v>
      </c>
      <c r="J41">
        <f t="shared" si="7"/>
        <v>9.932664469679682E-5</v>
      </c>
      <c r="K41">
        <f t="shared" si="8"/>
        <v>2.6462835984909216E-5</v>
      </c>
      <c r="L41">
        <f t="shared" si="5"/>
        <v>9.865782346723716E-9</v>
      </c>
      <c r="M41" s="11">
        <f t="shared" si="9"/>
        <v>727.91914084511302</v>
      </c>
      <c r="N41">
        <f t="shared" si="10"/>
        <v>9.8666794054305578E-5</v>
      </c>
      <c r="O41">
        <f t="shared" si="11"/>
        <v>2.6287037040123699E-5</v>
      </c>
      <c r="P41">
        <f>O41-'No Model 65 MPH'!I41</f>
        <v>7.7490503501661308E-6</v>
      </c>
      <c r="Q41">
        <f>F41/(M41*wing_area*wmac)</f>
        <v>-1.3810683413239684E-4</v>
      </c>
      <c r="R41">
        <f>Q41-deltaCmcgt</f>
        <v>-1.3729281595478314E-4</v>
      </c>
    </row>
    <row r="42" spans="1:18" x14ac:dyDescent="0.25">
      <c r="A42">
        <v>1.992</v>
      </c>
      <c r="B42" s="14">
        <f>A42+deltalph</f>
        <v>2.0995743435201035</v>
      </c>
      <c r="C42">
        <v>4.5270000000000001</v>
      </c>
      <c r="D42">
        <v>-0.996</v>
      </c>
      <c r="E42">
        <f t="shared" si="4"/>
        <v>0.996</v>
      </c>
      <c r="F42">
        <v>-12.76</v>
      </c>
      <c r="G42">
        <v>0.112</v>
      </c>
      <c r="H42">
        <v>-0.60099999999999998</v>
      </c>
      <c r="I42">
        <v>0.16500000000000001</v>
      </c>
      <c r="J42">
        <f t="shared" si="7"/>
        <v>1.2676958571818415E-4</v>
      </c>
      <c r="K42">
        <f t="shared" si="8"/>
        <v>2.7890989038063049E-5</v>
      </c>
      <c r="L42">
        <f t="shared" si="5"/>
        <v>1.6070527863160038E-8</v>
      </c>
      <c r="M42" s="11">
        <f t="shared" si="9"/>
        <v>727.91914084511302</v>
      </c>
      <c r="N42">
        <f t="shared" si="10"/>
        <v>1.259274250588783E-4</v>
      </c>
      <c r="O42">
        <f t="shared" si="11"/>
        <v>2.7705702531177993E-5</v>
      </c>
      <c r="P42">
        <f>O42-'No Model 65 MPH'!I42</f>
        <v>8.4396378141223944E-6</v>
      </c>
      <c r="Q42">
        <f>F42/(M42*wing_area*wmac)</f>
        <v>-1.7696758420660612E-4</v>
      </c>
      <c r="R42">
        <f>Q42-deltaCmcgt</f>
        <v>-1.7615356602899241E-4</v>
      </c>
    </row>
    <row r="43" spans="1:18" x14ac:dyDescent="0.25">
      <c r="A43">
        <v>1.992</v>
      </c>
      <c r="B43" s="14">
        <f>A43+deltalph</f>
        <v>2.0995743435201035</v>
      </c>
      <c r="C43">
        <v>4.5270000000000001</v>
      </c>
      <c r="D43">
        <v>-0.996</v>
      </c>
      <c r="E43">
        <f t="shared" si="4"/>
        <v>0.996</v>
      </c>
      <c r="F43">
        <v>-12.76</v>
      </c>
      <c r="G43">
        <v>0.112</v>
      </c>
      <c r="H43">
        <v>-0.60099999999999998</v>
      </c>
      <c r="I43">
        <v>0.16500000000000001</v>
      </c>
      <c r="J43">
        <f t="shared" si="7"/>
        <v>1.2676958571818415E-4</v>
      </c>
      <c r="K43">
        <f t="shared" si="8"/>
        <v>2.7890989038063049E-5</v>
      </c>
      <c r="L43">
        <f t="shared" si="5"/>
        <v>1.6070527863160038E-8</v>
      </c>
      <c r="M43" s="11">
        <f t="shared" si="9"/>
        <v>727.91914084511302</v>
      </c>
      <c r="N43">
        <f t="shared" si="10"/>
        <v>1.259274250588783E-4</v>
      </c>
      <c r="O43">
        <f t="shared" si="11"/>
        <v>2.7705702531177993E-5</v>
      </c>
      <c r="P43">
        <f>O43-'No Model 65 MPH'!I43</f>
        <v>8.4396378141223944E-6</v>
      </c>
      <c r="Q43">
        <f>F43/(M43*wing_area*wmac)</f>
        <v>-1.7696758420660612E-4</v>
      </c>
      <c r="R43">
        <f>Q43-deltaCmcgt</f>
        <v>-1.7615356602899241E-4</v>
      </c>
    </row>
    <row r="44" spans="1:18" x14ac:dyDescent="0.25">
      <c r="A44">
        <v>1.99</v>
      </c>
      <c r="B44" s="14">
        <f>A44+deltalph</f>
        <v>2.0975743435201037</v>
      </c>
      <c r="C44">
        <v>4.4000000000000004</v>
      </c>
      <c r="D44">
        <v>-1.0860000000000001</v>
      </c>
      <c r="E44">
        <f t="shared" si="4"/>
        <v>1.0860000000000001</v>
      </c>
      <c r="F44">
        <v>-14.260999999999999</v>
      </c>
      <c r="G44">
        <v>0.17799999999999999</v>
      </c>
      <c r="H44">
        <v>-0.248</v>
      </c>
      <c r="I44">
        <v>0.14899999999999999</v>
      </c>
      <c r="J44">
        <f t="shared" si="7"/>
        <v>1.232132045858207E-4</v>
      </c>
      <c r="K44">
        <f t="shared" si="8"/>
        <v>3.0411259131863927E-5</v>
      </c>
      <c r="L44">
        <f t="shared" si="5"/>
        <v>1.5181493784307306E-8</v>
      </c>
      <c r="M44" s="11">
        <f t="shared" si="9"/>
        <v>727.91914084511302</v>
      </c>
      <c r="N44">
        <f t="shared" si="10"/>
        <v>1.2239466981644898E-4</v>
      </c>
      <c r="O44">
        <f t="shared" si="11"/>
        <v>3.0209229868332636E-5</v>
      </c>
      <c r="P44">
        <f>O44-'No Model 65 MPH'!I44</f>
        <v>8.3108830533072313E-6</v>
      </c>
      <c r="Q44">
        <f>F44/(M44*wing_area*wmac)</f>
        <v>-1.9778485253686595E-4</v>
      </c>
      <c r="R44">
        <f>Q44-deltaCmcgt</f>
        <v>-1.9697083435925224E-4</v>
      </c>
    </row>
    <row r="45" spans="1:18" x14ac:dyDescent="0.25">
      <c r="A45">
        <v>1.99</v>
      </c>
      <c r="B45" s="14">
        <f>A45+deltalph</f>
        <v>2.0975743435201037</v>
      </c>
      <c r="C45">
        <v>4.4000000000000004</v>
      </c>
      <c r="D45">
        <v>-1.0860000000000001</v>
      </c>
      <c r="E45">
        <f t="shared" si="4"/>
        <v>1.0860000000000001</v>
      </c>
      <c r="F45">
        <v>-14.260999999999999</v>
      </c>
      <c r="G45">
        <v>0.17799999999999999</v>
      </c>
      <c r="H45">
        <v>-0.248</v>
      </c>
      <c r="I45">
        <v>0.14899999999999999</v>
      </c>
      <c r="J45">
        <f t="shared" si="7"/>
        <v>1.232132045858207E-4</v>
      </c>
      <c r="K45">
        <f t="shared" si="8"/>
        <v>3.0411259131863927E-5</v>
      </c>
      <c r="L45">
        <f t="shared" si="5"/>
        <v>1.5181493784307306E-8</v>
      </c>
      <c r="M45" s="11">
        <f t="shared" si="9"/>
        <v>727.91914084511302</v>
      </c>
      <c r="N45">
        <f t="shared" si="10"/>
        <v>1.2239466981644898E-4</v>
      </c>
      <c r="O45">
        <f t="shared" si="11"/>
        <v>3.0209229868332636E-5</v>
      </c>
      <c r="P45">
        <f>O45-'No Model 65 MPH'!I45</f>
        <v>8.3108830533072313E-6</v>
      </c>
      <c r="Q45">
        <f>F45/(M45*wing_area*wmac)</f>
        <v>-1.9778485253686595E-4</v>
      </c>
      <c r="R45">
        <f>Q45-deltaCmcgt</f>
        <v>-1.9697083435925224E-4</v>
      </c>
    </row>
    <row r="46" spans="1:18" x14ac:dyDescent="0.25">
      <c r="A46">
        <v>1.99</v>
      </c>
      <c r="B46" s="14">
        <f>A46+deltalph</f>
        <v>2.0975743435201037</v>
      </c>
      <c r="C46">
        <v>4.4000000000000004</v>
      </c>
      <c r="D46">
        <v>-1.0860000000000001</v>
      </c>
      <c r="E46">
        <f t="shared" si="4"/>
        <v>1.0860000000000001</v>
      </c>
      <c r="F46">
        <v>-14.260999999999999</v>
      </c>
      <c r="G46">
        <v>0.17799999999999999</v>
      </c>
      <c r="H46">
        <v>-0.248</v>
      </c>
      <c r="I46">
        <v>0.14899999999999999</v>
      </c>
      <c r="J46">
        <f t="shared" si="7"/>
        <v>1.232132045858207E-4</v>
      </c>
      <c r="K46">
        <f t="shared" si="8"/>
        <v>3.0411259131863927E-5</v>
      </c>
      <c r="L46">
        <f t="shared" si="5"/>
        <v>1.5181493784307306E-8</v>
      </c>
      <c r="M46" s="11">
        <f t="shared" si="9"/>
        <v>727.91914084511302</v>
      </c>
      <c r="N46">
        <f t="shared" si="10"/>
        <v>1.2239466981644898E-4</v>
      </c>
      <c r="O46">
        <f t="shared" si="11"/>
        <v>3.0209229868332636E-5</v>
      </c>
      <c r="P46">
        <f>O46-'No Model 65 MPH'!I46</f>
        <v>8.3108830533072313E-6</v>
      </c>
      <c r="Q46">
        <f>F46/(M46*wing_area*wmac)</f>
        <v>-1.9778485253686595E-4</v>
      </c>
      <c r="R46">
        <f>Q46-deltaCmcgt</f>
        <v>-1.9697083435925224E-4</v>
      </c>
    </row>
    <row r="47" spans="1:18" x14ac:dyDescent="0.25">
      <c r="A47">
        <v>3.9750000000000001</v>
      </c>
      <c r="B47" s="14">
        <f>A47+deltalph</f>
        <v>4.0825743435201041</v>
      </c>
      <c r="C47">
        <v>5.2990000000000004</v>
      </c>
      <c r="D47">
        <v>-1.165</v>
      </c>
      <c r="E47">
        <f t="shared" si="4"/>
        <v>1.165</v>
      </c>
      <c r="F47">
        <v>-17.616</v>
      </c>
      <c r="G47">
        <v>0.121</v>
      </c>
      <c r="H47">
        <v>-0.316</v>
      </c>
      <c r="I47">
        <v>0.50600000000000001</v>
      </c>
      <c r="J47">
        <f t="shared" si="7"/>
        <v>1.4838790252278726E-4</v>
      </c>
      <c r="K47">
        <f t="shared" si="8"/>
        <v>3.2623496214200252E-5</v>
      </c>
      <c r="L47">
        <f t="shared" si="5"/>
        <v>2.2018969615112213E-8</v>
      </c>
      <c r="M47" s="11">
        <f t="shared" si="9"/>
        <v>727.91914084511302</v>
      </c>
      <c r="N47">
        <f t="shared" si="10"/>
        <v>1.4740212621758254E-4</v>
      </c>
      <c r="O47">
        <f t="shared" si="11"/>
        <v>3.2406770530946151E-5</v>
      </c>
      <c r="P47">
        <f>O47-'No Model 65 MPH'!I47</f>
        <v>7.0080485856417469E-6</v>
      </c>
      <c r="Q47">
        <f>F47/(M47*wing_area*wmac)</f>
        <v>-2.4431512252222359E-4</v>
      </c>
      <c r="R47">
        <f>Q47-deltaCmcgt</f>
        <v>-2.4350110434460988E-4</v>
      </c>
    </row>
    <row r="48" spans="1:18" x14ac:dyDescent="0.25">
      <c r="A48">
        <v>3.9750000000000001</v>
      </c>
      <c r="B48" s="14">
        <f>A48+deltalph</f>
        <v>4.0825743435201041</v>
      </c>
      <c r="C48">
        <v>5.2990000000000004</v>
      </c>
      <c r="D48">
        <v>-1.165</v>
      </c>
      <c r="E48">
        <f t="shared" si="4"/>
        <v>1.165</v>
      </c>
      <c r="F48">
        <v>-17.616</v>
      </c>
      <c r="G48">
        <v>0.121</v>
      </c>
      <c r="H48">
        <v>-0.316</v>
      </c>
      <c r="I48">
        <v>0.50600000000000001</v>
      </c>
      <c r="J48">
        <f t="shared" si="7"/>
        <v>1.4838790252278726E-4</v>
      </c>
      <c r="K48">
        <f t="shared" si="8"/>
        <v>3.2623496214200252E-5</v>
      </c>
      <c r="L48">
        <f t="shared" si="5"/>
        <v>2.2018969615112213E-8</v>
      </c>
      <c r="M48" s="11">
        <f t="shared" si="9"/>
        <v>727.91914084511302</v>
      </c>
      <c r="N48">
        <f t="shared" si="10"/>
        <v>1.4740212621758254E-4</v>
      </c>
      <c r="O48">
        <f t="shared" si="11"/>
        <v>3.2406770530946151E-5</v>
      </c>
      <c r="P48">
        <f>O48-'No Model 65 MPH'!I48</f>
        <v>7.0080485856417469E-6</v>
      </c>
      <c r="Q48">
        <f>F48/(M48*wing_area*wmac)</f>
        <v>-2.4431512252222359E-4</v>
      </c>
      <c r="R48">
        <f>Q48-deltaCmcgt</f>
        <v>-2.4350110434460988E-4</v>
      </c>
    </row>
    <row r="49" spans="1:18" x14ac:dyDescent="0.25">
      <c r="A49">
        <v>4.0259999999999998</v>
      </c>
      <c r="B49" s="14">
        <f>A49+deltalph</f>
        <v>4.1335743435201033</v>
      </c>
      <c r="C49">
        <v>5.5039999999999996</v>
      </c>
      <c r="D49">
        <v>-1.272</v>
      </c>
      <c r="E49">
        <f t="shared" si="4"/>
        <v>1.272</v>
      </c>
      <c r="F49">
        <v>-18.001000000000001</v>
      </c>
      <c r="G49">
        <v>0.104</v>
      </c>
      <c r="H49">
        <v>-0.18099999999999999</v>
      </c>
      <c r="I49">
        <v>0.46</v>
      </c>
      <c r="J49">
        <f t="shared" si="7"/>
        <v>1.5412851773644479E-4</v>
      </c>
      <c r="K49">
        <f t="shared" si="8"/>
        <v>3.5619817325719073E-5</v>
      </c>
      <c r="L49">
        <f t="shared" si="5"/>
        <v>2.3755599979633578E-8</v>
      </c>
      <c r="M49" s="11">
        <f t="shared" si="9"/>
        <v>727.91914084511302</v>
      </c>
      <c r="N49">
        <f t="shared" si="10"/>
        <v>1.5310460515221251E-4</v>
      </c>
      <c r="O49">
        <f t="shared" si="11"/>
        <v>3.5383186365118883E-5</v>
      </c>
      <c r="P49">
        <f>O49-'No Model 65 MPH'!I49</f>
        <v>9.396401397927608E-6</v>
      </c>
      <c r="Q49">
        <f>F49/(M49*wing_area*wmac)</f>
        <v>-2.4965466170087121E-4</v>
      </c>
      <c r="R49">
        <f>Q49-deltaCmcgt</f>
        <v>-2.4884064352325748E-4</v>
      </c>
    </row>
    <row r="50" spans="1:18" x14ac:dyDescent="0.25">
      <c r="A50">
        <v>4.0259999999999998</v>
      </c>
      <c r="B50" s="14">
        <f>A50+deltalph</f>
        <v>4.1335743435201033</v>
      </c>
      <c r="C50">
        <v>5.5039999999999996</v>
      </c>
      <c r="D50">
        <v>-1.272</v>
      </c>
      <c r="E50">
        <f t="shared" si="4"/>
        <v>1.272</v>
      </c>
      <c r="F50">
        <v>-18.001000000000001</v>
      </c>
      <c r="G50">
        <v>0.104</v>
      </c>
      <c r="H50">
        <v>-0.18099999999999999</v>
      </c>
      <c r="I50">
        <v>0.46</v>
      </c>
      <c r="J50">
        <f t="shared" si="7"/>
        <v>1.5412851773644479E-4</v>
      </c>
      <c r="K50">
        <f t="shared" si="8"/>
        <v>3.5619817325719073E-5</v>
      </c>
      <c r="L50">
        <f t="shared" si="5"/>
        <v>2.3755599979633578E-8</v>
      </c>
      <c r="M50" s="11">
        <f t="shared" si="9"/>
        <v>727.91914084511302</v>
      </c>
      <c r="N50">
        <f t="shared" si="10"/>
        <v>1.5310460515221251E-4</v>
      </c>
      <c r="O50">
        <f t="shared" si="11"/>
        <v>3.5383186365118883E-5</v>
      </c>
      <c r="P50">
        <f>O50-'No Model 65 MPH'!I50</f>
        <v>9.396401397927608E-6</v>
      </c>
      <c r="Q50">
        <f>F50/(M50*wing_area*wmac)</f>
        <v>-2.4965466170087121E-4</v>
      </c>
      <c r="R50">
        <f>Q50-deltaCmcgt</f>
        <v>-2.4884064352325748E-4</v>
      </c>
    </row>
    <row r="51" spans="1:18" x14ac:dyDescent="0.25">
      <c r="A51">
        <v>4.0259999999999998</v>
      </c>
      <c r="B51" s="14">
        <f>A51+deltalph</f>
        <v>4.1335743435201033</v>
      </c>
      <c r="C51">
        <v>5.5039999999999996</v>
      </c>
      <c r="D51">
        <v>-1.272</v>
      </c>
      <c r="E51">
        <f t="shared" si="4"/>
        <v>1.272</v>
      </c>
      <c r="F51">
        <v>-18.001000000000001</v>
      </c>
      <c r="G51">
        <v>0.104</v>
      </c>
      <c r="H51">
        <v>-0.18099999999999999</v>
      </c>
      <c r="I51">
        <v>0.46</v>
      </c>
      <c r="J51">
        <f t="shared" si="7"/>
        <v>1.5412851773644479E-4</v>
      </c>
      <c r="K51">
        <f t="shared" si="8"/>
        <v>3.5619817325719073E-5</v>
      </c>
      <c r="L51">
        <f t="shared" si="5"/>
        <v>2.3755599979633578E-8</v>
      </c>
      <c r="M51" s="11">
        <f t="shared" si="9"/>
        <v>727.91914084511302</v>
      </c>
      <c r="N51">
        <f t="shared" si="10"/>
        <v>1.5310460515221251E-4</v>
      </c>
      <c r="O51">
        <f t="shared" si="11"/>
        <v>3.5383186365118883E-5</v>
      </c>
      <c r="P51">
        <f>O51-'No Model 65 MPH'!I51</f>
        <v>9.396401397927608E-6</v>
      </c>
      <c r="Q51">
        <f>F51/(M51*wing_area*wmac)</f>
        <v>-2.4965466170087121E-4</v>
      </c>
      <c r="R51">
        <f>Q51-deltaCmcgt</f>
        <v>-2.4884064352325748E-4</v>
      </c>
    </row>
    <row r="52" spans="1:18" x14ac:dyDescent="0.25">
      <c r="A52">
        <v>6.0010000000000003</v>
      </c>
      <c r="B52" s="14">
        <f>A52+deltalph</f>
        <v>6.1085743435201039</v>
      </c>
      <c r="C52">
        <v>6.0819999999999999</v>
      </c>
      <c r="D52">
        <v>-1.554</v>
      </c>
      <c r="E52">
        <f t="shared" si="4"/>
        <v>1.554</v>
      </c>
      <c r="F52">
        <v>-24.145</v>
      </c>
      <c r="G52">
        <v>0.17199999999999999</v>
      </c>
      <c r="H52">
        <v>0.21299999999999999</v>
      </c>
      <c r="I52">
        <v>0.65600000000000003</v>
      </c>
      <c r="J52">
        <f t="shared" si="7"/>
        <v>1.7031425233885489E-4</v>
      </c>
      <c r="K52">
        <f t="shared" si="8"/>
        <v>4.3516663619628489E-5</v>
      </c>
      <c r="L52">
        <f t="shared" si="5"/>
        <v>2.9006944549743138E-8</v>
      </c>
      <c r="M52" s="11">
        <f t="shared" si="9"/>
        <v>727.91914084511302</v>
      </c>
      <c r="N52">
        <f t="shared" si="10"/>
        <v>1.6918281405082787E-4</v>
      </c>
      <c r="O52">
        <f t="shared" si="11"/>
        <v>4.3227572021536751E-5</v>
      </c>
      <c r="P52">
        <f>O52-'No Model 65 MPH'!I52</f>
        <v>1.9088985123132789E-5</v>
      </c>
      <c r="Q52">
        <f>F52/(M52*wing_area*wmac)</f>
        <v>-3.3486538563232794E-4</v>
      </c>
      <c r="R52">
        <f>Q52-deltaCmcgt</f>
        <v>-3.340513674547142E-4</v>
      </c>
    </row>
    <row r="53" spans="1:18" x14ac:dyDescent="0.25">
      <c r="A53">
        <v>6.0149999999999997</v>
      </c>
      <c r="B53" s="14">
        <f>A53+deltalph</f>
        <v>6.1225743435201032</v>
      </c>
      <c r="C53">
        <v>5.7469999999999999</v>
      </c>
      <c r="D53">
        <v>-1.4950000000000001</v>
      </c>
      <c r="E53">
        <f t="shared" si="4"/>
        <v>1.4950000000000001</v>
      </c>
      <c r="F53">
        <v>-23.291</v>
      </c>
      <c r="G53">
        <v>0.20899999999999999</v>
      </c>
      <c r="H53">
        <v>-5.0000000000000001E-3</v>
      </c>
      <c r="I53">
        <v>0.65700000000000003</v>
      </c>
      <c r="J53">
        <f t="shared" si="7"/>
        <v>1.6093324698970716E-4</v>
      </c>
      <c r="K53">
        <f t="shared" si="8"/>
        <v>4.186448655813681E-5</v>
      </c>
      <c r="L53">
        <f t="shared" si="5"/>
        <v>2.5899509986650089E-8</v>
      </c>
      <c r="M53" s="11">
        <f t="shared" si="9"/>
        <v>727.91914084511302</v>
      </c>
      <c r="N53">
        <f t="shared" si="10"/>
        <v>1.5986412896253004E-4</v>
      </c>
      <c r="O53">
        <f t="shared" si="11"/>
        <v>4.1586370767179821E-5</v>
      </c>
      <c r="P53">
        <f>O53-'No Model 65 MPH'!I53</f>
        <v>1.7447783868775859E-5</v>
      </c>
      <c r="Q53">
        <f>F53/(M53*wing_area*wmac)</f>
        <v>-3.2302131690878236E-4</v>
      </c>
      <c r="R53">
        <f>Q53-deltaCmcgt</f>
        <v>-3.2220729873116863E-4</v>
      </c>
    </row>
    <row r="54" spans="1:18" x14ac:dyDescent="0.25">
      <c r="A54">
        <v>6.0149999999999997</v>
      </c>
      <c r="B54" s="14">
        <f>A54+deltalph</f>
        <v>6.1225743435201032</v>
      </c>
      <c r="C54">
        <v>5.7469999999999999</v>
      </c>
      <c r="D54">
        <v>-1.4950000000000001</v>
      </c>
      <c r="E54">
        <f t="shared" si="4"/>
        <v>1.4950000000000001</v>
      </c>
      <c r="F54">
        <v>-23.291</v>
      </c>
      <c r="G54">
        <v>0.20899999999999999</v>
      </c>
      <c r="H54">
        <v>-5.0000000000000001E-3</v>
      </c>
      <c r="I54">
        <v>0.65700000000000003</v>
      </c>
      <c r="J54">
        <f t="shared" si="7"/>
        <v>1.6093324698970716E-4</v>
      </c>
      <c r="K54">
        <f t="shared" si="8"/>
        <v>4.186448655813681E-5</v>
      </c>
      <c r="L54">
        <f t="shared" si="5"/>
        <v>2.5899509986650089E-8</v>
      </c>
      <c r="M54" s="11">
        <f t="shared" si="9"/>
        <v>727.91914084511302</v>
      </c>
      <c r="N54">
        <f t="shared" si="10"/>
        <v>1.5986412896253004E-4</v>
      </c>
      <c r="O54">
        <f t="shared" si="11"/>
        <v>4.1586370767179821E-5</v>
      </c>
      <c r="P54">
        <f>O54-'No Model 65 MPH'!I54</f>
        <v>1.7447783868775859E-5</v>
      </c>
      <c r="Q54">
        <f>F54/(M54*wing_area*wmac)</f>
        <v>-3.2302131690878236E-4</v>
      </c>
      <c r="R54">
        <f>Q54-deltaCmcgt</f>
        <v>-3.2220729873116863E-4</v>
      </c>
    </row>
    <row r="55" spans="1:18" x14ac:dyDescent="0.25">
      <c r="A55">
        <v>6.0149999999999997</v>
      </c>
      <c r="B55" s="14">
        <f>A55+deltalph</f>
        <v>6.1225743435201032</v>
      </c>
      <c r="C55">
        <v>5.7469999999999999</v>
      </c>
      <c r="D55">
        <v>-1.4950000000000001</v>
      </c>
      <c r="E55">
        <f t="shared" si="4"/>
        <v>1.4950000000000001</v>
      </c>
      <c r="F55">
        <v>-23.291</v>
      </c>
      <c r="G55">
        <v>0.20899999999999999</v>
      </c>
      <c r="H55">
        <v>-5.0000000000000001E-3</v>
      </c>
      <c r="I55">
        <v>0.65700000000000003</v>
      </c>
      <c r="J55">
        <f t="shared" si="7"/>
        <v>1.6093324698970716E-4</v>
      </c>
      <c r="K55">
        <f t="shared" si="8"/>
        <v>4.186448655813681E-5</v>
      </c>
      <c r="L55">
        <f t="shared" si="5"/>
        <v>2.5899509986650089E-8</v>
      </c>
      <c r="M55" s="11">
        <f t="shared" si="9"/>
        <v>727.91914084511302</v>
      </c>
      <c r="N55">
        <f t="shared" si="10"/>
        <v>1.5986412896253004E-4</v>
      </c>
      <c r="O55">
        <f t="shared" si="11"/>
        <v>4.1586370767179821E-5</v>
      </c>
      <c r="P55">
        <f>O55-'No Model 65 MPH'!I55</f>
        <v>1.845589190629621E-5</v>
      </c>
      <c r="Q55">
        <f>F55/(M55*wing_area*wmac)</f>
        <v>-3.2302131690878236E-4</v>
      </c>
      <c r="R55">
        <f>Q55-deltaCmcgt</f>
        <v>-3.2220729873116863E-4</v>
      </c>
    </row>
    <row r="56" spans="1:18" x14ac:dyDescent="0.25">
      <c r="A56">
        <v>6.0149999999999997</v>
      </c>
      <c r="B56" s="14">
        <f>A56+deltalph</f>
        <v>6.1225743435201032</v>
      </c>
      <c r="C56">
        <v>5.7469999999999999</v>
      </c>
      <c r="D56">
        <v>-1.4950000000000001</v>
      </c>
      <c r="E56">
        <f t="shared" si="4"/>
        <v>1.4950000000000001</v>
      </c>
      <c r="F56">
        <v>-23.291</v>
      </c>
      <c r="G56">
        <v>0.20899999999999999</v>
      </c>
      <c r="H56">
        <v>-5.0000000000000001E-3</v>
      </c>
      <c r="I56">
        <v>0.65700000000000003</v>
      </c>
      <c r="J56">
        <f t="shared" si="7"/>
        <v>1.6093324698970716E-4</v>
      </c>
      <c r="K56">
        <f t="shared" si="8"/>
        <v>4.186448655813681E-5</v>
      </c>
      <c r="L56">
        <f t="shared" si="5"/>
        <v>2.5899509986650089E-8</v>
      </c>
      <c r="M56" s="11">
        <f t="shared" si="9"/>
        <v>727.91914084511302</v>
      </c>
      <c r="N56">
        <f t="shared" si="10"/>
        <v>1.5986412896253004E-4</v>
      </c>
      <c r="O56">
        <f t="shared" si="11"/>
        <v>4.1586370767179821E-5</v>
      </c>
      <c r="P56">
        <f>O56-'No Model 65 MPH'!I56</f>
        <v>7.5067184987835059E-6</v>
      </c>
      <c r="Q56">
        <f>F56/(M56*wing_area*wmac)</f>
        <v>-3.2302131690878236E-4</v>
      </c>
      <c r="R56">
        <f>Q56-deltaCmcgt</f>
        <v>-3.2220729873116863E-4</v>
      </c>
    </row>
    <row r="57" spans="1:18" x14ac:dyDescent="0.25">
      <c r="A57">
        <v>7.9880000000000004</v>
      </c>
      <c r="B57" s="14">
        <f>A57+deltalph</f>
        <v>8.095574343520104</v>
      </c>
      <c r="C57">
        <v>6.4329999999999998</v>
      </c>
      <c r="D57">
        <v>-1.7070000000000001</v>
      </c>
      <c r="E57">
        <f t="shared" si="4"/>
        <v>1.7070000000000001</v>
      </c>
      <c r="F57">
        <v>-26.684000000000001</v>
      </c>
      <c r="G57">
        <v>5.3999999999999999E-2</v>
      </c>
      <c r="H57">
        <v>-0.71199999999999997</v>
      </c>
      <c r="I57">
        <v>0.877</v>
      </c>
      <c r="J57">
        <f t="shared" si="7"/>
        <v>1.801433057046783E-4</v>
      </c>
      <c r="K57">
        <f t="shared" si="8"/>
        <v>4.7801122779089987E-5</v>
      </c>
      <c r="L57">
        <f t="shared" si="5"/>
        <v>3.2451610590209183E-8</v>
      </c>
      <c r="M57" s="11">
        <f t="shared" si="9"/>
        <v>727.91914084511302</v>
      </c>
      <c r="N57">
        <f t="shared" si="10"/>
        <v>1.7894657066573096E-4</v>
      </c>
      <c r="O57">
        <f t="shared" si="11"/>
        <v>4.7483568494699638E-5</v>
      </c>
      <c r="P57">
        <f>O57-'No Model 65 MPH'!I57</f>
        <v>1.3403916226303323E-5</v>
      </c>
      <c r="Q57">
        <f>F57/(M57*wing_area*wmac)</f>
        <v>-3.7007860634553902E-4</v>
      </c>
      <c r="R57">
        <f>Q57-deltaCmcgt</f>
        <v>-3.6926458816792529E-4</v>
      </c>
    </row>
    <row r="58" spans="1:18" x14ac:dyDescent="0.25">
      <c r="A58">
        <v>7.9880000000000004</v>
      </c>
      <c r="B58" s="14">
        <f>A58+deltalph</f>
        <v>8.095574343520104</v>
      </c>
      <c r="C58">
        <v>6.4329999999999998</v>
      </c>
      <c r="D58">
        <v>-1.7070000000000001</v>
      </c>
      <c r="E58">
        <f t="shared" si="4"/>
        <v>1.7070000000000001</v>
      </c>
      <c r="F58">
        <v>-26.684000000000001</v>
      </c>
      <c r="G58">
        <v>5.3999999999999999E-2</v>
      </c>
      <c r="H58">
        <v>-0.71199999999999997</v>
      </c>
      <c r="I58">
        <v>0.877</v>
      </c>
      <c r="J58">
        <f t="shared" si="7"/>
        <v>1.801433057046783E-4</v>
      </c>
      <c r="K58">
        <f t="shared" si="8"/>
        <v>4.7801122779089987E-5</v>
      </c>
      <c r="L58">
        <f t="shared" si="5"/>
        <v>3.2451610590209183E-8</v>
      </c>
      <c r="M58" s="11">
        <f t="shared" si="9"/>
        <v>727.91914084511302</v>
      </c>
      <c r="N58">
        <f t="shared" si="10"/>
        <v>1.7894657066573096E-4</v>
      </c>
      <c r="O58">
        <f t="shared" si="11"/>
        <v>4.7483568494699638E-5</v>
      </c>
      <c r="P58">
        <f>O58-'No Model 65 MPH'!I58</f>
        <v>1.3403916226303323E-5</v>
      </c>
      <c r="Q58">
        <f>F58/(M58*wing_area*wmac)</f>
        <v>-3.7007860634553902E-4</v>
      </c>
      <c r="R58">
        <f>Q58-deltaCmcgt</f>
        <v>-3.6926458816792529E-4</v>
      </c>
    </row>
    <row r="59" spans="1:18" x14ac:dyDescent="0.25">
      <c r="A59">
        <v>8.0570000000000004</v>
      </c>
      <c r="B59" s="14">
        <f>A59+deltalph</f>
        <v>8.1645743435201048</v>
      </c>
      <c r="C59">
        <v>6.4450000000000003</v>
      </c>
      <c r="D59">
        <v>-1.6180000000000001</v>
      </c>
      <c r="E59">
        <f t="shared" si="4"/>
        <v>1.6180000000000001</v>
      </c>
      <c r="F59">
        <v>-25.286999999999999</v>
      </c>
      <c r="G59">
        <v>-8.5999999999999993E-2</v>
      </c>
      <c r="H59">
        <v>-2.2000000000000002</v>
      </c>
      <c r="I59">
        <v>0.96499999999999997</v>
      </c>
      <c r="J59">
        <f t="shared" si="7"/>
        <v>1.8047934171718508E-4</v>
      </c>
      <c r="K59">
        <f t="shared" si="8"/>
        <v>4.5308855686331342E-5</v>
      </c>
      <c r="L59">
        <f t="shared" si="5"/>
        <v>3.2572792786668466E-8</v>
      </c>
      <c r="M59" s="11">
        <f t="shared" si="9"/>
        <v>727.91914084511302</v>
      </c>
      <c r="N59">
        <f t="shared" si="10"/>
        <v>1.7928037431068491E-4</v>
      </c>
      <c r="O59">
        <f t="shared" si="11"/>
        <v>4.500785812795783E-5</v>
      </c>
      <c r="P59">
        <f>O59-'No Model 65 MPH'!I59</f>
        <v>1.6388791062796749E-5</v>
      </c>
      <c r="Q59">
        <f>F59/(M59*wing_area*wmac)</f>
        <v>-3.5070370704016053E-4</v>
      </c>
      <c r="R59">
        <f>Q59-deltaCmcgt</f>
        <v>-3.498896888625468E-4</v>
      </c>
    </row>
    <row r="60" spans="1:18" x14ac:dyDescent="0.25">
      <c r="A60">
        <v>8.0570000000000004</v>
      </c>
      <c r="B60" s="14">
        <f>A60+deltalph</f>
        <v>8.1645743435201048</v>
      </c>
      <c r="C60">
        <v>6.4450000000000003</v>
      </c>
      <c r="D60">
        <v>-1.6180000000000001</v>
      </c>
      <c r="E60">
        <f t="shared" si="4"/>
        <v>1.6180000000000001</v>
      </c>
      <c r="F60">
        <v>-25.286999999999999</v>
      </c>
      <c r="G60">
        <v>-8.5999999999999993E-2</v>
      </c>
      <c r="H60">
        <v>-2.2000000000000002</v>
      </c>
      <c r="I60">
        <v>0.96499999999999997</v>
      </c>
      <c r="J60">
        <f t="shared" si="7"/>
        <v>1.8047934171718508E-4</v>
      </c>
      <c r="K60">
        <f t="shared" si="8"/>
        <v>4.5308855686331342E-5</v>
      </c>
      <c r="L60">
        <f t="shared" si="5"/>
        <v>3.2572792786668466E-8</v>
      </c>
      <c r="M60" s="11">
        <f t="shared" si="9"/>
        <v>727.91914084511302</v>
      </c>
      <c r="N60">
        <f t="shared" si="10"/>
        <v>1.7928037431068491E-4</v>
      </c>
      <c r="O60">
        <f t="shared" si="11"/>
        <v>4.500785812795783E-5</v>
      </c>
      <c r="P60">
        <f>O60-'No Model 65 MPH'!I60</f>
        <v>1.6388791062796749E-5</v>
      </c>
      <c r="Q60">
        <f>F60/(M60*wing_area*wmac)</f>
        <v>-3.5070370704016053E-4</v>
      </c>
      <c r="R60">
        <f>Q60-deltaCmcgt</f>
        <v>-3.498896888625468E-4</v>
      </c>
    </row>
    <row r="61" spans="1:18" x14ac:dyDescent="0.25">
      <c r="A61">
        <v>8.0570000000000004</v>
      </c>
      <c r="B61" s="14">
        <f>A61+deltalph</f>
        <v>8.1645743435201048</v>
      </c>
      <c r="C61">
        <v>6.4450000000000003</v>
      </c>
      <c r="D61">
        <v>-1.6180000000000001</v>
      </c>
      <c r="E61">
        <f t="shared" si="4"/>
        <v>1.6180000000000001</v>
      </c>
      <c r="F61">
        <v>-25.286999999999999</v>
      </c>
      <c r="G61">
        <v>-8.5999999999999993E-2</v>
      </c>
      <c r="H61">
        <v>-2.2000000000000002</v>
      </c>
      <c r="I61">
        <v>0.96499999999999997</v>
      </c>
      <c r="J61">
        <f t="shared" si="7"/>
        <v>1.8047934171718508E-4</v>
      </c>
      <c r="K61">
        <f t="shared" si="8"/>
        <v>4.5308855686331342E-5</v>
      </c>
      <c r="L61">
        <f t="shared" si="5"/>
        <v>3.2572792786668466E-8</v>
      </c>
      <c r="M61" s="11">
        <f t="shared" si="9"/>
        <v>727.91914084511302</v>
      </c>
      <c r="N61">
        <f t="shared" si="10"/>
        <v>1.7928037431068491E-4</v>
      </c>
      <c r="O61">
        <f t="shared" si="11"/>
        <v>4.500785812795783E-5</v>
      </c>
      <c r="P61">
        <f>O61-'No Model 65 MPH'!I61</f>
        <v>9.6680708126610764E-6</v>
      </c>
      <c r="Q61">
        <f>F61/(M61*wing_area*wmac)</f>
        <v>-3.5070370704016053E-4</v>
      </c>
      <c r="R61">
        <f>Q61-deltaCmcgt</f>
        <v>-3.498896888625468E-4</v>
      </c>
    </row>
    <row r="62" spans="1:18" x14ac:dyDescent="0.25">
      <c r="A62">
        <v>9.9619999999999997</v>
      </c>
      <c r="B62" s="14">
        <f>A62+deltalph</f>
        <v>10.069574343520104</v>
      </c>
      <c r="C62">
        <v>7.1529999999999996</v>
      </c>
      <c r="D62">
        <v>-1.861</v>
      </c>
      <c r="E62">
        <f t="shared" si="4"/>
        <v>1.861</v>
      </c>
      <c r="F62">
        <v>-26.69</v>
      </c>
      <c r="G62">
        <v>8.5999999999999993E-2</v>
      </c>
      <c r="H62">
        <v>-0.63600000000000001</v>
      </c>
      <c r="I62">
        <v>1.022</v>
      </c>
      <c r="J62">
        <f t="shared" si="7"/>
        <v>2.0030546645508532E-4</v>
      </c>
      <c r="K62">
        <f t="shared" si="8"/>
        <v>5.2113584939593704E-5</v>
      </c>
      <c r="L62">
        <f t="shared" si="5"/>
        <v>4.0122279891789308E-8</v>
      </c>
      <c r="M62" s="11">
        <f t="shared" si="9"/>
        <v>727.91914084511302</v>
      </c>
      <c r="N62">
        <f t="shared" si="10"/>
        <v>1.9897478936296807E-4</v>
      </c>
      <c r="O62">
        <f t="shared" si="11"/>
        <v>5.1767381938275346E-5</v>
      </c>
      <c r="P62">
        <f>O62-'No Model 65 MPH'!I62</f>
        <v>1.6427594622978593E-5</v>
      </c>
      <c r="Q62">
        <f>F62/(M62*wing_area*wmac)</f>
        <v>-3.7016181994312835E-4</v>
      </c>
      <c r="R62">
        <f>Q62-deltaCmcgt</f>
        <v>-3.6934780176551462E-4</v>
      </c>
    </row>
    <row r="63" spans="1:18" x14ac:dyDescent="0.25">
      <c r="A63">
        <v>9.9619999999999997</v>
      </c>
      <c r="B63" s="14">
        <f>A63+deltalph</f>
        <v>10.069574343520104</v>
      </c>
      <c r="C63">
        <v>7.1529999999999996</v>
      </c>
      <c r="D63">
        <v>-1.861</v>
      </c>
      <c r="E63">
        <f t="shared" si="4"/>
        <v>1.861</v>
      </c>
      <c r="F63">
        <v>-26.69</v>
      </c>
      <c r="G63">
        <v>8.5999999999999993E-2</v>
      </c>
      <c r="H63">
        <v>-0.63600000000000001</v>
      </c>
      <c r="I63">
        <v>1.022</v>
      </c>
      <c r="J63">
        <f t="shared" si="7"/>
        <v>2.0030546645508532E-4</v>
      </c>
      <c r="K63">
        <f t="shared" si="8"/>
        <v>5.2113584939593704E-5</v>
      </c>
      <c r="L63">
        <f t="shared" si="5"/>
        <v>4.0122279891789308E-8</v>
      </c>
      <c r="M63" s="11">
        <f t="shared" si="9"/>
        <v>727.91914084511302</v>
      </c>
      <c r="N63">
        <f t="shared" si="10"/>
        <v>1.9897478936296807E-4</v>
      </c>
      <c r="O63">
        <f t="shared" si="11"/>
        <v>5.1767381938275346E-5</v>
      </c>
      <c r="P63">
        <f>O63-'No Model 65 MPH'!I63</f>
        <v>1.6427594622978593E-5</v>
      </c>
      <c r="Q63">
        <f>F63/(M63*wing_area*wmac)</f>
        <v>-3.7016181994312835E-4</v>
      </c>
      <c r="R63">
        <f>Q63-deltaCmcgt</f>
        <v>-3.6934780176551462E-4</v>
      </c>
    </row>
    <row r="64" spans="1:18" x14ac:dyDescent="0.25">
      <c r="A64">
        <v>9.9619999999999997</v>
      </c>
      <c r="B64" s="14">
        <f>A64+deltalph</f>
        <v>10.069574343520104</v>
      </c>
      <c r="C64">
        <v>7.1529999999999996</v>
      </c>
      <c r="D64">
        <v>-1.861</v>
      </c>
      <c r="E64">
        <f t="shared" si="4"/>
        <v>1.861</v>
      </c>
      <c r="F64">
        <v>-26.69</v>
      </c>
      <c r="G64">
        <v>8.5999999999999993E-2</v>
      </c>
      <c r="H64">
        <v>-0.63600000000000001</v>
      </c>
      <c r="I64">
        <v>1.022</v>
      </c>
      <c r="J64">
        <f t="shared" si="7"/>
        <v>2.0030546645508532E-4</v>
      </c>
      <c r="K64">
        <f t="shared" si="8"/>
        <v>5.2113584939593704E-5</v>
      </c>
      <c r="L64">
        <f t="shared" si="5"/>
        <v>4.0122279891789308E-8</v>
      </c>
      <c r="M64" s="11">
        <f t="shared" si="9"/>
        <v>727.91914084511302</v>
      </c>
      <c r="N64">
        <f t="shared" si="10"/>
        <v>1.9897478936296807E-4</v>
      </c>
      <c r="O64">
        <f t="shared" si="11"/>
        <v>5.1767381938275346E-5</v>
      </c>
      <c r="P64">
        <f>O64-'No Model 65 MPH'!I64</f>
        <v>2.0348014768891069E-5</v>
      </c>
      <c r="Q64">
        <f>F64/(M64*wing_area*wmac)</f>
        <v>-3.7016181994312835E-4</v>
      </c>
      <c r="R64">
        <f>Q64-deltaCmcgt</f>
        <v>-3.6934780176551462E-4</v>
      </c>
    </row>
    <row r="65" spans="1:18" x14ac:dyDescent="0.25">
      <c r="A65">
        <v>10.037000000000001</v>
      </c>
      <c r="B65" s="14">
        <f>A65+deltalph</f>
        <v>10.144574343520105</v>
      </c>
      <c r="C65">
        <v>6.9749999999999996</v>
      </c>
      <c r="D65">
        <v>-1.8220000000000001</v>
      </c>
      <c r="E65">
        <f t="shared" si="4"/>
        <v>1.8220000000000001</v>
      </c>
      <c r="F65">
        <v>-27.331</v>
      </c>
      <c r="G65">
        <v>-8.4000000000000005E-2</v>
      </c>
      <c r="H65">
        <v>-1.722</v>
      </c>
      <c r="I65">
        <v>1.173</v>
      </c>
      <c r="J65">
        <f t="shared" si="7"/>
        <v>1.9532093226956801E-4</v>
      </c>
      <c r="K65">
        <f t="shared" si="8"/>
        <v>5.1021467898946664E-5</v>
      </c>
      <c r="L65">
        <f t="shared" si="5"/>
        <v>3.8150266582653179E-8</v>
      </c>
      <c r="M65" s="11">
        <f t="shared" si="9"/>
        <v>727.91914084511302</v>
      </c>
      <c r="N65">
        <f t="shared" si="10"/>
        <v>1.9402336862948445E-4</v>
      </c>
      <c r="O65">
        <f t="shared" si="11"/>
        <v>5.0682520092175009E-5</v>
      </c>
      <c r="P65">
        <f>O65-'No Model 65 MPH'!I65</f>
        <v>1.9263152922790731E-5</v>
      </c>
      <c r="Q65">
        <f>F65/(M65*wing_area*wmac)</f>
        <v>-3.7905180595225327E-4</v>
      </c>
      <c r="R65">
        <f>Q65-deltaCmcgt</f>
        <v>-3.7823778777463954E-4</v>
      </c>
    </row>
    <row r="66" spans="1:18" x14ac:dyDescent="0.25">
      <c r="A66">
        <v>10.037000000000001</v>
      </c>
      <c r="B66" s="14">
        <f>A66+deltalph</f>
        <v>10.144574343520105</v>
      </c>
      <c r="C66">
        <v>6.9749999999999996</v>
      </c>
      <c r="D66">
        <v>-1.8220000000000001</v>
      </c>
      <c r="E66">
        <f t="shared" si="4"/>
        <v>1.8220000000000001</v>
      </c>
      <c r="F66">
        <v>-27.331</v>
      </c>
      <c r="G66">
        <v>-8.4000000000000005E-2</v>
      </c>
      <c r="H66">
        <v>-1.722</v>
      </c>
      <c r="I66">
        <v>1.173</v>
      </c>
      <c r="J66">
        <f t="shared" ref="J66:J85" si="12">C66/(0.5*0.002377*(65*12)^2*wing_area)</f>
        <v>1.9532093226956801E-4</v>
      </c>
      <c r="K66">
        <f t="shared" ref="K66:K85" si="13">E66/(0.5*0.002377*(65*12)^2*wing_area)</f>
        <v>5.1021467898946664E-5</v>
      </c>
      <c r="L66">
        <f t="shared" si="5"/>
        <v>3.8150266582653179E-8</v>
      </c>
      <c r="M66" s="11">
        <f t="shared" ref="M66:M85" si="14">0.5*(65*12)^2*0.002377*(1+eps_tot_t)^2</f>
        <v>727.91914084511302</v>
      </c>
      <c r="N66">
        <f t="shared" ref="N66:N97" si="15">C66/(M66*wing_area)</f>
        <v>1.9402336862948445E-4</v>
      </c>
      <c r="O66">
        <f t="shared" ref="O66:O85" si="16">E66/(M66*wing_area)</f>
        <v>5.0682520092175009E-5</v>
      </c>
      <c r="P66">
        <f>O66-'No Model 65 MPH'!I66</f>
        <v>1.2262402662232732E-5</v>
      </c>
      <c r="Q66">
        <f>F66/(M66*wing_area*wmac)</f>
        <v>-3.7905180595225327E-4</v>
      </c>
      <c r="R66">
        <f>Q66-deltaCmcgt</f>
        <v>-3.7823778777463954E-4</v>
      </c>
    </row>
    <row r="67" spans="1:18" x14ac:dyDescent="0.25">
      <c r="A67">
        <v>11.99</v>
      </c>
      <c r="B67" s="14">
        <f>A67+deltalph</f>
        <v>12.097574343520105</v>
      </c>
      <c r="C67">
        <v>7.694</v>
      </c>
      <c r="D67">
        <v>-1.986</v>
      </c>
      <c r="E67">
        <f t="shared" ref="E67:E85" si="17">-D67</f>
        <v>1.986</v>
      </c>
      <c r="F67">
        <v>-30.355</v>
      </c>
      <c r="G67">
        <v>-9.4E-2</v>
      </c>
      <c r="H67">
        <v>-2.113</v>
      </c>
      <c r="I67">
        <v>0.85899999999999999</v>
      </c>
      <c r="J67">
        <f t="shared" si="12"/>
        <v>2.1545509001893282E-4</v>
      </c>
      <c r="K67">
        <f t="shared" si="13"/>
        <v>5.56139600698727E-5</v>
      </c>
      <c r="L67">
        <f t="shared" ref="L67:L85" si="18">J67^2</f>
        <v>4.6420895815066445E-8</v>
      </c>
      <c r="M67" s="11">
        <f t="shared" si="14"/>
        <v>727.91914084511302</v>
      </c>
      <c r="N67">
        <f t="shared" si="15"/>
        <v>2.1402377035630873E-4</v>
      </c>
      <c r="O67">
        <f t="shared" si="16"/>
        <v>5.524450323987901E-5</v>
      </c>
      <c r="P67">
        <f>O67-'No Model 65 MPH'!I67</f>
        <v>1.6824385809936733E-5</v>
      </c>
      <c r="Q67">
        <f>F67/(M67*wing_area*wmac)</f>
        <v>-4.2099145913726711E-4</v>
      </c>
      <c r="R67">
        <f>Q67-deltaCmcgt</f>
        <v>-4.2017744095965338E-4</v>
      </c>
    </row>
    <row r="68" spans="1:18" x14ac:dyDescent="0.25">
      <c r="A68">
        <v>11.99</v>
      </c>
      <c r="B68" s="14">
        <f>A68+deltalph</f>
        <v>12.097574343520105</v>
      </c>
      <c r="C68">
        <v>7.694</v>
      </c>
      <c r="D68">
        <v>-1.986</v>
      </c>
      <c r="E68">
        <f t="shared" si="17"/>
        <v>1.986</v>
      </c>
      <c r="F68">
        <v>-30.355</v>
      </c>
      <c r="G68">
        <v>-9.4E-2</v>
      </c>
      <c r="H68">
        <v>-2.113</v>
      </c>
      <c r="I68">
        <v>0.85899999999999999</v>
      </c>
      <c r="J68">
        <f t="shared" si="12"/>
        <v>2.1545509001893282E-4</v>
      </c>
      <c r="K68">
        <f t="shared" si="13"/>
        <v>5.56139600698727E-5</v>
      </c>
      <c r="L68">
        <f t="shared" si="18"/>
        <v>4.6420895815066445E-8</v>
      </c>
      <c r="M68" s="11">
        <f t="shared" si="14"/>
        <v>727.91914084511302</v>
      </c>
      <c r="N68">
        <f t="shared" si="15"/>
        <v>2.1402377035630873E-4</v>
      </c>
      <c r="O68">
        <f t="shared" si="16"/>
        <v>5.524450323987901E-5</v>
      </c>
      <c r="P68">
        <f>O68-'No Model 65 MPH'!I68</f>
        <v>1.6824385809936733E-5</v>
      </c>
      <c r="Q68">
        <f>F68/(M68*wing_area*wmac)</f>
        <v>-4.2099145913726711E-4</v>
      </c>
      <c r="R68">
        <f>Q68-deltaCmcgt</f>
        <v>-4.2017744095965338E-4</v>
      </c>
    </row>
    <row r="69" spans="1:18" x14ac:dyDescent="0.25">
      <c r="A69">
        <v>12.003</v>
      </c>
      <c r="B69" s="14">
        <f>A69+deltalph</f>
        <v>12.110574343520105</v>
      </c>
      <c r="C69">
        <v>7.4039999999999999</v>
      </c>
      <c r="D69">
        <v>-2.0659999999999998</v>
      </c>
      <c r="E69">
        <f t="shared" si="17"/>
        <v>2.0659999999999998</v>
      </c>
      <c r="F69">
        <v>-30.969000000000001</v>
      </c>
      <c r="G69">
        <v>0.04</v>
      </c>
      <c r="H69">
        <v>1E-3</v>
      </c>
      <c r="I69">
        <v>0.9</v>
      </c>
      <c r="J69">
        <f t="shared" si="12"/>
        <v>2.0733421971668554E-4</v>
      </c>
      <c r="K69">
        <f t="shared" si="13"/>
        <v>5.7854200153251258E-5</v>
      </c>
      <c r="L69">
        <f t="shared" si="18"/>
        <v>4.2987478665526836E-8</v>
      </c>
      <c r="M69" s="11">
        <f t="shared" si="14"/>
        <v>727.91914084511302</v>
      </c>
      <c r="N69">
        <f t="shared" si="15"/>
        <v>2.0595684893658821E-4</v>
      </c>
      <c r="O69">
        <f t="shared" si="16"/>
        <v>5.7469860872905352E-5</v>
      </c>
      <c r="P69">
        <f>O69-'No Model 65 MPH'!I69</f>
        <v>1.9189758448174242E-5</v>
      </c>
      <c r="Q69">
        <f>F69/(M69*wing_area*wmac)</f>
        <v>-4.2950698395724019E-4</v>
      </c>
      <c r="R69">
        <f>Q69-deltaCmcgt</f>
        <v>-4.2869296577962646E-4</v>
      </c>
    </row>
    <row r="70" spans="1:18" x14ac:dyDescent="0.25">
      <c r="A70">
        <v>12.003</v>
      </c>
      <c r="B70" s="14">
        <f>A70+deltalph</f>
        <v>12.110574343520105</v>
      </c>
      <c r="C70">
        <v>7.4039999999999999</v>
      </c>
      <c r="D70">
        <v>-2.0659999999999998</v>
      </c>
      <c r="E70">
        <f t="shared" si="17"/>
        <v>2.0659999999999998</v>
      </c>
      <c r="F70">
        <v>-30.969000000000001</v>
      </c>
      <c r="G70">
        <v>0.04</v>
      </c>
      <c r="H70">
        <v>1E-3</v>
      </c>
      <c r="I70">
        <v>0.9</v>
      </c>
      <c r="J70">
        <f t="shared" si="12"/>
        <v>2.0733421971668554E-4</v>
      </c>
      <c r="K70">
        <f t="shared" si="13"/>
        <v>5.7854200153251258E-5</v>
      </c>
      <c r="L70">
        <f t="shared" si="18"/>
        <v>4.2987478665526836E-8</v>
      </c>
      <c r="M70" s="11">
        <f t="shared" si="14"/>
        <v>727.91914084511302</v>
      </c>
      <c r="N70">
        <f t="shared" si="15"/>
        <v>2.0595684893658821E-4</v>
      </c>
      <c r="O70">
        <f t="shared" si="16"/>
        <v>5.7469860872905352E-5</v>
      </c>
      <c r="P70">
        <f>O70-'No Model 65 MPH'!I70</f>
        <v>1.9189758448174242E-5</v>
      </c>
      <c r="Q70">
        <f>F70/(M70*wing_area*wmac)</f>
        <v>-4.2950698395724019E-4</v>
      </c>
      <c r="R70">
        <f>Q70-deltaCmcgt</f>
        <v>-4.2869296577962646E-4</v>
      </c>
    </row>
    <row r="71" spans="1:18" x14ac:dyDescent="0.25">
      <c r="A71">
        <v>12.003</v>
      </c>
      <c r="B71" s="14">
        <f>A71+deltalph</f>
        <v>12.110574343520105</v>
      </c>
      <c r="C71">
        <v>7.4039999999999999</v>
      </c>
      <c r="D71">
        <v>-2.0659999999999998</v>
      </c>
      <c r="E71">
        <f t="shared" si="17"/>
        <v>2.0659999999999998</v>
      </c>
      <c r="F71">
        <v>-30.969000000000001</v>
      </c>
      <c r="G71">
        <v>0.04</v>
      </c>
      <c r="H71">
        <v>1E-3</v>
      </c>
      <c r="I71">
        <v>0.9</v>
      </c>
      <c r="J71">
        <f t="shared" si="12"/>
        <v>2.0733421971668554E-4</v>
      </c>
      <c r="K71">
        <f t="shared" si="13"/>
        <v>5.7854200153251258E-5</v>
      </c>
      <c r="L71">
        <f t="shared" si="18"/>
        <v>4.2987478665526836E-8</v>
      </c>
      <c r="M71" s="11">
        <f t="shared" si="14"/>
        <v>727.91914084511302</v>
      </c>
      <c r="N71">
        <f t="shared" si="15"/>
        <v>2.0595684893658821E-4</v>
      </c>
      <c r="O71">
        <f t="shared" si="16"/>
        <v>5.7469860872905352E-5</v>
      </c>
      <c r="P71">
        <f>O71-'No Model 65 MPH'!I71</f>
        <v>5.1113179636318695E-5</v>
      </c>
      <c r="Q71">
        <f>F71/(M71*wing_area*wmac)</f>
        <v>-4.2950698395724019E-4</v>
      </c>
      <c r="R71">
        <f>Q71-deltaCmcgt</f>
        <v>-4.2869296577962646E-4</v>
      </c>
    </row>
    <row r="72" spans="1:18" x14ac:dyDescent="0.25">
      <c r="A72">
        <v>13.958</v>
      </c>
      <c r="B72" s="14">
        <f>A72+deltalph</f>
        <v>14.065574343520105</v>
      </c>
      <c r="C72">
        <v>7.4089999999999998</v>
      </c>
      <c r="D72">
        <v>-2.4369999999999998</v>
      </c>
      <c r="E72">
        <f t="shared" si="17"/>
        <v>2.4369999999999998</v>
      </c>
      <c r="F72">
        <v>-35.000999999999998</v>
      </c>
      <c r="G72">
        <v>-3.4000000000000002E-2</v>
      </c>
      <c r="H72">
        <v>-0.253</v>
      </c>
      <c r="I72">
        <v>1.321</v>
      </c>
      <c r="J72">
        <f t="shared" si="12"/>
        <v>2.074742347218967E-4</v>
      </c>
      <c r="K72">
        <f t="shared" si="13"/>
        <v>6.8243313539919319E-5</v>
      </c>
      <c r="L72">
        <f t="shared" si="18"/>
        <v>4.304555807343669E-8</v>
      </c>
      <c r="M72" s="11">
        <f t="shared" si="14"/>
        <v>727.91914084511302</v>
      </c>
      <c r="N72">
        <f t="shared" si="15"/>
        <v>2.0609593378865236E-4</v>
      </c>
      <c r="O72">
        <f t="shared" si="16"/>
        <v>6.7789956896065028E-5</v>
      </c>
      <c r="P72">
        <f>O72-'No Model 65 MPH'!I72</f>
        <v>6.1433275659478364E-5</v>
      </c>
      <c r="Q72">
        <f>F72/(M72*wing_area*wmac)</f>
        <v>-4.8542652153725865E-4</v>
      </c>
      <c r="R72">
        <f>Q72-deltaCmcgt</f>
        <v>-4.8461250335964491E-4</v>
      </c>
    </row>
    <row r="73" spans="1:18" x14ac:dyDescent="0.25">
      <c r="A73">
        <v>13.958</v>
      </c>
      <c r="B73" s="14">
        <f>A73+deltalph</f>
        <v>14.065574343520105</v>
      </c>
      <c r="C73">
        <v>7.4089999999999998</v>
      </c>
      <c r="D73">
        <v>-2.4369999999999998</v>
      </c>
      <c r="E73">
        <f t="shared" si="17"/>
        <v>2.4369999999999998</v>
      </c>
      <c r="F73">
        <v>-35.000999999999998</v>
      </c>
      <c r="G73">
        <v>-3.4000000000000002E-2</v>
      </c>
      <c r="H73">
        <v>-0.253</v>
      </c>
      <c r="I73">
        <v>1.321</v>
      </c>
      <c r="J73">
        <f t="shared" si="12"/>
        <v>2.074742347218967E-4</v>
      </c>
      <c r="K73">
        <f t="shared" si="13"/>
        <v>6.8243313539919319E-5</v>
      </c>
      <c r="L73">
        <f t="shared" si="18"/>
        <v>4.304555807343669E-8</v>
      </c>
      <c r="M73" s="11">
        <f t="shared" si="14"/>
        <v>727.91914084511302</v>
      </c>
      <c r="N73">
        <f t="shared" si="15"/>
        <v>2.0609593378865236E-4</v>
      </c>
      <c r="O73">
        <f t="shared" si="16"/>
        <v>6.7789956896065028E-5</v>
      </c>
      <c r="P73">
        <f>O73-'No Model 65 MPH'!I73</f>
        <v>6.1433275659478364E-5</v>
      </c>
      <c r="Q73">
        <f>F73/(M73*wing_area*wmac)</f>
        <v>-4.8542652153725865E-4</v>
      </c>
      <c r="R73">
        <f>Q73-deltaCmcgt</f>
        <v>-4.8461250335964491E-4</v>
      </c>
    </row>
    <row r="74" spans="1:18" x14ac:dyDescent="0.25">
      <c r="A74">
        <v>13.976000000000001</v>
      </c>
      <c r="B74" s="14">
        <f>A74+deltalph</f>
        <v>14.083574343520105</v>
      </c>
      <c r="C74">
        <v>7.4089999999999998</v>
      </c>
      <c r="D74">
        <v>-2.4900000000000002</v>
      </c>
      <c r="E74">
        <f t="shared" si="17"/>
        <v>2.4900000000000002</v>
      </c>
      <c r="F74">
        <v>-35.188000000000002</v>
      </c>
      <c r="G74">
        <v>5.0000000000000001E-3</v>
      </c>
      <c r="H74">
        <v>-0.111</v>
      </c>
      <c r="I74">
        <v>1.224</v>
      </c>
      <c r="J74">
        <f t="shared" si="12"/>
        <v>2.074742347218967E-4</v>
      </c>
      <c r="K74">
        <f t="shared" si="13"/>
        <v>6.972747259515762E-5</v>
      </c>
      <c r="L74">
        <f t="shared" si="18"/>
        <v>4.304555807343669E-8</v>
      </c>
      <c r="M74" s="11">
        <f t="shared" si="14"/>
        <v>727.91914084511302</v>
      </c>
      <c r="N74">
        <f t="shared" si="15"/>
        <v>2.0609593378865236E-4</v>
      </c>
      <c r="O74">
        <f t="shared" si="16"/>
        <v>6.9264256327944987E-5</v>
      </c>
      <c r="P74">
        <f>O74-'No Model 65 MPH'!I74</f>
        <v>5.9099166949614782E-5</v>
      </c>
      <c r="Q74">
        <f>F74/(M74*wing_area*wmac)</f>
        <v>-4.8802001199545897E-4</v>
      </c>
      <c r="R74">
        <f>Q74-deltaCmcgt</f>
        <v>-4.8720599381784523E-4</v>
      </c>
    </row>
    <row r="75" spans="1:18" x14ac:dyDescent="0.25">
      <c r="A75">
        <v>13.976000000000001</v>
      </c>
      <c r="B75" s="14">
        <f>A75+deltalph</f>
        <v>14.083574343520105</v>
      </c>
      <c r="C75">
        <v>7.4089999999999998</v>
      </c>
      <c r="D75">
        <v>-2.4900000000000002</v>
      </c>
      <c r="E75">
        <f t="shared" si="17"/>
        <v>2.4900000000000002</v>
      </c>
      <c r="F75">
        <v>-35.188000000000002</v>
      </c>
      <c r="G75">
        <v>5.0000000000000001E-3</v>
      </c>
      <c r="H75">
        <v>-0.111</v>
      </c>
      <c r="I75">
        <v>1.224</v>
      </c>
      <c r="J75">
        <f t="shared" si="12"/>
        <v>2.074742347218967E-4</v>
      </c>
      <c r="K75">
        <f t="shared" si="13"/>
        <v>6.972747259515762E-5</v>
      </c>
      <c r="L75">
        <f t="shared" si="18"/>
        <v>4.304555807343669E-8</v>
      </c>
      <c r="M75" s="11">
        <f t="shared" si="14"/>
        <v>727.91914084511302</v>
      </c>
      <c r="N75">
        <f t="shared" si="15"/>
        <v>2.0609593378865236E-4</v>
      </c>
      <c r="O75">
        <f t="shared" si="16"/>
        <v>6.9264256327944987E-5</v>
      </c>
      <c r="P75">
        <f>O75-'No Model 65 MPH'!I75</f>
        <v>5.9099166949614782E-5</v>
      </c>
      <c r="Q75">
        <f>F75/(M75*wing_area*wmac)</f>
        <v>-4.8802001199545897E-4</v>
      </c>
      <c r="R75">
        <f>Q75-deltaCmcgt</f>
        <v>-4.8720599381784523E-4</v>
      </c>
    </row>
    <row r="76" spans="1:18" x14ac:dyDescent="0.25">
      <c r="A76">
        <v>15.951000000000001</v>
      </c>
      <c r="B76" s="14">
        <f>A76+deltalph</f>
        <v>16.058574343520103</v>
      </c>
      <c r="C76">
        <v>7.577</v>
      </c>
      <c r="D76">
        <v>-2.4540000000000002</v>
      </c>
      <c r="E76">
        <f t="shared" si="17"/>
        <v>2.4540000000000002</v>
      </c>
      <c r="F76">
        <v>-35.536999999999999</v>
      </c>
      <c r="G76">
        <v>-0.216</v>
      </c>
      <c r="H76">
        <v>-2.1930000000000001</v>
      </c>
      <c r="I76">
        <v>1.4510000000000001</v>
      </c>
      <c r="J76">
        <f t="shared" si="12"/>
        <v>2.1217873889699167E-4</v>
      </c>
      <c r="K76">
        <f t="shared" si="13"/>
        <v>6.8719364557637269E-5</v>
      </c>
      <c r="L76">
        <f t="shared" si="18"/>
        <v>4.5019817239917768E-8</v>
      </c>
      <c r="M76" s="11">
        <f t="shared" si="14"/>
        <v>727.91914084511302</v>
      </c>
      <c r="N76">
        <f t="shared" si="15"/>
        <v>2.1076918481800769E-4</v>
      </c>
      <c r="O76">
        <f t="shared" si="16"/>
        <v>6.8262845393083138E-5</v>
      </c>
      <c r="P76">
        <f>O76-'No Model 65 MPH'!I76</f>
        <v>6.8262845393083138E-5</v>
      </c>
      <c r="Q76">
        <f>F76/(M76*wing_area*wmac)</f>
        <v>-4.9286026958857067E-4</v>
      </c>
      <c r="R76">
        <f>Q76-deltaCmcgt</f>
        <v>-4.9204625141095694E-4</v>
      </c>
    </row>
    <row r="77" spans="1:18" x14ac:dyDescent="0.25">
      <c r="A77">
        <v>15.951000000000001</v>
      </c>
      <c r="B77" s="14">
        <f>A77+deltalph</f>
        <v>16.058574343520103</v>
      </c>
      <c r="C77">
        <v>7.577</v>
      </c>
      <c r="D77">
        <v>-2.4540000000000002</v>
      </c>
      <c r="E77">
        <f t="shared" si="17"/>
        <v>2.4540000000000002</v>
      </c>
      <c r="F77">
        <v>-35.536999999999999</v>
      </c>
      <c r="G77">
        <v>-0.216</v>
      </c>
      <c r="H77">
        <v>-2.1930000000000001</v>
      </c>
      <c r="I77">
        <v>1.4510000000000001</v>
      </c>
      <c r="J77">
        <f t="shared" si="12"/>
        <v>2.1217873889699167E-4</v>
      </c>
      <c r="K77">
        <f t="shared" si="13"/>
        <v>6.8719364557637269E-5</v>
      </c>
      <c r="L77">
        <f t="shared" si="18"/>
        <v>4.5019817239917768E-8</v>
      </c>
      <c r="M77" s="11">
        <f t="shared" si="14"/>
        <v>727.91914084511302</v>
      </c>
      <c r="N77">
        <f t="shared" si="15"/>
        <v>2.1076918481800769E-4</v>
      </c>
      <c r="O77">
        <f t="shared" si="16"/>
        <v>6.8262845393083138E-5</v>
      </c>
      <c r="P77">
        <f>O77-'No Model 65 MPH'!I77</f>
        <v>6.8262845393083138E-5</v>
      </c>
      <c r="Q77">
        <f>F77/(M77*wing_area*wmac)</f>
        <v>-4.9286026958857067E-4</v>
      </c>
      <c r="R77">
        <f>Q77-deltaCmcgt</f>
        <v>-4.9204625141095694E-4</v>
      </c>
    </row>
    <row r="78" spans="1:18" x14ac:dyDescent="0.25">
      <c r="A78">
        <v>15.996</v>
      </c>
      <c r="B78" s="14">
        <f>A78+deltalph</f>
        <v>16.103574343520105</v>
      </c>
      <c r="C78">
        <v>7.8170000000000002</v>
      </c>
      <c r="D78">
        <v>-2.5739999999999998</v>
      </c>
      <c r="E78">
        <f t="shared" si="17"/>
        <v>2.5739999999999998</v>
      </c>
      <c r="F78">
        <v>-37.679000000000002</v>
      </c>
      <c r="G78">
        <v>-1.7000000000000001E-2</v>
      </c>
      <c r="H78">
        <v>-0.17899999999999999</v>
      </c>
      <c r="I78">
        <v>1.2330000000000001</v>
      </c>
      <c r="J78">
        <f t="shared" si="12"/>
        <v>2.1889945914712735E-4</v>
      </c>
      <c r="K78">
        <f t="shared" si="13"/>
        <v>7.2079724682705106E-5</v>
      </c>
      <c r="L78">
        <f t="shared" si="18"/>
        <v>4.7916973214904878E-8</v>
      </c>
      <c r="M78" s="11">
        <f t="shared" si="14"/>
        <v>727.91914084511302</v>
      </c>
      <c r="N78">
        <f t="shared" si="15"/>
        <v>2.1744525771708674E-4</v>
      </c>
      <c r="O78">
        <f t="shared" si="16"/>
        <v>7.1600881842622639E-5</v>
      </c>
      <c r="P78">
        <f>O78-'No Model 65 MPH'!I78</f>
        <v>7.1600881842622639E-5</v>
      </c>
      <c r="Q78">
        <f>F78/(M78*wing_area*wmac)</f>
        <v>-5.2256752392795553E-4</v>
      </c>
      <c r="R78">
        <f>Q78-deltaCmcgt</f>
        <v>-5.217535057503418E-4</v>
      </c>
    </row>
    <row r="79" spans="1:18" x14ac:dyDescent="0.25">
      <c r="A79">
        <v>15.996</v>
      </c>
      <c r="B79" s="14">
        <f>A79+deltalph</f>
        <v>16.103574343520105</v>
      </c>
      <c r="C79">
        <v>7.8170000000000002</v>
      </c>
      <c r="D79">
        <v>-2.5739999999999998</v>
      </c>
      <c r="E79">
        <f t="shared" si="17"/>
        <v>2.5739999999999998</v>
      </c>
      <c r="F79">
        <v>-37.679000000000002</v>
      </c>
      <c r="G79">
        <v>-1.7000000000000001E-2</v>
      </c>
      <c r="H79">
        <v>-0.17899999999999999</v>
      </c>
      <c r="I79">
        <v>1.2330000000000001</v>
      </c>
      <c r="J79">
        <f t="shared" si="12"/>
        <v>2.1889945914712735E-4</v>
      </c>
      <c r="K79">
        <f t="shared" si="13"/>
        <v>7.2079724682705106E-5</v>
      </c>
      <c r="L79">
        <f t="shared" si="18"/>
        <v>4.7916973214904878E-8</v>
      </c>
      <c r="M79" s="11">
        <f t="shared" si="14"/>
        <v>727.91914084511302</v>
      </c>
      <c r="N79">
        <f t="shared" si="15"/>
        <v>2.1744525771708674E-4</v>
      </c>
      <c r="O79">
        <f t="shared" si="16"/>
        <v>7.1600881842622639E-5</v>
      </c>
      <c r="P79">
        <f>O79-'No Model 65 MPH'!I79</f>
        <v>7.1600881842622639E-5</v>
      </c>
      <c r="Q79">
        <f>F79/(M79*wing_area*wmac)</f>
        <v>-5.2256752392795553E-4</v>
      </c>
      <c r="R79">
        <f>Q79-deltaCmcgt</f>
        <v>-5.217535057503418E-4</v>
      </c>
    </row>
    <row r="80" spans="1:18" x14ac:dyDescent="0.25">
      <c r="A80">
        <v>15.996</v>
      </c>
      <c r="B80" s="14">
        <f>A80+deltalph</f>
        <v>16.103574343520105</v>
      </c>
      <c r="C80">
        <v>7.8170000000000002</v>
      </c>
      <c r="D80">
        <v>-2.5739999999999998</v>
      </c>
      <c r="E80">
        <f t="shared" si="17"/>
        <v>2.5739999999999998</v>
      </c>
      <c r="F80">
        <v>-37.679000000000002</v>
      </c>
      <c r="G80">
        <v>-1.7000000000000001E-2</v>
      </c>
      <c r="H80">
        <v>-0.17899999999999999</v>
      </c>
      <c r="I80">
        <v>1.2330000000000001</v>
      </c>
      <c r="J80">
        <f t="shared" si="12"/>
        <v>2.1889945914712735E-4</v>
      </c>
      <c r="K80">
        <f t="shared" si="13"/>
        <v>7.2079724682705106E-5</v>
      </c>
      <c r="L80">
        <f t="shared" si="18"/>
        <v>4.7916973214904878E-8</v>
      </c>
      <c r="M80" s="11">
        <f t="shared" si="14"/>
        <v>727.91914084511302</v>
      </c>
      <c r="N80">
        <f t="shared" si="15"/>
        <v>2.1744525771708674E-4</v>
      </c>
      <c r="O80">
        <f t="shared" si="16"/>
        <v>7.1600881842622639E-5</v>
      </c>
      <c r="P80">
        <f>O80-'No Model 65 MPH'!I80</f>
        <v>7.1600881842622639E-5</v>
      </c>
      <c r="Q80">
        <f>F80/(M80*wing_area*wmac)</f>
        <v>-5.2256752392795553E-4</v>
      </c>
      <c r="R80">
        <f>Q80-deltaCmcgt</f>
        <v>-5.217535057503418E-4</v>
      </c>
    </row>
    <row r="81" spans="1:18" x14ac:dyDescent="0.25">
      <c r="A81">
        <v>3.3000000000000002E-2</v>
      </c>
      <c r="B81" s="14">
        <f>A81+deltalph</f>
        <v>0.1405743435201037</v>
      </c>
      <c r="C81">
        <v>3.7839999999999998</v>
      </c>
      <c r="D81">
        <v>-1.111</v>
      </c>
      <c r="E81">
        <f t="shared" si="17"/>
        <v>1.111</v>
      </c>
      <c r="F81">
        <v>-12.635999999999999</v>
      </c>
      <c r="G81">
        <v>0.193</v>
      </c>
      <c r="H81">
        <v>0.129</v>
      </c>
      <c r="I81">
        <v>1.6E-2</v>
      </c>
      <c r="J81">
        <f t="shared" si="12"/>
        <v>1.0596335594380579E-4</v>
      </c>
      <c r="K81">
        <f t="shared" si="13"/>
        <v>3.1111334157919726E-5</v>
      </c>
      <c r="L81">
        <f t="shared" si="18"/>
        <v>1.1228232802873681E-8</v>
      </c>
      <c r="M81" s="11">
        <f t="shared" si="14"/>
        <v>727.91914084511302</v>
      </c>
      <c r="N81">
        <f t="shared" si="15"/>
        <v>1.052594160421461E-4</v>
      </c>
      <c r="O81">
        <f t="shared" si="16"/>
        <v>3.0904654128653364E-5</v>
      </c>
      <c r="P81">
        <f>O81-'No Model 65 MPH'!I81</f>
        <v>3.0904654128653364E-5</v>
      </c>
      <c r="Q81">
        <f>F81/(M81*wing_area*wmac)</f>
        <v>-1.7524783652309362E-4</v>
      </c>
      <c r="R81">
        <f>Q81-deltaCmcgt</f>
        <v>-1.7443381834547991E-4</v>
      </c>
    </row>
    <row r="82" spans="1:18" x14ac:dyDescent="0.25">
      <c r="A82">
        <v>3.3000000000000002E-2</v>
      </c>
      <c r="B82" s="14">
        <f>A82+deltalph</f>
        <v>0.1405743435201037</v>
      </c>
      <c r="C82">
        <v>3.7839999999999998</v>
      </c>
      <c r="D82">
        <v>-1.111</v>
      </c>
      <c r="E82">
        <f t="shared" si="17"/>
        <v>1.111</v>
      </c>
      <c r="F82">
        <v>-12.635999999999999</v>
      </c>
      <c r="G82">
        <v>0.193</v>
      </c>
      <c r="H82">
        <v>0.129</v>
      </c>
      <c r="I82">
        <v>1.6E-2</v>
      </c>
      <c r="J82">
        <f t="shared" si="12"/>
        <v>1.0596335594380579E-4</v>
      </c>
      <c r="K82">
        <f t="shared" si="13"/>
        <v>3.1111334157919726E-5</v>
      </c>
      <c r="L82">
        <f t="shared" si="18"/>
        <v>1.1228232802873681E-8</v>
      </c>
      <c r="M82" s="11">
        <f t="shared" si="14"/>
        <v>727.91914084511302</v>
      </c>
      <c r="N82">
        <f t="shared" si="15"/>
        <v>1.052594160421461E-4</v>
      </c>
      <c r="O82">
        <f t="shared" si="16"/>
        <v>3.0904654128653364E-5</v>
      </c>
      <c r="P82">
        <f>O82-'No Model 65 MPH'!I82</f>
        <v>3.0904654128653364E-5</v>
      </c>
      <c r="Q82">
        <f>F82/(M82*wing_area*wmac)</f>
        <v>-1.7524783652309362E-4</v>
      </c>
      <c r="R82">
        <f>Q82-deltaCmcgt</f>
        <v>-1.7443381834547991E-4</v>
      </c>
    </row>
    <row r="83" spans="1:18" x14ac:dyDescent="0.25">
      <c r="A83">
        <v>2.1999999999999999E-2</v>
      </c>
      <c r="B83" s="14">
        <f>A83+deltalph</f>
        <v>0.12957434352010369</v>
      </c>
      <c r="C83">
        <v>3.9830000000000001</v>
      </c>
      <c r="D83">
        <v>-1.123</v>
      </c>
      <c r="E83">
        <f t="shared" si="17"/>
        <v>1.123</v>
      </c>
      <c r="F83">
        <v>-10.741</v>
      </c>
      <c r="G83">
        <v>0.221</v>
      </c>
      <c r="H83">
        <v>0.23699999999999999</v>
      </c>
      <c r="I83">
        <v>5.5E-2</v>
      </c>
      <c r="J83">
        <f t="shared" si="12"/>
        <v>1.1153595315120996E-4</v>
      </c>
      <c r="K83">
        <f t="shared" si="13"/>
        <v>3.144737017042651E-5</v>
      </c>
      <c r="L83">
        <f t="shared" si="18"/>
        <v>1.2440268845348902E-8</v>
      </c>
      <c r="M83" s="11">
        <f t="shared" si="14"/>
        <v>727.91914084511302</v>
      </c>
      <c r="N83">
        <f t="shared" si="15"/>
        <v>1.1079499315429915E-4</v>
      </c>
      <c r="O83">
        <f t="shared" si="16"/>
        <v>3.1238457773607318E-5</v>
      </c>
      <c r="P83">
        <f>O83-'No Model 65 MPH'!I83</f>
        <v>3.1238457773607318E-5</v>
      </c>
      <c r="Q83">
        <f>F83/(M83*wing_area*wmac)</f>
        <v>-1.489662086178022E-4</v>
      </c>
      <c r="R83">
        <f>Q83-deltaCmcgt</f>
        <v>-1.4815219044018849E-4</v>
      </c>
    </row>
    <row r="84" spans="1:18" x14ac:dyDescent="0.25">
      <c r="A84">
        <v>2.1999999999999999E-2</v>
      </c>
      <c r="B84" s="14">
        <f>A84+deltalph</f>
        <v>0.12957434352010369</v>
      </c>
      <c r="C84">
        <v>3.9830000000000001</v>
      </c>
      <c r="D84">
        <v>-1.123</v>
      </c>
      <c r="E84">
        <f t="shared" si="17"/>
        <v>1.123</v>
      </c>
      <c r="F84">
        <v>-10.741</v>
      </c>
      <c r="G84">
        <v>0.221</v>
      </c>
      <c r="H84">
        <v>0.23699999999999999</v>
      </c>
      <c r="I84">
        <v>5.5E-2</v>
      </c>
      <c r="J84">
        <f t="shared" si="12"/>
        <v>1.1153595315120996E-4</v>
      </c>
      <c r="K84">
        <f t="shared" si="13"/>
        <v>3.144737017042651E-5</v>
      </c>
      <c r="L84">
        <f t="shared" si="18"/>
        <v>1.2440268845348902E-8</v>
      </c>
      <c r="M84" s="11">
        <f t="shared" si="14"/>
        <v>727.91914084511302</v>
      </c>
      <c r="N84">
        <f t="shared" si="15"/>
        <v>1.1079499315429915E-4</v>
      </c>
      <c r="O84">
        <f t="shared" si="16"/>
        <v>3.1238457773607318E-5</v>
      </c>
      <c r="P84">
        <f>O84-'No Model 65 MPH'!I84</f>
        <v>3.1238457773607318E-5</v>
      </c>
      <c r="Q84">
        <f>F84/(M84*wing_area*wmac)</f>
        <v>-1.489662086178022E-4</v>
      </c>
      <c r="R84">
        <f>Q84-deltaCmcgt</f>
        <v>-1.4815219044018849E-4</v>
      </c>
    </row>
    <row r="85" spans="1:18" x14ac:dyDescent="0.25">
      <c r="A85">
        <v>2.1999999999999999E-2</v>
      </c>
      <c r="B85" s="14">
        <f>A85+deltalph</f>
        <v>0.12957434352010369</v>
      </c>
      <c r="C85">
        <v>3.9830000000000001</v>
      </c>
      <c r="D85">
        <v>-1.123</v>
      </c>
      <c r="E85">
        <f t="shared" si="17"/>
        <v>1.123</v>
      </c>
      <c r="F85">
        <v>-10.741</v>
      </c>
      <c r="G85">
        <v>0.221</v>
      </c>
      <c r="H85">
        <v>0.23699999999999999</v>
      </c>
      <c r="I85">
        <v>5.5E-2</v>
      </c>
      <c r="J85">
        <f t="shared" si="12"/>
        <v>1.1153595315120996E-4</v>
      </c>
      <c r="K85">
        <f t="shared" si="13"/>
        <v>3.144737017042651E-5</v>
      </c>
      <c r="L85">
        <f t="shared" si="18"/>
        <v>1.2440268845348902E-8</v>
      </c>
      <c r="M85" s="11">
        <f t="shared" si="14"/>
        <v>727.91914084511302</v>
      </c>
      <c r="N85">
        <f t="shared" si="15"/>
        <v>1.1079499315429915E-4</v>
      </c>
      <c r="O85">
        <f t="shared" si="16"/>
        <v>3.1238457773607318E-5</v>
      </c>
      <c r="P85">
        <f>O85-'No Model 65 MPH'!I85</f>
        <v>3.1238457773607318E-5</v>
      </c>
      <c r="Q85">
        <f>F85/(M85*wing_area*wmac)</f>
        <v>-1.489662086178022E-4</v>
      </c>
      <c r="R85">
        <f>Q85-deltaCmcgt</f>
        <v>-1.4815219044018849E-4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P14" sqref="P14"/>
    </sheetView>
  </sheetViews>
  <sheetFormatPr defaultRowHeight="15" x14ac:dyDescent="0.25"/>
  <cols>
    <col min="1" max="1" width="11.28515625" bestFit="1" customWidth="1"/>
    <col min="2" max="2" width="20.7109375" bestFit="1" customWidth="1"/>
    <col min="3" max="3" width="8.28515625" bestFit="1" customWidth="1"/>
    <col min="4" max="4" width="9.42578125" bestFit="1" customWidth="1"/>
    <col min="5" max="6" width="12.28515625" bestFit="1" customWidth="1"/>
    <col min="7" max="7" width="9.28515625" bestFit="1" customWidth="1"/>
    <col min="8" max="8" width="11.28515625" bestFit="1" customWidth="1"/>
    <col min="9" max="9" width="11.42578125" bestFit="1" customWidth="1"/>
    <col min="13" max="13" width="12.7109375" bestFit="1" customWidth="1"/>
    <col min="14" max="14" width="13.7109375" bestFit="1" customWidth="1"/>
    <col min="15" max="15" width="14.140625" bestFit="1" customWidth="1"/>
    <col min="16" max="16" width="12" bestFit="1" customWidth="1"/>
    <col min="17" max="17" width="14" bestFit="1" customWidth="1"/>
  </cols>
  <sheetData>
    <row r="1" spans="1:17" x14ac:dyDescent="0.25">
      <c r="A1" t="s">
        <v>0</v>
      </c>
      <c r="B1" t="s">
        <v>134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6</v>
      </c>
      <c r="J1" t="s">
        <v>103</v>
      </c>
      <c r="K1" t="s">
        <v>104</v>
      </c>
      <c r="L1" t="s">
        <v>105</v>
      </c>
      <c r="M1" t="s">
        <v>137</v>
      </c>
      <c r="N1" t="s">
        <v>136</v>
      </c>
      <c r="O1" t="s">
        <v>138</v>
      </c>
      <c r="P1" t="s">
        <v>150</v>
      </c>
      <c r="Q1" t="s">
        <v>151</v>
      </c>
    </row>
    <row r="2" spans="1:17" x14ac:dyDescent="0.25">
      <c r="A2">
        <v>6.0000000000000001E-3</v>
      </c>
      <c r="B2" s="15">
        <f>A2+deltalph</f>
        <v>0.1135743435201037</v>
      </c>
      <c r="C2">
        <v>3.7919999999999998</v>
      </c>
      <c r="D2">
        <v>-0.84399999999999997</v>
      </c>
      <c r="E2">
        <f>-D2</f>
        <v>0.84399999999999997</v>
      </c>
      <c r="F2">
        <v>-8.27</v>
      </c>
      <c r="G2">
        <v>6.6000000000000003E-2</v>
      </c>
      <c r="H2">
        <v>-2.4E-2</v>
      </c>
      <c r="I2">
        <v>-0.249</v>
      </c>
      <c r="J2">
        <f t="shared" ref="J2:J33" si="0">C2/(0.5*0.002377*(65*12)^2*wing_area)</f>
        <v>1.0618737995214365E-4</v>
      </c>
      <c r="K2">
        <f t="shared" ref="K2:K33" si="1">E2/(0.5*0.002377*(65*12)^2*wing_area)</f>
        <v>2.3634532879643787E-5</v>
      </c>
      <c r="L2">
        <f>J2^2</f>
        <v>1.1275759661100918E-8</v>
      </c>
      <c r="M2" s="11">
        <f t="shared" ref="M2:M65" si="2">0.5*(65*12)^2*0.002377*(1+eps_tot_t)^2</f>
        <v>727.91914084511302</v>
      </c>
      <c r="N2">
        <f>C2/(M2*wing_area)</f>
        <v>1.0548195180544875E-4</v>
      </c>
      <c r="O2">
        <f>E2/(M2*wing_area)</f>
        <v>2.3477523028427936E-5</v>
      </c>
      <c r="P2">
        <f>F2/(M2*wing_area*wmac)</f>
        <v>-1.1469607534393671E-4</v>
      </c>
      <c r="Q2">
        <f>P2-deltaCmcgt</f>
        <v>-1.1388205716632299E-4</v>
      </c>
    </row>
    <row r="3" spans="1:17" x14ac:dyDescent="0.25">
      <c r="A3">
        <v>6.0000000000000001E-3</v>
      </c>
      <c r="B3" s="15">
        <f>A3+deltalph</f>
        <v>0.1135743435201037</v>
      </c>
      <c r="C3">
        <v>3.7919999999999998</v>
      </c>
      <c r="D3">
        <v>-0.84399999999999997</v>
      </c>
      <c r="E3">
        <f t="shared" ref="E3:E66" si="3">-D3</f>
        <v>0.84399999999999997</v>
      </c>
      <c r="F3">
        <v>-8.27</v>
      </c>
      <c r="G3">
        <v>6.6000000000000003E-2</v>
      </c>
      <c r="H3">
        <v>-2.4E-2</v>
      </c>
      <c r="I3">
        <v>-0.249</v>
      </c>
      <c r="J3">
        <f t="shared" si="0"/>
        <v>1.0618737995214365E-4</v>
      </c>
      <c r="K3">
        <f t="shared" si="1"/>
        <v>2.3634532879643787E-5</v>
      </c>
      <c r="L3">
        <f t="shared" ref="L3:L66" si="4">J3^2</f>
        <v>1.1275759661100918E-8</v>
      </c>
      <c r="M3" s="11">
        <f t="shared" si="2"/>
        <v>727.91914084511302</v>
      </c>
      <c r="N3">
        <f>C3/(M3*wing_area)</f>
        <v>1.0548195180544875E-4</v>
      </c>
      <c r="O3">
        <f>E3/(M3*wing_area)</f>
        <v>2.3477523028427936E-5</v>
      </c>
      <c r="P3">
        <f>F3/(M3*wing_area*wmac)</f>
        <v>-1.1469607534393671E-4</v>
      </c>
      <c r="Q3">
        <f>P3-deltaCmcgt</f>
        <v>-1.1388205716632299E-4</v>
      </c>
    </row>
    <row r="4" spans="1:17" x14ac:dyDescent="0.25">
      <c r="A4">
        <v>6.0000000000000001E-3</v>
      </c>
      <c r="B4" s="15">
        <f>A4+deltalph</f>
        <v>0.1135743435201037</v>
      </c>
      <c r="C4">
        <v>3.6280000000000001</v>
      </c>
      <c r="D4">
        <v>-0.85699999999999998</v>
      </c>
      <c r="E4">
        <f t="shared" si="3"/>
        <v>0.85699999999999998</v>
      </c>
      <c r="F4">
        <v>-7.5019999999999998</v>
      </c>
      <c r="G4">
        <v>5.6000000000000001E-2</v>
      </c>
      <c r="H4">
        <v>-0.32800000000000001</v>
      </c>
      <c r="I4">
        <v>-0.26</v>
      </c>
      <c r="J4">
        <f t="shared" si="0"/>
        <v>1.0159488778121762E-4</v>
      </c>
      <c r="K4">
        <f t="shared" si="1"/>
        <v>2.3998571893192802E-5</v>
      </c>
      <c r="L4">
        <f t="shared" si="4"/>
        <v>1.03215212232782E-8</v>
      </c>
      <c r="M4" s="11">
        <f t="shared" si="2"/>
        <v>727.91914084511302</v>
      </c>
      <c r="N4">
        <f>C4/(M4*wing_area)</f>
        <v>1.0091996865774474E-4</v>
      </c>
      <c r="O4">
        <f>E4/(M4*wing_area)</f>
        <v>2.3839143643794718E-5</v>
      </c>
      <c r="P4">
        <f>F4/(M4*wing_area*wmac)</f>
        <v>-1.0404473485250462E-4</v>
      </c>
      <c r="Q4">
        <f>P4-deltaCmcgt</f>
        <v>-1.032307166748909E-4</v>
      </c>
    </row>
    <row r="5" spans="1:17" x14ac:dyDescent="0.25">
      <c r="A5">
        <v>6.0000000000000001E-3</v>
      </c>
      <c r="B5" s="15">
        <f>A5+deltalph</f>
        <v>0.1135743435201037</v>
      </c>
      <c r="C5">
        <v>3.6280000000000001</v>
      </c>
      <c r="D5">
        <v>-0.85699999999999998</v>
      </c>
      <c r="E5">
        <f t="shared" si="3"/>
        <v>0.85699999999999998</v>
      </c>
      <c r="F5">
        <v>-7.5019999999999998</v>
      </c>
      <c r="G5">
        <v>5.6000000000000001E-2</v>
      </c>
      <c r="H5">
        <v>-0.32800000000000001</v>
      </c>
      <c r="I5">
        <v>-0.26</v>
      </c>
      <c r="J5">
        <f t="shared" si="0"/>
        <v>1.0159488778121762E-4</v>
      </c>
      <c r="K5">
        <f t="shared" si="1"/>
        <v>2.3998571893192802E-5</v>
      </c>
      <c r="L5">
        <f t="shared" si="4"/>
        <v>1.03215212232782E-8</v>
      </c>
      <c r="M5" s="11">
        <f t="shared" si="2"/>
        <v>727.91914084511302</v>
      </c>
      <c r="N5">
        <f>C5/(M5*wing_area)</f>
        <v>1.0091996865774474E-4</v>
      </c>
      <c r="O5">
        <f>E5/(M5*wing_area)</f>
        <v>2.3839143643794718E-5</v>
      </c>
      <c r="P5">
        <f>F5/(M5*wing_area*wmac)</f>
        <v>-1.0404473485250462E-4</v>
      </c>
      <c r="Q5">
        <f>P5-deltaCmcgt</f>
        <v>-1.032307166748909E-4</v>
      </c>
    </row>
    <row r="6" spans="1:17" x14ac:dyDescent="0.25">
      <c r="A6">
        <v>6.0000000000000001E-3</v>
      </c>
      <c r="B6" s="15">
        <f>A6+deltalph</f>
        <v>0.1135743435201037</v>
      </c>
      <c r="C6">
        <v>3.6280000000000001</v>
      </c>
      <c r="D6">
        <v>-0.85699999999999998</v>
      </c>
      <c r="E6">
        <f t="shared" si="3"/>
        <v>0.85699999999999998</v>
      </c>
      <c r="F6">
        <v>-7.5019999999999998</v>
      </c>
      <c r="G6">
        <v>5.6000000000000001E-2</v>
      </c>
      <c r="H6">
        <v>-0.32800000000000001</v>
      </c>
      <c r="I6">
        <v>-0.26</v>
      </c>
      <c r="J6">
        <f t="shared" si="0"/>
        <v>1.0159488778121762E-4</v>
      </c>
      <c r="K6">
        <f t="shared" si="1"/>
        <v>2.3998571893192802E-5</v>
      </c>
      <c r="L6">
        <f t="shared" si="4"/>
        <v>1.03215212232782E-8</v>
      </c>
      <c r="M6" s="11">
        <f t="shared" si="2"/>
        <v>727.91914084511302</v>
      </c>
      <c r="N6">
        <f>C6/(M6*wing_area)</f>
        <v>1.0091996865774474E-4</v>
      </c>
      <c r="O6">
        <f>E6/(M6*wing_area)</f>
        <v>2.3839143643794718E-5</v>
      </c>
      <c r="P6">
        <f>F6/(M6*wing_area*wmac)</f>
        <v>-1.0404473485250462E-4</v>
      </c>
      <c r="Q6">
        <f>P6-deltaCmcgt</f>
        <v>-1.032307166748909E-4</v>
      </c>
    </row>
    <row r="7" spans="1:17" x14ac:dyDescent="0.25">
      <c r="A7">
        <v>-7.9809999999999999</v>
      </c>
      <c r="B7" s="15">
        <f>A7+deltalph</f>
        <v>-7.8734256564798963</v>
      </c>
      <c r="C7">
        <v>0.71299999999999997</v>
      </c>
      <c r="D7">
        <v>-0.90600000000000003</v>
      </c>
      <c r="E7">
        <f t="shared" si="3"/>
        <v>0.90600000000000003</v>
      </c>
      <c r="F7">
        <v>-10.952999999999999</v>
      </c>
      <c r="G7">
        <v>-2.1000000000000001E-2</v>
      </c>
      <c r="H7">
        <v>-0.83899999999999997</v>
      </c>
      <c r="I7">
        <v>-1.387</v>
      </c>
      <c r="J7">
        <f t="shared" si="0"/>
        <v>1.9966139743111398E-5</v>
      </c>
      <c r="K7">
        <f t="shared" si="1"/>
        <v>2.5370718944262172E-5</v>
      </c>
      <c r="L7">
        <f t="shared" si="4"/>
        <v>3.9864673624145251E-10</v>
      </c>
      <c r="M7" s="11">
        <f t="shared" si="2"/>
        <v>727.91914084511302</v>
      </c>
      <c r="N7">
        <f>C7/(M7*wing_area)</f>
        <v>1.9833499904347299E-5</v>
      </c>
      <c r="O7">
        <f>E7/(M7*wing_area)</f>
        <v>2.5202175194023358E-5</v>
      </c>
      <c r="P7">
        <f>F7/(M7*wing_area*wmac)</f>
        <v>-1.5190642239929126E-4</v>
      </c>
      <c r="Q7">
        <f>P7-deltaCmcgt</f>
        <v>-1.5109240422167756E-4</v>
      </c>
    </row>
    <row r="8" spans="1:17" x14ac:dyDescent="0.25">
      <c r="A8">
        <v>-7.9809999999999999</v>
      </c>
      <c r="B8" s="15">
        <f>A8+deltalph</f>
        <v>-7.8734256564798963</v>
      </c>
      <c r="C8">
        <v>0.71299999999999997</v>
      </c>
      <c r="D8">
        <v>-0.90600000000000003</v>
      </c>
      <c r="E8">
        <f t="shared" si="3"/>
        <v>0.90600000000000003</v>
      </c>
      <c r="F8">
        <v>-10.952999999999999</v>
      </c>
      <c r="G8">
        <v>-2.1000000000000001E-2</v>
      </c>
      <c r="H8">
        <v>-0.83899999999999997</v>
      </c>
      <c r="I8">
        <v>-1.387</v>
      </c>
      <c r="J8">
        <f t="shared" si="0"/>
        <v>1.9966139743111398E-5</v>
      </c>
      <c r="K8">
        <f t="shared" si="1"/>
        <v>2.5370718944262172E-5</v>
      </c>
      <c r="L8">
        <f t="shared" si="4"/>
        <v>3.9864673624145251E-10</v>
      </c>
      <c r="M8" s="11">
        <f t="shared" si="2"/>
        <v>727.91914084511302</v>
      </c>
      <c r="N8">
        <f>C8/(M8*wing_area)</f>
        <v>1.9833499904347299E-5</v>
      </c>
      <c r="O8">
        <f>E8/(M8*wing_area)</f>
        <v>2.5202175194023358E-5</v>
      </c>
      <c r="P8">
        <f>F8/(M8*wing_area*wmac)</f>
        <v>-1.5190642239929126E-4</v>
      </c>
      <c r="Q8">
        <f>P8-deltaCmcgt</f>
        <v>-1.5109240422167756E-4</v>
      </c>
    </row>
    <row r="9" spans="1:17" x14ac:dyDescent="0.25">
      <c r="A9">
        <v>-7.9980000000000002</v>
      </c>
      <c r="B9" s="15">
        <f>A9+deltalph</f>
        <v>-7.8904256564798967</v>
      </c>
      <c r="C9">
        <v>0.58099999999999996</v>
      </c>
      <c r="D9">
        <v>-0.90600000000000003</v>
      </c>
      <c r="E9">
        <f t="shared" si="3"/>
        <v>0.90600000000000003</v>
      </c>
      <c r="F9">
        <v>-9.6660000000000004</v>
      </c>
      <c r="G9">
        <v>3.2000000000000001E-2</v>
      </c>
      <c r="H9">
        <v>-0.54</v>
      </c>
      <c r="I9">
        <v>-1.4139999999999999</v>
      </c>
      <c r="J9">
        <f t="shared" si="0"/>
        <v>1.6269743605536778E-5</v>
      </c>
      <c r="K9">
        <f t="shared" si="1"/>
        <v>2.5370718944262172E-5</v>
      </c>
      <c r="L9">
        <f t="shared" si="4"/>
        <v>2.6470455698990487E-10</v>
      </c>
      <c r="M9" s="11">
        <f t="shared" si="2"/>
        <v>727.91914084511302</v>
      </c>
      <c r="N9">
        <f>C9/(M9*wing_area)</f>
        <v>1.6161659809853828E-5</v>
      </c>
      <c r="O9">
        <f>E9/(M9*wing_area)</f>
        <v>2.5202175194023358E-5</v>
      </c>
      <c r="P9">
        <f>F9/(M9*wing_area*wmac)</f>
        <v>-1.340571057163836E-4</v>
      </c>
      <c r="Q9">
        <f>P9-deltaCmcgt</f>
        <v>-1.3324308753876989E-4</v>
      </c>
    </row>
    <row r="10" spans="1:17" x14ac:dyDescent="0.25">
      <c r="A10">
        <v>-7.9980000000000002</v>
      </c>
      <c r="B10" s="15">
        <f>A10+deltalph</f>
        <v>-7.8904256564798967</v>
      </c>
      <c r="C10">
        <v>0.58099999999999996</v>
      </c>
      <c r="D10">
        <v>-0.90600000000000003</v>
      </c>
      <c r="E10">
        <f t="shared" si="3"/>
        <v>0.90600000000000003</v>
      </c>
      <c r="F10">
        <v>-9.6660000000000004</v>
      </c>
      <c r="G10">
        <v>3.2000000000000001E-2</v>
      </c>
      <c r="H10">
        <v>-0.54</v>
      </c>
      <c r="I10">
        <v>-1.4139999999999999</v>
      </c>
      <c r="J10">
        <f t="shared" si="0"/>
        <v>1.6269743605536778E-5</v>
      </c>
      <c r="K10">
        <f t="shared" si="1"/>
        <v>2.5370718944262172E-5</v>
      </c>
      <c r="L10">
        <f t="shared" si="4"/>
        <v>2.6470455698990487E-10</v>
      </c>
      <c r="M10" s="11">
        <f t="shared" si="2"/>
        <v>727.91914084511302</v>
      </c>
      <c r="N10">
        <f>C10/(M10*wing_area)</f>
        <v>1.6161659809853828E-5</v>
      </c>
      <c r="O10">
        <f>E10/(M10*wing_area)</f>
        <v>2.5202175194023358E-5</v>
      </c>
      <c r="P10">
        <f>F10/(M10*wing_area*wmac)</f>
        <v>-1.340571057163836E-4</v>
      </c>
      <c r="Q10">
        <f>P10-deltaCmcgt</f>
        <v>-1.3324308753876989E-4</v>
      </c>
    </row>
    <row r="11" spans="1:17" x14ac:dyDescent="0.25">
      <c r="A11">
        <v>-7.9980000000000002</v>
      </c>
      <c r="B11" s="15">
        <f>A11+deltalph</f>
        <v>-7.8904256564798967</v>
      </c>
      <c r="C11">
        <v>0.58099999999999996</v>
      </c>
      <c r="D11">
        <v>-0.90600000000000003</v>
      </c>
      <c r="E11">
        <f t="shared" si="3"/>
        <v>0.90600000000000003</v>
      </c>
      <c r="F11">
        <v>-9.6660000000000004</v>
      </c>
      <c r="G11">
        <v>3.2000000000000001E-2</v>
      </c>
      <c r="H11">
        <v>-0.54</v>
      </c>
      <c r="I11">
        <v>-1.4139999999999999</v>
      </c>
      <c r="J11">
        <f t="shared" si="0"/>
        <v>1.6269743605536778E-5</v>
      </c>
      <c r="K11">
        <f t="shared" si="1"/>
        <v>2.5370718944262172E-5</v>
      </c>
      <c r="L11">
        <f t="shared" si="4"/>
        <v>2.6470455698990487E-10</v>
      </c>
      <c r="M11" s="11">
        <f t="shared" si="2"/>
        <v>727.91914084511302</v>
      </c>
      <c r="N11">
        <f>C11/(M11*wing_area)</f>
        <v>1.6161659809853828E-5</v>
      </c>
      <c r="O11">
        <f>E11/(M11*wing_area)</f>
        <v>2.5202175194023358E-5</v>
      </c>
      <c r="P11">
        <f>F11/(M11*wing_area*wmac)</f>
        <v>-1.340571057163836E-4</v>
      </c>
      <c r="Q11">
        <f>P11-deltaCmcgt</f>
        <v>-1.3324308753876989E-4</v>
      </c>
    </row>
    <row r="12" spans="1:17" x14ac:dyDescent="0.25">
      <c r="A12">
        <v>-6.0140000000000002</v>
      </c>
      <c r="B12" s="15">
        <f>A12+deltalph</f>
        <v>-5.9064256564798967</v>
      </c>
      <c r="C12">
        <v>1.4039999999999999</v>
      </c>
      <c r="D12">
        <v>-0.59899999999999998</v>
      </c>
      <c r="E12">
        <f t="shared" si="3"/>
        <v>0.59899999999999998</v>
      </c>
      <c r="F12">
        <v>-6.1449999999999996</v>
      </c>
      <c r="G12">
        <v>1.0999999999999999E-2</v>
      </c>
      <c r="H12">
        <v>-0.248</v>
      </c>
      <c r="I12">
        <v>-0.86799999999999999</v>
      </c>
      <c r="J12">
        <f t="shared" si="0"/>
        <v>3.9316213463293693E-5</v>
      </c>
      <c r="K12">
        <f t="shared" si="1"/>
        <v>1.6773797624296954E-5</v>
      </c>
      <c r="L12">
        <f t="shared" si="4"/>
        <v>1.5457646410912763E-9</v>
      </c>
      <c r="M12" s="11">
        <f t="shared" si="2"/>
        <v>727.91914084511302</v>
      </c>
      <c r="N12">
        <f>C12/(M12*wing_area)</f>
        <v>3.9055026459612351E-5</v>
      </c>
      <c r="O12">
        <f>E12/(M12*wing_area)</f>
        <v>1.6662365277284756E-5</v>
      </c>
      <c r="P12">
        <f>F12/(M12*wing_area*wmac)</f>
        <v>-8.5224592864388288E-5</v>
      </c>
      <c r="Q12">
        <f>P12-deltaCmcgt</f>
        <v>-8.4410574686774568E-5</v>
      </c>
    </row>
    <row r="13" spans="1:17" x14ac:dyDescent="0.25">
      <c r="A13">
        <v>-6.0140000000000002</v>
      </c>
      <c r="B13" s="15">
        <f>A13+deltalph</f>
        <v>-5.9064256564798967</v>
      </c>
      <c r="C13">
        <v>1.4039999999999999</v>
      </c>
      <c r="D13">
        <v>-0.59899999999999998</v>
      </c>
      <c r="E13">
        <f t="shared" si="3"/>
        <v>0.59899999999999998</v>
      </c>
      <c r="F13">
        <v>-6.1449999999999996</v>
      </c>
      <c r="G13">
        <v>1.0999999999999999E-2</v>
      </c>
      <c r="H13">
        <v>-0.248</v>
      </c>
      <c r="I13">
        <v>-0.86799999999999999</v>
      </c>
      <c r="J13">
        <f t="shared" si="0"/>
        <v>3.9316213463293693E-5</v>
      </c>
      <c r="K13">
        <f t="shared" si="1"/>
        <v>1.6773797624296954E-5</v>
      </c>
      <c r="L13">
        <f t="shared" si="4"/>
        <v>1.5457646410912763E-9</v>
      </c>
      <c r="M13" s="11">
        <f t="shared" si="2"/>
        <v>727.91914084511302</v>
      </c>
      <c r="N13">
        <f>C13/(M13*wing_area)</f>
        <v>3.9055026459612351E-5</v>
      </c>
      <c r="O13">
        <f>E13/(M13*wing_area)</f>
        <v>1.6662365277284756E-5</v>
      </c>
      <c r="P13">
        <f>F13/(M13*wing_area*wmac)</f>
        <v>-8.5224592864388288E-5</v>
      </c>
      <c r="Q13">
        <f>P13-deltaCmcgt</f>
        <v>-8.4410574686774568E-5</v>
      </c>
    </row>
    <row r="14" spans="1:17" x14ac:dyDescent="0.25">
      <c r="A14">
        <v>-6.0140000000000002</v>
      </c>
      <c r="B14" s="15">
        <f>A14+deltalph</f>
        <v>-5.9064256564798967</v>
      </c>
      <c r="C14">
        <v>1.4039999999999999</v>
      </c>
      <c r="D14">
        <v>-0.59899999999999998</v>
      </c>
      <c r="E14">
        <f t="shared" si="3"/>
        <v>0.59899999999999998</v>
      </c>
      <c r="F14">
        <v>-6.1449999999999996</v>
      </c>
      <c r="G14">
        <v>1.0999999999999999E-2</v>
      </c>
      <c r="H14">
        <v>-0.248</v>
      </c>
      <c r="I14">
        <v>-0.86799999999999999</v>
      </c>
      <c r="J14">
        <f t="shared" si="0"/>
        <v>3.9316213463293693E-5</v>
      </c>
      <c r="K14">
        <f t="shared" si="1"/>
        <v>1.6773797624296954E-5</v>
      </c>
      <c r="L14">
        <f t="shared" si="4"/>
        <v>1.5457646410912763E-9</v>
      </c>
      <c r="M14" s="11">
        <f t="shared" si="2"/>
        <v>727.91914084511302</v>
      </c>
      <c r="N14">
        <f>C14/(M14*wing_area)</f>
        <v>3.9055026459612351E-5</v>
      </c>
      <c r="O14">
        <f>E14/(M14*wing_area)</f>
        <v>1.6662365277284756E-5</v>
      </c>
      <c r="P14">
        <f>F14/(M14*wing_area*wmac)</f>
        <v>-8.5224592864388288E-5</v>
      </c>
      <c r="Q14">
        <f>P14-deltaCmcgt</f>
        <v>-8.4410574686774568E-5</v>
      </c>
    </row>
    <row r="15" spans="1:17" x14ac:dyDescent="0.25">
      <c r="A15">
        <v>-6.0019999999999998</v>
      </c>
      <c r="B15" s="15">
        <f>A15+deltalph</f>
        <v>-5.8944256564798962</v>
      </c>
      <c r="C15">
        <v>1.1919999999999999</v>
      </c>
      <c r="D15">
        <v>-0.65200000000000002</v>
      </c>
      <c r="E15">
        <f t="shared" si="3"/>
        <v>0.65200000000000002</v>
      </c>
      <c r="F15">
        <v>-6.0510000000000002</v>
      </c>
      <c r="G15">
        <v>4.2999999999999997E-2</v>
      </c>
      <c r="H15">
        <v>-0.112</v>
      </c>
      <c r="I15">
        <v>-0.91100000000000003</v>
      </c>
      <c r="J15">
        <f t="shared" si="0"/>
        <v>3.3379577242340516E-5</v>
      </c>
      <c r="K15">
        <f t="shared" si="1"/>
        <v>1.8257956679535248E-5</v>
      </c>
      <c r="L15">
        <f t="shared" si="4"/>
        <v>1.1141961768773769E-9</v>
      </c>
      <c r="M15" s="11">
        <f t="shared" si="2"/>
        <v>727.91914084511302</v>
      </c>
      <c r="N15">
        <f>C15/(M15*wing_area)</f>
        <v>3.3157828732092541E-5</v>
      </c>
      <c r="O15">
        <f>E15/(M15*wing_area)</f>
        <v>1.8136664709164712E-5</v>
      </c>
      <c r="P15">
        <f>F15/(M15*wing_area*wmac)</f>
        <v>-8.3920913168822388E-5</v>
      </c>
      <c r="Q15">
        <f>P15-deltaCmcgt</f>
        <v>-8.3106894991208667E-5</v>
      </c>
    </row>
    <row r="16" spans="1:17" x14ac:dyDescent="0.25">
      <c r="A16">
        <v>-6.0019999999999998</v>
      </c>
      <c r="B16" s="15">
        <f>A16+deltalph</f>
        <v>-5.8944256564798962</v>
      </c>
      <c r="C16">
        <v>1.1919999999999999</v>
      </c>
      <c r="D16">
        <v>-0.65200000000000002</v>
      </c>
      <c r="E16">
        <f t="shared" si="3"/>
        <v>0.65200000000000002</v>
      </c>
      <c r="F16">
        <v>-6.0510000000000002</v>
      </c>
      <c r="G16">
        <v>4.2999999999999997E-2</v>
      </c>
      <c r="H16">
        <v>-0.112</v>
      </c>
      <c r="I16">
        <v>-0.91100000000000003</v>
      </c>
      <c r="J16">
        <f t="shared" si="0"/>
        <v>3.3379577242340516E-5</v>
      </c>
      <c r="K16">
        <f t="shared" si="1"/>
        <v>1.8257956679535248E-5</v>
      </c>
      <c r="L16">
        <f t="shared" si="4"/>
        <v>1.1141961768773769E-9</v>
      </c>
      <c r="M16" s="11">
        <f t="shared" si="2"/>
        <v>727.91914084511302</v>
      </c>
      <c r="N16">
        <f>C16/(M16*wing_area)</f>
        <v>3.3157828732092541E-5</v>
      </c>
      <c r="O16">
        <f>E16/(M16*wing_area)</f>
        <v>1.8136664709164712E-5</v>
      </c>
      <c r="P16">
        <f>F16/(M16*wing_area*wmac)</f>
        <v>-8.3920913168822388E-5</v>
      </c>
      <c r="Q16">
        <f>P16-deltaCmcgt</f>
        <v>-8.3106894991208667E-5</v>
      </c>
    </row>
    <row r="17" spans="1:17" x14ac:dyDescent="0.25">
      <c r="A17">
        <v>-3.9990000000000001</v>
      </c>
      <c r="B17" s="15">
        <f>A17+deltalph</f>
        <v>-3.8914256564798966</v>
      </c>
      <c r="C17">
        <v>1.9390000000000001</v>
      </c>
      <c r="D17">
        <v>-0.66900000000000004</v>
      </c>
      <c r="E17">
        <f t="shared" si="3"/>
        <v>0.66900000000000004</v>
      </c>
      <c r="F17">
        <v>-6.72</v>
      </c>
      <c r="G17">
        <v>5.0999999999999997E-2</v>
      </c>
      <c r="H17">
        <v>-0.81200000000000006</v>
      </c>
      <c r="I17">
        <v>-0.60199999999999998</v>
      </c>
      <c r="J17">
        <f t="shared" si="0"/>
        <v>5.4297819020887804E-5</v>
      </c>
      <c r="K17">
        <f t="shared" si="1"/>
        <v>1.8734007697253192E-5</v>
      </c>
      <c r="L17">
        <f t="shared" si="4"/>
        <v>2.9482531504250854E-9</v>
      </c>
      <c r="M17" s="11">
        <f t="shared" si="2"/>
        <v>727.91914084511302</v>
      </c>
      <c r="N17">
        <f>C17/(M17*wing_area)</f>
        <v>5.3937105630476034E-5</v>
      </c>
      <c r="O17">
        <f>E17/(M17*wing_area)</f>
        <v>1.8609553206182812E-5</v>
      </c>
      <c r="P17">
        <f>F17/(M17*wing_area*wmac)</f>
        <v>-9.3199229300030799E-5</v>
      </c>
      <c r="Q17">
        <f>P17-deltaCmcgt</f>
        <v>-9.2385211122417079E-5</v>
      </c>
    </row>
    <row r="18" spans="1:17" x14ac:dyDescent="0.25">
      <c r="A18">
        <v>-3.9990000000000001</v>
      </c>
      <c r="B18" s="15">
        <f>A18+deltalph</f>
        <v>-3.8914256564798966</v>
      </c>
      <c r="C18">
        <v>1.9390000000000001</v>
      </c>
      <c r="D18">
        <v>-0.66900000000000004</v>
      </c>
      <c r="E18">
        <f t="shared" si="3"/>
        <v>0.66900000000000004</v>
      </c>
      <c r="F18">
        <v>-6.72</v>
      </c>
      <c r="G18">
        <v>5.0999999999999997E-2</v>
      </c>
      <c r="H18">
        <v>-0.81200000000000006</v>
      </c>
      <c r="I18">
        <v>-0.60199999999999998</v>
      </c>
      <c r="J18">
        <f t="shared" si="0"/>
        <v>5.4297819020887804E-5</v>
      </c>
      <c r="K18">
        <f t="shared" si="1"/>
        <v>1.8734007697253192E-5</v>
      </c>
      <c r="L18">
        <f t="shared" si="4"/>
        <v>2.9482531504250854E-9</v>
      </c>
      <c r="M18" s="11">
        <f t="shared" si="2"/>
        <v>727.91914084511302</v>
      </c>
      <c r="N18">
        <f>C18/(M18*wing_area)</f>
        <v>5.3937105630476034E-5</v>
      </c>
      <c r="O18">
        <f>E18/(M18*wing_area)</f>
        <v>1.8609553206182812E-5</v>
      </c>
      <c r="P18">
        <f>F18/(M18*wing_area*wmac)</f>
        <v>-9.3199229300030799E-5</v>
      </c>
      <c r="Q18">
        <f>P18-deltaCmcgt</f>
        <v>-9.2385211122417079E-5</v>
      </c>
    </row>
    <row r="19" spans="1:17" x14ac:dyDescent="0.25">
      <c r="A19">
        <v>-3.9990000000000001</v>
      </c>
      <c r="B19" s="15">
        <f>A19+deltalph</f>
        <v>-3.8914256564798966</v>
      </c>
      <c r="C19">
        <v>1.9390000000000001</v>
      </c>
      <c r="D19">
        <v>-0.66900000000000004</v>
      </c>
      <c r="E19">
        <f t="shared" si="3"/>
        <v>0.66900000000000004</v>
      </c>
      <c r="F19">
        <v>-6.72</v>
      </c>
      <c r="G19">
        <v>5.0999999999999997E-2</v>
      </c>
      <c r="H19">
        <v>-0.81200000000000006</v>
      </c>
      <c r="I19">
        <v>-0.60199999999999998</v>
      </c>
      <c r="J19">
        <f t="shared" si="0"/>
        <v>5.4297819020887804E-5</v>
      </c>
      <c r="K19">
        <f t="shared" si="1"/>
        <v>1.8734007697253192E-5</v>
      </c>
      <c r="L19">
        <f t="shared" si="4"/>
        <v>2.9482531504250854E-9</v>
      </c>
      <c r="M19" s="11">
        <f t="shared" si="2"/>
        <v>727.91914084511302</v>
      </c>
      <c r="N19">
        <f>C19/(M19*wing_area)</f>
        <v>5.3937105630476034E-5</v>
      </c>
      <c r="O19">
        <f>E19/(M19*wing_area)</f>
        <v>1.8609553206182812E-5</v>
      </c>
      <c r="P19">
        <f>F19/(M19*wing_area*wmac)</f>
        <v>-9.3199229300030799E-5</v>
      </c>
      <c r="Q19">
        <f>P19-deltaCmcgt</f>
        <v>-9.2385211122417079E-5</v>
      </c>
    </row>
    <row r="20" spans="1:17" x14ac:dyDescent="0.25">
      <c r="A20">
        <v>-3.9929999999999999</v>
      </c>
      <c r="B20" s="15">
        <f>A20+deltalph</f>
        <v>-3.8854256564798964</v>
      </c>
      <c r="C20">
        <v>2.1160000000000001</v>
      </c>
      <c r="D20">
        <v>-0.66</v>
      </c>
      <c r="E20">
        <f t="shared" si="3"/>
        <v>0.66</v>
      </c>
      <c r="F20">
        <v>-6.798</v>
      </c>
      <c r="G20">
        <v>5.8000000000000003E-2</v>
      </c>
      <c r="H20">
        <v>-0.77800000000000002</v>
      </c>
      <c r="I20">
        <v>-0.69599999999999995</v>
      </c>
      <c r="J20">
        <f t="shared" si="0"/>
        <v>5.9254350205362863E-5</v>
      </c>
      <c r="K20">
        <f t="shared" si="1"/>
        <v>1.8481980687873104E-5</v>
      </c>
      <c r="L20">
        <f t="shared" si="4"/>
        <v>3.5110780182597858E-9</v>
      </c>
      <c r="M20" s="11">
        <f t="shared" si="2"/>
        <v>727.91914084511302</v>
      </c>
      <c r="N20">
        <f>C20/(M20*wing_area)</f>
        <v>5.8860709393546823E-5</v>
      </c>
      <c r="O20">
        <f>E20/(M20*wing_area)</f>
        <v>1.8359200472467347E-5</v>
      </c>
      <c r="P20">
        <f>F20/(M20*wing_area*wmac)</f>
        <v>-9.4281006068691882E-5</v>
      </c>
      <c r="Q20">
        <f>P20-deltaCmcgt</f>
        <v>-9.3466987891078162E-5</v>
      </c>
    </row>
    <row r="21" spans="1:17" x14ac:dyDescent="0.25">
      <c r="A21">
        <v>-3.9929999999999999</v>
      </c>
      <c r="B21" s="15">
        <f>A21+deltalph</f>
        <v>-3.8854256564798964</v>
      </c>
      <c r="C21">
        <v>2.1160000000000001</v>
      </c>
      <c r="D21">
        <v>-0.66</v>
      </c>
      <c r="E21">
        <f t="shared" si="3"/>
        <v>0.66</v>
      </c>
      <c r="F21">
        <v>-6.798</v>
      </c>
      <c r="G21">
        <v>5.8000000000000003E-2</v>
      </c>
      <c r="H21">
        <v>-0.77800000000000002</v>
      </c>
      <c r="I21">
        <v>-0.69599999999999995</v>
      </c>
      <c r="J21">
        <f t="shared" si="0"/>
        <v>5.9254350205362863E-5</v>
      </c>
      <c r="K21">
        <f t="shared" si="1"/>
        <v>1.8481980687873104E-5</v>
      </c>
      <c r="L21">
        <f t="shared" si="4"/>
        <v>3.5110780182597858E-9</v>
      </c>
      <c r="M21" s="11">
        <f t="shared" si="2"/>
        <v>727.91914084511302</v>
      </c>
      <c r="N21">
        <f>C21/(M21*wing_area)</f>
        <v>5.8860709393546823E-5</v>
      </c>
      <c r="O21">
        <f>E21/(M21*wing_area)</f>
        <v>1.8359200472467347E-5</v>
      </c>
      <c r="P21">
        <f>F21/(M21*wing_area*wmac)</f>
        <v>-9.4281006068691882E-5</v>
      </c>
      <c r="Q21">
        <f>P21-deltaCmcgt</f>
        <v>-9.3466987891078162E-5</v>
      </c>
    </row>
    <row r="22" spans="1:17" x14ac:dyDescent="0.25">
      <c r="A22">
        <v>-1.976</v>
      </c>
      <c r="B22" s="15">
        <f>A22+deltalph</f>
        <v>-1.8684256564798962</v>
      </c>
      <c r="C22">
        <v>2.903</v>
      </c>
      <c r="D22">
        <v>-0.69299999999999995</v>
      </c>
      <c r="E22">
        <f t="shared" si="3"/>
        <v>0.69299999999999995</v>
      </c>
      <c r="F22">
        <v>-7.8289999999999997</v>
      </c>
      <c r="G22">
        <v>5.8000000000000003E-2</v>
      </c>
      <c r="H22">
        <v>-0.33800000000000002</v>
      </c>
      <c r="I22">
        <v>-0.52500000000000002</v>
      </c>
      <c r="J22">
        <f t="shared" si="0"/>
        <v>8.1292712025599431E-5</v>
      </c>
      <c r="K22">
        <f t="shared" si="1"/>
        <v>1.9406079722266759E-5</v>
      </c>
      <c r="L22">
        <f t="shared" si="4"/>
        <v>6.6085050284770384E-9</v>
      </c>
      <c r="M22" s="11">
        <f t="shared" si="2"/>
        <v>727.91914084511302</v>
      </c>
      <c r="N22">
        <f>C22/(M22*wing_area)</f>
        <v>8.0752665108443488E-5</v>
      </c>
      <c r="O22">
        <f>E22/(M22*wing_area)</f>
        <v>1.927716049609071E-5</v>
      </c>
      <c r="P22">
        <f>F22/(M22*wing_area*wmac)</f>
        <v>-1.0857987592112219E-4</v>
      </c>
      <c r="Q22">
        <f>P22-deltaCmcgt</f>
        <v>-1.0776585774350847E-4</v>
      </c>
    </row>
    <row r="23" spans="1:17" x14ac:dyDescent="0.25">
      <c r="A23">
        <v>-1.976</v>
      </c>
      <c r="B23" s="15">
        <f>A23+deltalph</f>
        <v>-1.8684256564798962</v>
      </c>
      <c r="C23">
        <v>2.903</v>
      </c>
      <c r="D23">
        <v>-0.69299999999999995</v>
      </c>
      <c r="E23">
        <f t="shared" si="3"/>
        <v>0.69299999999999995</v>
      </c>
      <c r="F23">
        <v>-7.8289999999999997</v>
      </c>
      <c r="G23">
        <v>5.8000000000000003E-2</v>
      </c>
      <c r="H23">
        <v>-0.33800000000000002</v>
      </c>
      <c r="I23">
        <v>-0.52500000000000002</v>
      </c>
      <c r="J23">
        <f t="shared" si="0"/>
        <v>8.1292712025599431E-5</v>
      </c>
      <c r="K23">
        <f t="shared" si="1"/>
        <v>1.9406079722266759E-5</v>
      </c>
      <c r="L23">
        <f t="shared" si="4"/>
        <v>6.6085050284770384E-9</v>
      </c>
      <c r="M23" s="11">
        <f t="shared" si="2"/>
        <v>727.91914084511302</v>
      </c>
      <c r="N23">
        <f>C23/(M23*wing_area)</f>
        <v>8.0752665108443488E-5</v>
      </c>
      <c r="O23">
        <f>E23/(M23*wing_area)</f>
        <v>1.927716049609071E-5</v>
      </c>
      <c r="P23">
        <f>F23/(M23*wing_area*wmac)</f>
        <v>-1.0857987592112219E-4</v>
      </c>
      <c r="Q23">
        <f>P23-deltaCmcgt</f>
        <v>-1.0776585774350847E-4</v>
      </c>
    </row>
    <row r="24" spans="1:17" x14ac:dyDescent="0.25">
      <c r="A24">
        <v>-1.976</v>
      </c>
      <c r="B24" s="15">
        <f>A24+deltalph</f>
        <v>-1.8684256564798962</v>
      </c>
      <c r="C24">
        <v>2.903</v>
      </c>
      <c r="D24">
        <v>-0.69299999999999995</v>
      </c>
      <c r="E24">
        <f t="shared" si="3"/>
        <v>0.69299999999999995</v>
      </c>
      <c r="F24">
        <v>-7.8289999999999997</v>
      </c>
      <c r="G24">
        <v>5.8000000000000003E-2</v>
      </c>
      <c r="H24">
        <v>-0.33800000000000002</v>
      </c>
      <c r="I24">
        <v>-0.52500000000000002</v>
      </c>
      <c r="J24">
        <f t="shared" si="0"/>
        <v>8.1292712025599431E-5</v>
      </c>
      <c r="K24">
        <f t="shared" si="1"/>
        <v>1.9406079722266759E-5</v>
      </c>
      <c r="L24">
        <f t="shared" si="4"/>
        <v>6.6085050284770384E-9</v>
      </c>
      <c r="M24" s="11">
        <f t="shared" si="2"/>
        <v>727.91914084511302</v>
      </c>
      <c r="N24">
        <f>C24/(M24*wing_area)</f>
        <v>8.0752665108443488E-5</v>
      </c>
      <c r="O24">
        <f>E24/(M24*wing_area)</f>
        <v>1.927716049609071E-5</v>
      </c>
      <c r="P24">
        <f>F24/(M24*wing_area*wmac)</f>
        <v>-1.0857987592112219E-4</v>
      </c>
      <c r="Q24">
        <f>P24-deltaCmcgt</f>
        <v>-1.0776585774350847E-4</v>
      </c>
    </row>
    <row r="25" spans="1:17" x14ac:dyDescent="0.25">
      <c r="A25">
        <v>-1.966</v>
      </c>
      <c r="B25" s="15">
        <f>A25+deltalph</f>
        <v>-1.8584256564798962</v>
      </c>
      <c r="C25">
        <v>2.9820000000000002</v>
      </c>
      <c r="D25">
        <v>-0.69899999999999995</v>
      </c>
      <c r="E25">
        <f t="shared" si="3"/>
        <v>0.69899999999999995</v>
      </c>
      <c r="F25">
        <v>-7.7</v>
      </c>
      <c r="G25">
        <v>8.3000000000000004E-2</v>
      </c>
      <c r="H25">
        <v>-0.52200000000000002</v>
      </c>
      <c r="I25">
        <v>-0.51800000000000002</v>
      </c>
      <c r="J25">
        <f t="shared" si="0"/>
        <v>8.3504949107935763E-5</v>
      </c>
      <c r="K25">
        <f t="shared" si="1"/>
        <v>1.9574097728520151E-5</v>
      </c>
      <c r="L25">
        <f t="shared" si="4"/>
        <v>6.9730765255189415E-9</v>
      </c>
      <c r="M25" s="11">
        <f t="shared" si="2"/>
        <v>727.91914084511302</v>
      </c>
      <c r="N25">
        <f>C25/(M25*wing_area)</f>
        <v>8.295020577105701E-5</v>
      </c>
      <c r="O25">
        <f>E25/(M25*wing_area)</f>
        <v>1.9444062318567687E-5</v>
      </c>
      <c r="P25">
        <f>F25/(M25*wing_area*wmac)</f>
        <v>-1.0679078357295197E-4</v>
      </c>
      <c r="Q25">
        <f>P25-deltaCmcgt</f>
        <v>-1.0597676539533824E-4</v>
      </c>
    </row>
    <row r="26" spans="1:17" x14ac:dyDescent="0.25">
      <c r="A26">
        <v>-1.966</v>
      </c>
      <c r="B26" s="15">
        <f>A26+deltalph</f>
        <v>-1.8584256564798962</v>
      </c>
      <c r="C26">
        <v>2.9820000000000002</v>
      </c>
      <c r="D26">
        <v>-0.69899999999999995</v>
      </c>
      <c r="E26">
        <f t="shared" si="3"/>
        <v>0.69899999999999995</v>
      </c>
      <c r="F26">
        <v>-7.7</v>
      </c>
      <c r="G26">
        <v>8.3000000000000004E-2</v>
      </c>
      <c r="H26">
        <v>-0.52200000000000002</v>
      </c>
      <c r="I26">
        <v>-0.51800000000000002</v>
      </c>
      <c r="J26">
        <f t="shared" si="0"/>
        <v>8.3504949107935763E-5</v>
      </c>
      <c r="K26">
        <f t="shared" si="1"/>
        <v>1.9574097728520151E-5</v>
      </c>
      <c r="L26">
        <f t="shared" si="4"/>
        <v>6.9730765255189415E-9</v>
      </c>
      <c r="M26" s="11">
        <f t="shared" si="2"/>
        <v>727.91914084511302</v>
      </c>
      <c r="N26">
        <f>C26/(M26*wing_area)</f>
        <v>8.295020577105701E-5</v>
      </c>
      <c r="O26">
        <f>E26/(M26*wing_area)</f>
        <v>1.9444062318567687E-5</v>
      </c>
      <c r="P26">
        <f>F26/(M26*wing_area*wmac)</f>
        <v>-1.0679078357295197E-4</v>
      </c>
      <c r="Q26">
        <f>P26-deltaCmcgt</f>
        <v>-1.0597676539533824E-4</v>
      </c>
    </row>
    <row r="27" spans="1:17" x14ac:dyDescent="0.25">
      <c r="A27">
        <v>1.2999999999999999E-2</v>
      </c>
      <c r="B27" s="15">
        <f>A27+deltalph</f>
        <v>0.1205743435201037</v>
      </c>
      <c r="C27">
        <v>3.5270000000000001</v>
      </c>
      <c r="D27">
        <v>-0.71799999999999997</v>
      </c>
      <c r="E27">
        <f t="shared" si="3"/>
        <v>0.71799999999999997</v>
      </c>
      <c r="F27">
        <v>-10.061999999999999</v>
      </c>
      <c r="G27">
        <v>4.5999999999999999E-2</v>
      </c>
      <c r="H27">
        <v>-0.442</v>
      </c>
      <c r="I27">
        <v>-0.32300000000000001</v>
      </c>
      <c r="J27">
        <f t="shared" si="0"/>
        <v>9.876658467595218E-5</v>
      </c>
      <c r="K27">
        <f t="shared" si="1"/>
        <v>2.0106154748322558E-5</v>
      </c>
      <c r="L27">
        <f t="shared" si="4"/>
        <v>9.7548382485520328E-9</v>
      </c>
      <c r="M27" s="11">
        <f t="shared" si="2"/>
        <v>727.91914084511302</v>
      </c>
      <c r="N27">
        <f>C27/(M27*wing_area)</f>
        <v>9.8110454646048979E-5</v>
      </c>
      <c r="O27">
        <f>E27/(M27*wing_area)</f>
        <v>1.9972584756411446E-5</v>
      </c>
      <c r="P27">
        <f>F27/(M27*wing_area*wmac)</f>
        <v>-1.3954920315727826E-4</v>
      </c>
      <c r="Q27">
        <f>P27-deltaCmcgt</f>
        <v>-1.3873518497966455E-4</v>
      </c>
    </row>
    <row r="28" spans="1:17" x14ac:dyDescent="0.25">
      <c r="A28">
        <v>1.2999999999999999E-2</v>
      </c>
      <c r="B28" s="15">
        <f>A28+deltalph</f>
        <v>0.1205743435201037</v>
      </c>
      <c r="C28">
        <v>3.5270000000000001</v>
      </c>
      <c r="D28">
        <v>-0.71799999999999997</v>
      </c>
      <c r="E28">
        <f t="shared" si="3"/>
        <v>0.71799999999999997</v>
      </c>
      <c r="F28">
        <v>-10.061999999999999</v>
      </c>
      <c r="G28">
        <v>4.5999999999999999E-2</v>
      </c>
      <c r="H28">
        <v>-0.442</v>
      </c>
      <c r="I28">
        <v>-0.32300000000000001</v>
      </c>
      <c r="J28">
        <f t="shared" si="0"/>
        <v>9.876658467595218E-5</v>
      </c>
      <c r="K28">
        <f t="shared" si="1"/>
        <v>2.0106154748322558E-5</v>
      </c>
      <c r="L28">
        <f t="shared" si="4"/>
        <v>9.7548382485520328E-9</v>
      </c>
      <c r="M28" s="11">
        <f t="shared" si="2"/>
        <v>727.91914084511302</v>
      </c>
      <c r="N28">
        <f>C28/(M28*wing_area)</f>
        <v>9.8110454646048979E-5</v>
      </c>
      <c r="O28">
        <f>E28/(M28*wing_area)</f>
        <v>1.9972584756411446E-5</v>
      </c>
      <c r="P28">
        <f>F28/(M28*wing_area*wmac)</f>
        <v>-1.3954920315727826E-4</v>
      </c>
      <c r="Q28">
        <f>P28-deltaCmcgt</f>
        <v>-1.3873518497966455E-4</v>
      </c>
    </row>
    <row r="29" spans="1:17" x14ac:dyDescent="0.25">
      <c r="A29">
        <v>1.2999999999999999E-2</v>
      </c>
      <c r="B29" s="15">
        <f>A29+deltalph</f>
        <v>0.1205743435201037</v>
      </c>
      <c r="C29">
        <v>3.5270000000000001</v>
      </c>
      <c r="D29">
        <v>-0.71799999999999997</v>
      </c>
      <c r="E29">
        <f t="shared" si="3"/>
        <v>0.71799999999999997</v>
      </c>
      <c r="F29">
        <v>-10.061999999999999</v>
      </c>
      <c r="G29">
        <v>4.5999999999999999E-2</v>
      </c>
      <c r="H29">
        <v>-0.442</v>
      </c>
      <c r="I29">
        <v>-0.32300000000000001</v>
      </c>
      <c r="J29">
        <f t="shared" si="0"/>
        <v>9.876658467595218E-5</v>
      </c>
      <c r="K29">
        <f t="shared" si="1"/>
        <v>2.0106154748322558E-5</v>
      </c>
      <c r="L29">
        <f t="shared" si="4"/>
        <v>9.7548382485520328E-9</v>
      </c>
      <c r="M29" s="11">
        <f t="shared" si="2"/>
        <v>727.91914084511302</v>
      </c>
      <c r="N29">
        <f>C29/(M29*wing_area)</f>
        <v>9.8110454646048979E-5</v>
      </c>
      <c r="O29">
        <f>E29/(M29*wing_area)</f>
        <v>1.9972584756411446E-5</v>
      </c>
      <c r="P29">
        <f>F29/(M29*wing_area*wmac)</f>
        <v>-1.3954920315727826E-4</v>
      </c>
      <c r="Q29">
        <f>P29-deltaCmcgt</f>
        <v>-1.3873518497966455E-4</v>
      </c>
    </row>
    <row r="30" spans="1:17" x14ac:dyDescent="0.25">
      <c r="A30">
        <v>1.2999999999999999E-2</v>
      </c>
      <c r="B30" s="15">
        <f>A30+deltalph</f>
        <v>0.1205743435201037</v>
      </c>
      <c r="C30">
        <v>3.5270000000000001</v>
      </c>
      <c r="D30">
        <v>-0.71799999999999997</v>
      </c>
      <c r="E30">
        <f t="shared" si="3"/>
        <v>0.71799999999999997</v>
      </c>
      <c r="F30">
        <v>-10.061999999999999</v>
      </c>
      <c r="G30">
        <v>4.5999999999999999E-2</v>
      </c>
      <c r="H30">
        <v>-0.442</v>
      </c>
      <c r="I30">
        <v>-0.32300000000000001</v>
      </c>
      <c r="J30">
        <f t="shared" si="0"/>
        <v>9.876658467595218E-5</v>
      </c>
      <c r="K30">
        <f t="shared" si="1"/>
        <v>2.0106154748322558E-5</v>
      </c>
      <c r="L30">
        <f t="shared" si="4"/>
        <v>9.7548382485520328E-9</v>
      </c>
      <c r="M30" s="11">
        <f t="shared" si="2"/>
        <v>727.91914084511302</v>
      </c>
      <c r="N30">
        <f>C30/(M30*wing_area)</f>
        <v>9.8110454646048979E-5</v>
      </c>
      <c r="O30">
        <f>E30/(M30*wing_area)</f>
        <v>1.9972584756411446E-5</v>
      </c>
      <c r="P30">
        <f>F30/(M30*wing_area*wmac)</f>
        <v>-1.3954920315727826E-4</v>
      </c>
      <c r="Q30">
        <f>P30-deltaCmcgt</f>
        <v>-1.3873518497966455E-4</v>
      </c>
    </row>
    <row r="31" spans="1:17" x14ac:dyDescent="0.25">
      <c r="A31">
        <v>2.5999999999999999E-2</v>
      </c>
      <c r="B31" s="15">
        <f>A31+deltalph</f>
        <v>0.13357434352010369</v>
      </c>
      <c r="C31">
        <v>3.4049999999999998</v>
      </c>
      <c r="D31">
        <v>-0.69499999999999995</v>
      </c>
      <c r="E31">
        <f t="shared" si="3"/>
        <v>0.69499999999999995</v>
      </c>
      <c r="F31">
        <v>-9.6509999999999998</v>
      </c>
      <c r="G31">
        <v>4.9000000000000002E-2</v>
      </c>
      <c r="H31">
        <v>-0.42299999999999999</v>
      </c>
      <c r="I31">
        <v>-0.28399999999999997</v>
      </c>
      <c r="J31">
        <f t="shared" si="0"/>
        <v>9.5350218548799866E-5</v>
      </c>
      <c r="K31">
        <f t="shared" si="1"/>
        <v>1.9462085724351223E-5</v>
      </c>
      <c r="L31">
        <f t="shared" si="4"/>
        <v>9.0916641773038979E-9</v>
      </c>
      <c r="M31" s="11">
        <f t="shared" si="2"/>
        <v>727.91914084511302</v>
      </c>
      <c r="N31">
        <f>C31/(M31*wing_area)</f>
        <v>9.4716784255683797E-5</v>
      </c>
      <c r="O31">
        <f>E31/(M31*wing_area)</f>
        <v>1.9332794436916371E-5</v>
      </c>
      <c r="P31">
        <f>F31/(M31*wing_area*wmac)</f>
        <v>-1.338490717224103E-4</v>
      </c>
      <c r="Q31">
        <f>P31-deltaCmcgt</f>
        <v>-1.330350535447966E-4</v>
      </c>
    </row>
    <row r="32" spans="1:17" x14ac:dyDescent="0.25">
      <c r="A32">
        <v>1.966</v>
      </c>
      <c r="B32" s="15">
        <f>A32+deltalph</f>
        <v>2.0735743435201037</v>
      </c>
      <c r="C32">
        <v>4.0819999999999999</v>
      </c>
      <c r="D32">
        <v>-0.81699999999999995</v>
      </c>
      <c r="E32">
        <f t="shared" si="3"/>
        <v>0.81699999999999995</v>
      </c>
      <c r="F32">
        <v>-11.257</v>
      </c>
      <c r="G32">
        <v>2.8000000000000001E-2</v>
      </c>
      <c r="H32">
        <v>-0.63400000000000001</v>
      </c>
      <c r="I32">
        <v>-8.3000000000000004E-2</v>
      </c>
      <c r="J32">
        <f t="shared" si="0"/>
        <v>1.1430825025439092E-4</v>
      </c>
      <c r="K32">
        <f t="shared" si="1"/>
        <v>2.2878451851503523E-5</v>
      </c>
      <c r="L32">
        <f t="shared" si="4"/>
        <v>1.3066376076220462E-8</v>
      </c>
      <c r="M32" s="11">
        <f t="shared" si="2"/>
        <v>727.91914084511302</v>
      </c>
      <c r="N32">
        <f>C32/(M32*wing_area)</f>
        <v>1.1354887322516925E-4</v>
      </c>
      <c r="O32">
        <f>E32/(M32*wing_area)</f>
        <v>2.2726464827281547E-5</v>
      </c>
      <c r="P32">
        <f>F32/(M32*wing_area*wmac)</f>
        <v>-1.5612257801048314E-4</v>
      </c>
      <c r="Q32">
        <f>P32-deltaCmcgt</f>
        <v>-1.5530855983286943E-4</v>
      </c>
    </row>
    <row r="33" spans="1:17" x14ac:dyDescent="0.25">
      <c r="A33">
        <v>2.0270000000000001</v>
      </c>
      <c r="B33" s="15">
        <f>A33+deltalph</f>
        <v>2.1345743435201037</v>
      </c>
      <c r="C33">
        <v>3.8490000000000002</v>
      </c>
      <c r="D33">
        <v>-0.78100000000000003</v>
      </c>
      <c r="E33">
        <f t="shared" si="3"/>
        <v>0.78100000000000003</v>
      </c>
      <c r="F33">
        <v>-10.622999999999999</v>
      </c>
      <c r="G33">
        <v>8.4000000000000005E-2</v>
      </c>
      <c r="H33">
        <v>-0.80900000000000005</v>
      </c>
      <c r="I33">
        <v>-7.4999999999999997E-2</v>
      </c>
      <c r="J33">
        <f t="shared" si="0"/>
        <v>1.0778355101155087E-4</v>
      </c>
      <c r="K33">
        <f t="shared" si="1"/>
        <v>2.1870343813983172E-5</v>
      </c>
      <c r="L33">
        <f t="shared" si="4"/>
        <v>1.1617293868659589E-8</v>
      </c>
      <c r="M33" s="11">
        <f t="shared" si="2"/>
        <v>727.91914084511302</v>
      </c>
      <c r="N33">
        <f>C33/(M33*wing_area)</f>
        <v>1.0706751911898003E-4</v>
      </c>
      <c r="O33">
        <f>E33/(M33*wing_area)</f>
        <v>2.1725053892419694E-5</v>
      </c>
      <c r="P33">
        <f>F33/(M33*wing_area*wmac)</f>
        <v>-1.4732967453187905E-4</v>
      </c>
      <c r="Q33">
        <f>P33-deltaCmcgt</f>
        <v>-1.4651565635426535E-4</v>
      </c>
    </row>
    <row r="34" spans="1:17" x14ac:dyDescent="0.25">
      <c r="A34">
        <v>2.0270000000000001</v>
      </c>
      <c r="B34" s="15">
        <f>A34+deltalph</f>
        <v>2.1345743435201037</v>
      </c>
      <c r="C34">
        <v>3.8490000000000002</v>
      </c>
      <c r="D34">
        <v>-0.78100000000000003</v>
      </c>
      <c r="E34">
        <f t="shared" si="3"/>
        <v>0.78100000000000003</v>
      </c>
      <c r="F34">
        <v>-10.622999999999999</v>
      </c>
      <c r="G34">
        <v>8.4000000000000005E-2</v>
      </c>
      <c r="H34">
        <v>-0.80900000000000005</v>
      </c>
      <c r="I34">
        <v>-7.4999999999999997E-2</v>
      </c>
      <c r="J34">
        <f t="shared" ref="J34:J65" si="5">C34/(0.5*0.002377*(65*12)^2*wing_area)</f>
        <v>1.0778355101155087E-4</v>
      </c>
      <c r="K34">
        <f t="shared" ref="K34:K65" si="6">E34/(0.5*0.002377*(65*12)^2*wing_area)</f>
        <v>2.1870343813983172E-5</v>
      </c>
      <c r="L34">
        <f t="shared" si="4"/>
        <v>1.1617293868659589E-8</v>
      </c>
      <c r="M34" s="11">
        <f t="shared" si="2"/>
        <v>727.91914084511302</v>
      </c>
      <c r="N34">
        <f>C34/(M34*wing_area)</f>
        <v>1.0706751911898003E-4</v>
      </c>
      <c r="O34">
        <f>E34/(M34*wing_area)</f>
        <v>2.1725053892419694E-5</v>
      </c>
      <c r="P34">
        <f>F34/(M34*wing_area*wmac)</f>
        <v>-1.4732967453187905E-4</v>
      </c>
      <c r="Q34">
        <f>P34-deltaCmcgt</f>
        <v>-1.4651565635426535E-4</v>
      </c>
    </row>
    <row r="35" spans="1:17" x14ac:dyDescent="0.25">
      <c r="A35">
        <v>2.0270000000000001</v>
      </c>
      <c r="B35" s="15">
        <f>A35+deltalph</f>
        <v>2.1345743435201037</v>
      </c>
      <c r="C35">
        <v>3.8490000000000002</v>
      </c>
      <c r="D35">
        <v>-0.78100000000000003</v>
      </c>
      <c r="E35">
        <f t="shared" si="3"/>
        <v>0.78100000000000003</v>
      </c>
      <c r="F35">
        <v>-10.622999999999999</v>
      </c>
      <c r="G35">
        <v>8.4000000000000005E-2</v>
      </c>
      <c r="H35">
        <v>-0.80900000000000005</v>
      </c>
      <c r="I35">
        <v>-7.4999999999999997E-2</v>
      </c>
      <c r="J35">
        <f t="shared" si="5"/>
        <v>1.0778355101155087E-4</v>
      </c>
      <c r="K35">
        <f t="shared" si="6"/>
        <v>2.1870343813983172E-5</v>
      </c>
      <c r="L35">
        <f t="shared" si="4"/>
        <v>1.1617293868659589E-8</v>
      </c>
      <c r="M35" s="11">
        <f t="shared" si="2"/>
        <v>727.91914084511302</v>
      </c>
      <c r="N35">
        <f>C35/(M35*wing_area)</f>
        <v>1.0706751911898003E-4</v>
      </c>
      <c r="O35">
        <f>E35/(M35*wing_area)</f>
        <v>2.1725053892419694E-5</v>
      </c>
      <c r="P35">
        <f>F35/(M35*wing_area*wmac)</f>
        <v>-1.4732967453187905E-4</v>
      </c>
      <c r="Q35">
        <f>P35-deltaCmcgt</f>
        <v>-1.4651565635426535E-4</v>
      </c>
    </row>
    <row r="36" spans="1:17" x14ac:dyDescent="0.25">
      <c r="A36">
        <v>2.0270000000000001</v>
      </c>
      <c r="B36" s="15">
        <f>A36+deltalph</f>
        <v>2.1345743435201037</v>
      </c>
      <c r="C36">
        <v>3.8490000000000002</v>
      </c>
      <c r="D36">
        <v>-0.78100000000000003</v>
      </c>
      <c r="E36">
        <f t="shared" si="3"/>
        <v>0.78100000000000003</v>
      </c>
      <c r="F36">
        <v>-10.622999999999999</v>
      </c>
      <c r="G36">
        <v>8.4000000000000005E-2</v>
      </c>
      <c r="H36">
        <v>-0.80900000000000005</v>
      </c>
      <c r="I36">
        <v>-7.4999999999999997E-2</v>
      </c>
      <c r="J36">
        <f t="shared" si="5"/>
        <v>1.0778355101155087E-4</v>
      </c>
      <c r="K36">
        <f t="shared" si="6"/>
        <v>2.1870343813983172E-5</v>
      </c>
      <c r="L36">
        <f t="shared" si="4"/>
        <v>1.1617293868659589E-8</v>
      </c>
      <c r="M36" s="11">
        <f t="shared" si="2"/>
        <v>727.91914084511302</v>
      </c>
      <c r="N36">
        <f>C36/(M36*wing_area)</f>
        <v>1.0706751911898003E-4</v>
      </c>
      <c r="O36">
        <f>E36/(M36*wing_area)</f>
        <v>2.1725053892419694E-5</v>
      </c>
      <c r="P36">
        <f>F36/(M36*wing_area*wmac)</f>
        <v>-1.4732967453187905E-4</v>
      </c>
      <c r="Q36">
        <f>P36-deltaCmcgt</f>
        <v>-1.4651565635426535E-4</v>
      </c>
    </row>
    <row r="37" spans="1:17" x14ac:dyDescent="0.25">
      <c r="A37">
        <v>3.976</v>
      </c>
      <c r="B37" s="15">
        <f>A37+deltalph</f>
        <v>4.0835743435201035</v>
      </c>
      <c r="C37">
        <v>4.84</v>
      </c>
      <c r="D37">
        <v>-0.97199999999999998</v>
      </c>
      <c r="E37">
        <f t="shared" si="3"/>
        <v>0.97199999999999998</v>
      </c>
      <c r="F37">
        <v>-14.09</v>
      </c>
      <c r="G37">
        <v>8.9999999999999993E-3</v>
      </c>
      <c r="H37">
        <v>-0.69699999999999995</v>
      </c>
      <c r="I37">
        <v>0.19400000000000001</v>
      </c>
      <c r="J37">
        <f t="shared" si="5"/>
        <v>1.3553452504440276E-4</v>
      </c>
      <c r="K37">
        <f t="shared" si="6"/>
        <v>2.7218917013049479E-5</v>
      </c>
      <c r="L37">
        <f t="shared" si="4"/>
        <v>1.8369607479011841E-8</v>
      </c>
      <c r="M37" s="11">
        <f t="shared" si="2"/>
        <v>727.91914084511302</v>
      </c>
      <c r="N37">
        <f>C37/(M37*wing_area)</f>
        <v>1.3463413679809386E-4</v>
      </c>
      <c r="O37">
        <f>E37/(M37*wing_area)</f>
        <v>2.7038095241270089E-5</v>
      </c>
      <c r="P37">
        <f>F37/(M37*wing_area*wmac)</f>
        <v>-1.9541326500557054E-4</v>
      </c>
      <c r="Q37">
        <f>P37-deltaCmcgt</f>
        <v>-1.9459924682795683E-4</v>
      </c>
    </row>
    <row r="38" spans="1:17" x14ac:dyDescent="0.25">
      <c r="A38">
        <v>3.976</v>
      </c>
      <c r="B38" s="15">
        <f>A38+deltalph</f>
        <v>4.0835743435201035</v>
      </c>
      <c r="C38">
        <v>4.84</v>
      </c>
      <c r="D38">
        <v>-0.97199999999999998</v>
      </c>
      <c r="E38">
        <f t="shared" si="3"/>
        <v>0.97199999999999998</v>
      </c>
      <c r="F38">
        <v>-14.09</v>
      </c>
      <c r="G38">
        <v>8.9999999999999993E-3</v>
      </c>
      <c r="H38">
        <v>-0.69699999999999995</v>
      </c>
      <c r="I38">
        <v>0.19400000000000001</v>
      </c>
      <c r="J38">
        <f t="shared" si="5"/>
        <v>1.3553452504440276E-4</v>
      </c>
      <c r="K38">
        <f t="shared" si="6"/>
        <v>2.7218917013049479E-5</v>
      </c>
      <c r="L38">
        <f t="shared" si="4"/>
        <v>1.8369607479011841E-8</v>
      </c>
      <c r="M38" s="11">
        <f t="shared" si="2"/>
        <v>727.91914084511302</v>
      </c>
      <c r="N38">
        <f>C38/(M38*wing_area)</f>
        <v>1.3463413679809386E-4</v>
      </c>
      <c r="O38">
        <f>E38/(M38*wing_area)</f>
        <v>2.7038095241270089E-5</v>
      </c>
      <c r="P38">
        <f>F38/(M38*wing_area*wmac)</f>
        <v>-1.9541326500557054E-4</v>
      </c>
      <c r="Q38">
        <f>P38-deltaCmcgt</f>
        <v>-1.9459924682795683E-4</v>
      </c>
    </row>
    <row r="39" spans="1:17" x14ac:dyDescent="0.25">
      <c r="A39">
        <v>3.976</v>
      </c>
      <c r="B39" s="15">
        <f>A39+deltalph</f>
        <v>4.0835743435201035</v>
      </c>
      <c r="C39">
        <v>4.84</v>
      </c>
      <c r="D39">
        <v>-0.97199999999999998</v>
      </c>
      <c r="E39">
        <f t="shared" si="3"/>
        <v>0.97199999999999998</v>
      </c>
      <c r="F39">
        <v>-14.09</v>
      </c>
      <c r="G39">
        <v>8.9999999999999993E-3</v>
      </c>
      <c r="H39">
        <v>-0.69699999999999995</v>
      </c>
      <c r="I39">
        <v>0.19400000000000001</v>
      </c>
      <c r="J39">
        <f t="shared" si="5"/>
        <v>1.3553452504440276E-4</v>
      </c>
      <c r="K39">
        <f t="shared" si="6"/>
        <v>2.7218917013049479E-5</v>
      </c>
      <c r="L39">
        <f t="shared" si="4"/>
        <v>1.8369607479011841E-8</v>
      </c>
      <c r="M39" s="11">
        <f t="shared" si="2"/>
        <v>727.91914084511302</v>
      </c>
      <c r="N39">
        <f>C39/(M39*wing_area)</f>
        <v>1.3463413679809386E-4</v>
      </c>
      <c r="O39">
        <f>E39/(M39*wing_area)</f>
        <v>2.7038095241270089E-5</v>
      </c>
      <c r="P39">
        <f>F39/(M39*wing_area*wmac)</f>
        <v>-1.9541326500557054E-4</v>
      </c>
      <c r="Q39">
        <f>P39-deltaCmcgt</f>
        <v>-1.9459924682795683E-4</v>
      </c>
    </row>
    <row r="40" spans="1:17" x14ac:dyDescent="0.25">
      <c r="A40">
        <v>4.0709999999999997</v>
      </c>
      <c r="B40" s="15">
        <f>A40+deltalph</f>
        <v>4.1785743435201033</v>
      </c>
      <c r="C40">
        <v>5.05</v>
      </c>
      <c r="D40">
        <v>-0.96499999999999997</v>
      </c>
      <c r="E40">
        <f t="shared" si="3"/>
        <v>0.96499999999999997</v>
      </c>
      <c r="F40">
        <v>-13.504</v>
      </c>
      <c r="G40">
        <v>2.7E-2</v>
      </c>
      <c r="H40">
        <v>-0.72799999999999998</v>
      </c>
      <c r="I40">
        <v>0.17299999999999999</v>
      </c>
      <c r="J40">
        <f t="shared" si="5"/>
        <v>1.4141515526327146E-4</v>
      </c>
      <c r="K40">
        <f t="shared" si="6"/>
        <v>2.7022896005753855E-5</v>
      </c>
      <c r="L40">
        <f t="shared" si="4"/>
        <v>1.9998246138135176E-8</v>
      </c>
      <c r="M40" s="11">
        <f t="shared" si="2"/>
        <v>727.91914084511302</v>
      </c>
      <c r="N40">
        <f>C40/(M40*wing_area)</f>
        <v>1.4047570058478803E-4</v>
      </c>
      <c r="O40">
        <f>E40/(M40*wing_area)</f>
        <v>2.6843376448380284E-5</v>
      </c>
      <c r="P40">
        <f>F40/(M40*wing_area*wmac)</f>
        <v>-1.8728607030768095E-4</v>
      </c>
      <c r="Q40">
        <f>P40-deltaCmcgt</f>
        <v>-1.8647205213006724E-4</v>
      </c>
    </row>
    <row r="41" spans="1:17" x14ac:dyDescent="0.25">
      <c r="A41">
        <v>4.0709999999999997</v>
      </c>
      <c r="B41" s="15">
        <f>A41+deltalph</f>
        <v>4.1785743435201033</v>
      </c>
      <c r="C41">
        <v>5.05</v>
      </c>
      <c r="D41">
        <v>-0.96499999999999997</v>
      </c>
      <c r="E41">
        <f t="shared" si="3"/>
        <v>0.96499999999999997</v>
      </c>
      <c r="F41">
        <v>-13.504</v>
      </c>
      <c r="G41">
        <v>2.7E-2</v>
      </c>
      <c r="H41">
        <v>-0.72799999999999998</v>
      </c>
      <c r="I41">
        <v>0.17299999999999999</v>
      </c>
      <c r="J41">
        <f t="shared" si="5"/>
        <v>1.4141515526327146E-4</v>
      </c>
      <c r="K41">
        <f t="shared" si="6"/>
        <v>2.7022896005753855E-5</v>
      </c>
      <c r="L41">
        <f t="shared" si="4"/>
        <v>1.9998246138135176E-8</v>
      </c>
      <c r="M41" s="11">
        <f t="shared" si="2"/>
        <v>727.91914084511302</v>
      </c>
      <c r="N41">
        <f>C41/(M41*wing_area)</f>
        <v>1.4047570058478803E-4</v>
      </c>
      <c r="O41">
        <f>E41/(M41*wing_area)</f>
        <v>2.6843376448380284E-5</v>
      </c>
      <c r="P41">
        <f>F41/(M41*wing_area*wmac)</f>
        <v>-1.8728607030768095E-4</v>
      </c>
      <c r="Q41">
        <f>P41-deltaCmcgt</f>
        <v>-1.8647205213006724E-4</v>
      </c>
    </row>
    <row r="42" spans="1:17" x14ac:dyDescent="0.25">
      <c r="A42">
        <v>5.9749999999999996</v>
      </c>
      <c r="B42" s="15">
        <f>A42+deltalph</f>
        <v>6.0825743435201032</v>
      </c>
      <c r="C42">
        <v>5.806</v>
      </c>
      <c r="D42">
        <v>-1.0549999999999999</v>
      </c>
      <c r="E42">
        <f t="shared" si="3"/>
        <v>1.0549999999999999</v>
      </c>
      <c r="F42">
        <v>-13.507999999999999</v>
      </c>
      <c r="G42">
        <v>1.4E-2</v>
      </c>
      <c r="H42">
        <v>-1.006</v>
      </c>
      <c r="I42">
        <v>0.34100000000000003</v>
      </c>
      <c r="J42">
        <f t="shared" si="5"/>
        <v>1.6258542405119886E-4</v>
      </c>
      <c r="K42">
        <f t="shared" si="6"/>
        <v>2.9543166099554732E-5</v>
      </c>
      <c r="L42">
        <f t="shared" si="4"/>
        <v>2.6434020113908154E-8</v>
      </c>
      <c r="M42" s="11">
        <f t="shared" si="2"/>
        <v>727.91914084511302</v>
      </c>
      <c r="N42">
        <f>C42/(M42*wing_area)</f>
        <v>1.6150533021688698E-4</v>
      </c>
      <c r="O42">
        <f>E42/(M42*wing_area)</f>
        <v>2.9346903785534923E-5</v>
      </c>
      <c r="P42">
        <f>F42/(M42*wing_area*wmac)</f>
        <v>-1.8734154603940715E-4</v>
      </c>
      <c r="Q42">
        <f>P42-deltaCmcgt</f>
        <v>-1.8652752786179344E-4</v>
      </c>
    </row>
    <row r="43" spans="1:17" x14ac:dyDescent="0.25">
      <c r="A43">
        <v>5.9749999999999996</v>
      </c>
      <c r="B43" s="15">
        <f>A43+deltalph</f>
        <v>6.0825743435201032</v>
      </c>
      <c r="C43">
        <v>5.806</v>
      </c>
      <c r="D43">
        <v>-1.0549999999999999</v>
      </c>
      <c r="E43">
        <f t="shared" si="3"/>
        <v>1.0549999999999999</v>
      </c>
      <c r="F43">
        <v>-13.507999999999999</v>
      </c>
      <c r="G43">
        <v>1.4E-2</v>
      </c>
      <c r="H43">
        <v>-1.006</v>
      </c>
      <c r="I43">
        <v>0.34100000000000003</v>
      </c>
      <c r="J43">
        <f t="shared" si="5"/>
        <v>1.6258542405119886E-4</v>
      </c>
      <c r="K43">
        <f t="shared" si="6"/>
        <v>2.9543166099554732E-5</v>
      </c>
      <c r="L43">
        <f t="shared" si="4"/>
        <v>2.6434020113908154E-8</v>
      </c>
      <c r="M43" s="11">
        <f t="shared" si="2"/>
        <v>727.91914084511302</v>
      </c>
      <c r="N43">
        <f>C43/(M43*wing_area)</f>
        <v>1.6150533021688698E-4</v>
      </c>
      <c r="O43">
        <f>E43/(M43*wing_area)</f>
        <v>2.9346903785534923E-5</v>
      </c>
      <c r="P43">
        <f>F43/(M43*wing_area*wmac)</f>
        <v>-1.8734154603940715E-4</v>
      </c>
      <c r="Q43">
        <f>P43-deltaCmcgt</f>
        <v>-1.8652752786179344E-4</v>
      </c>
    </row>
    <row r="44" spans="1:17" x14ac:dyDescent="0.25">
      <c r="A44">
        <v>5.9749999999999996</v>
      </c>
      <c r="B44" s="15">
        <f>A44+deltalph</f>
        <v>6.0825743435201032</v>
      </c>
      <c r="C44">
        <v>5.806</v>
      </c>
      <c r="D44">
        <v>-1.0549999999999999</v>
      </c>
      <c r="E44">
        <f t="shared" si="3"/>
        <v>1.0549999999999999</v>
      </c>
      <c r="F44">
        <v>-13.507999999999999</v>
      </c>
      <c r="G44">
        <v>1.4E-2</v>
      </c>
      <c r="H44">
        <v>-1.006</v>
      </c>
      <c r="I44">
        <v>0.34100000000000003</v>
      </c>
      <c r="J44">
        <f t="shared" si="5"/>
        <v>1.6258542405119886E-4</v>
      </c>
      <c r="K44">
        <f t="shared" si="6"/>
        <v>2.9543166099554732E-5</v>
      </c>
      <c r="L44">
        <f t="shared" si="4"/>
        <v>2.6434020113908154E-8</v>
      </c>
      <c r="M44" s="11">
        <f t="shared" si="2"/>
        <v>727.91914084511302</v>
      </c>
      <c r="N44">
        <f>C44/(M44*wing_area)</f>
        <v>1.6150533021688698E-4</v>
      </c>
      <c r="O44">
        <f>E44/(M44*wing_area)</f>
        <v>2.9346903785534923E-5</v>
      </c>
      <c r="P44">
        <f>F44/(M44*wing_area*wmac)</f>
        <v>-1.8734154603940715E-4</v>
      </c>
      <c r="Q44">
        <f>P44-deltaCmcgt</f>
        <v>-1.8652752786179344E-4</v>
      </c>
    </row>
    <row r="45" spans="1:17" x14ac:dyDescent="0.25">
      <c r="A45">
        <v>5.9960000000000004</v>
      </c>
      <c r="B45" s="15">
        <f>A45+deltalph</f>
        <v>6.103574343520104</v>
      </c>
      <c r="C45">
        <v>5.5430000000000001</v>
      </c>
      <c r="D45">
        <v>-0.98499999999999999</v>
      </c>
      <c r="E45">
        <f t="shared" si="3"/>
        <v>0.98499999999999999</v>
      </c>
      <c r="F45">
        <v>-14.054</v>
      </c>
      <c r="G45">
        <v>-3.4000000000000002E-2</v>
      </c>
      <c r="H45">
        <v>-1.036</v>
      </c>
      <c r="I45">
        <v>0.22700000000000001</v>
      </c>
      <c r="J45">
        <f t="shared" si="5"/>
        <v>1.5522063477709183E-4</v>
      </c>
      <c r="K45">
        <f t="shared" si="6"/>
        <v>2.7582956026598494E-5</v>
      </c>
      <c r="L45">
        <f t="shared" si="4"/>
        <v>2.409344546060333E-8</v>
      </c>
      <c r="M45" s="11">
        <f t="shared" si="2"/>
        <v>727.91914084511302</v>
      </c>
      <c r="N45">
        <f>C45/(M45*wing_area)</f>
        <v>1.5418946699831287E-4</v>
      </c>
      <c r="O45">
        <f>E45/(M45*wing_area)</f>
        <v>2.739971585663687E-5</v>
      </c>
      <c r="P45">
        <f>F45/(M45*wing_area*wmac)</f>
        <v>-1.9491398342003468E-4</v>
      </c>
      <c r="Q45">
        <f>P45-deltaCmcgt</f>
        <v>-1.9409996524242097E-4</v>
      </c>
    </row>
    <row r="46" spans="1:17" x14ac:dyDescent="0.25">
      <c r="A46">
        <v>5.9960000000000004</v>
      </c>
      <c r="B46" s="15">
        <f>A46+deltalph</f>
        <v>6.103574343520104</v>
      </c>
      <c r="C46">
        <v>5.5430000000000001</v>
      </c>
      <c r="D46">
        <v>-0.98499999999999999</v>
      </c>
      <c r="E46">
        <f t="shared" si="3"/>
        <v>0.98499999999999999</v>
      </c>
      <c r="F46">
        <v>-14.054</v>
      </c>
      <c r="G46">
        <v>-3.4000000000000002E-2</v>
      </c>
      <c r="H46">
        <v>-1.036</v>
      </c>
      <c r="I46">
        <v>0.22700000000000001</v>
      </c>
      <c r="J46">
        <f t="shared" si="5"/>
        <v>1.5522063477709183E-4</v>
      </c>
      <c r="K46">
        <f t="shared" si="6"/>
        <v>2.7582956026598494E-5</v>
      </c>
      <c r="L46">
        <f t="shared" si="4"/>
        <v>2.409344546060333E-8</v>
      </c>
      <c r="M46" s="11">
        <f t="shared" si="2"/>
        <v>727.91914084511302</v>
      </c>
      <c r="N46">
        <f>C46/(M46*wing_area)</f>
        <v>1.5418946699831287E-4</v>
      </c>
      <c r="O46">
        <f>E46/(M46*wing_area)</f>
        <v>2.739971585663687E-5</v>
      </c>
      <c r="P46">
        <f>F46/(M46*wing_area*wmac)</f>
        <v>-1.9491398342003468E-4</v>
      </c>
      <c r="Q46">
        <f>P46-deltaCmcgt</f>
        <v>-1.9409996524242097E-4</v>
      </c>
    </row>
    <row r="47" spans="1:17" x14ac:dyDescent="0.25">
      <c r="A47">
        <v>8.0299999999999994</v>
      </c>
      <c r="B47" s="15">
        <f>A47+deltalph</f>
        <v>8.1375743435201038</v>
      </c>
      <c r="C47">
        <v>6.1539999999999999</v>
      </c>
      <c r="D47">
        <v>-1.22</v>
      </c>
      <c r="E47">
        <f t="shared" si="3"/>
        <v>1.22</v>
      </c>
      <c r="F47">
        <v>-16.538</v>
      </c>
      <c r="G47">
        <v>-0.113</v>
      </c>
      <c r="H47">
        <v>-0.60799999999999998</v>
      </c>
      <c r="I47">
        <v>0.42599999999999999</v>
      </c>
      <c r="J47">
        <f t="shared" si="5"/>
        <v>1.7233046841389559E-4</v>
      </c>
      <c r="K47">
        <f t="shared" si="6"/>
        <v>3.4163661271523011E-5</v>
      </c>
      <c r="L47">
        <f t="shared" si="4"/>
        <v>2.9697790343752666E-8</v>
      </c>
      <c r="M47" s="11">
        <f t="shared" si="2"/>
        <v>727.91914084511302</v>
      </c>
      <c r="N47">
        <f>C47/(M47*wing_area)</f>
        <v>1.7118563592055159E-4</v>
      </c>
      <c r="O47">
        <f>E47/(M47*wing_area)</f>
        <v>3.3936703903651758E-5</v>
      </c>
      <c r="P47">
        <f>F47/(M47*wing_area*wmac)</f>
        <v>-2.2936441282201035E-4</v>
      </c>
      <c r="Q47">
        <f>P47-deltaCmcgt</f>
        <v>-2.2855039464439664E-4</v>
      </c>
    </row>
    <row r="48" spans="1:17" x14ac:dyDescent="0.25">
      <c r="A48">
        <v>8.0299999999999994</v>
      </c>
      <c r="B48" s="15">
        <f>A48+deltalph</f>
        <v>8.1375743435201038</v>
      </c>
      <c r="C48">
        <v>6.1539999999999999</v>
      </c>
      <c r="D48">
        <v>-1.22</v>
      </c>
      <c r="E48">
        <f t="shared" si="3"/>
        <v>1.22</v>
      </c>
      <c r="F48">
        <v>-16.538</v>
      </c>
      <c r="G48">
        <v>-0.113</v>
      </c>
      <c r="H48">
        <v>-0.60799999999999998</v>
      </c>
      <c r="I48">
        <v>0.42599999999999999</v>
      </c>
      <c r="J48">
        <f t="shared" si="5"/>
        <v>1.7233046841389559E-4</v>
      </c>
      <c r="K48">
        <f t="shared" si="6"/>
        <v>3.4163661271523011E-5</v>
      </c>
      <c r="L48">
        <f t="shared" si="4"/>
        <v>2.9697790343752666E-8</v>
      </c>
      <c r="M48" s="11">
        <f t="shared" si="2"/>
        <v>727.91914084511302</v>
      </c>
      <c r="N48">
        <f>C48/(M48*wing_area)</f>
        <v>1.7118563592055159E-4</v>
      </c>
      <c r="O48">
        <f>E48/(M48*wing_area)</f>
        <v>3.3936703903651758E-5</v>
      </c>
      <c r="P48">
        <f>F48/(M48*wing_area*wmac)</f>
        <v>-2.2936441282201035E-4</v>
      </c>
      <c r="Q48">
        <f>P48-deltaCmcgt</f>
        <v>-2.2855039464439664E-4</v>
      </c>
    </row>
    <row r="49" spans="1:17" x14ac:dyDescent="0.25">
      <c r="A49">
        <v>8.0299999999999994</v>
      </c>
      <c r="B49" s="15">
        <f>A49+deltalph</f>
        <v>8.1375743435201038</v>
      </c>
      <c r="C49">
        <v>6.1539999999999999</v>
      </c>
      <c r="D49">
        <v>-1.22</v>
      </c>
      <c r="E49">
        <f t="shared" si="3"/>
        <v>1.22</v>
      </c>
      <c r="F49">
        <v>-16.538</v>
      </c>
      <c r="G49">
        <v>-0.113</v>
      </c>
      <c r="H49">
        <v>-0.60799999999999998</v>
      </c>
      <c r="I49">
        <v>0.42599999999999999</v>
      </c>
      <c r="J49">
        <f t="shared" si="5"/>
        <v>1.7233046841389559E-4</v>
      </c>
      <c r="K49">
        <f t="shared" si="6"/>
        <v>3.4163661271523011E-5</v>
      </c>
      <c r="L49">
        <f t="shared" si="4"/>
        <v>2.9697790343752666E-8</v>
      </c>
      <c r="M49" s="11">
        <f t="shared" si="2"/>
        <v>727.91914084511302</v>
      </c>
      <c r="N49">
        <f>C49/(M49*wing_area)</f>
        <v>1.7118563592055159E-4</v>
      </c>
      <c r="O49">
        <f>E49/(M49*wing_area)</f>
        <v>3.3936703903651758E-5</v>
      </c>
      <c r="P49">
        <f>F49/(M49*wing_area*wmac)</f>
        <v>-2.2936441282201035E-4</v>
      </c>
      <c r="Q49">
        <f>P49-deltaCmcgt</f>
        <v>-2.2855039464439664E-4</v>
      </c>
    </row>
    <row r="50" spans="1:17" x14ac:dyDescent="0.25">
      <c r="A50">
        <v>8.0310000000000006</v>
      </c>
      <c r="B50" s="15">
        <f>A50+deltalph</f>
        <v>8.138574343520105</v>
      </c>
      <c r="C50">
        <v>6.3319999999999999</v>
      </c>
      <c r="D50">
        <v>-1.288</v>
      </c>
      <c r="E50">
        <f t="shared" si="3"/>
        <v>1.288</v>
      </c>
      <c r="F50">
        <v>-17.311</v>
      </c>
      <c r="G50">
        <v>-3.5000000000000003E-2</v>
      </c>
      <c r="H50">
        <v>-0.54600000000000004</v>
      </c>
      <c r="I50">
        <v>0.495</v>
      </c>
      <c r="J50">
        <f t="shared" si="5"/>
        <v>1.7731500259941286E-4</v>
      </c>
      <c r="K50">
        <f t="shared" si="6"/>
        <v>3.6067865342394785E-5</v>
      </c>
      <c r="L50">
        <f t="shared" si="4"/>
        <v>3.1440610146829791E-8</v>
      </c>
      <c r="M50" s="11">
        <f t="shared" si="2"/>
        <v>727.91914084511302</v>
      </c>
      <c r="N50">
        <f>C50/(M50*wing_area)</f>
        <v>1.7613705665403521E-4</v>
      </c>
      <c r="O50">
        <f>E50/(M50*wing_area)</f>
        <v>3.5828257891724153E-5</v>
      </c>
      <c r="P50">
        <f>F50/(M50*wing_area*wmac)</f>
        <v>-2.4008509797810018E-4</v>
      </c>
      <c r="Q50">
        <f>P50-deltaCmcgt</f>
        <v>-2.3927107980048647E-4</v>
      </c>
    </row>
    <row r="51" spans="1:17" x14ac:dyDescent="0.25">
      <c r="A51">
        <v>8.0310000000000006</v>
      </c>
      <c r="B51" s="15">
        <f>A51+deltalph</f>
        <v>8.138574343520105</v>
      </c>
      <c r="C51">
        <v>6.3319999999999999</v>
      </c>
      <c r="D51">
        <v>-1.288</v>
      </c>
      <c r="E51">
        <f t="shared" si="3"/>
        <v>1.288</v>
      </c>
      <c r="F51">
        <v>-17.311</v>
      </c>
      <c r="G51">
        <v>-3.5000000000000003E-2</v>
      </c>
      <c r="H51">
        <v>-0.54600000000000004</v>
      </c>
      <c r="I51">
        <v>0.495</v>
      </c>
      <c r="J51">
        <f t="shared" si="5"/>
        <v>1.7731500259941286E-4</v>
      </c>
      <c r="K51">
        <f t="shared" si="6"/>
        <v>3.6067865342394785E-5</v>
      </c>
      <c r="L51">
        <f t="shared" si="4"/>
        <v>3.1440610146829791E-8</v>
      </c>
      <c r="M51" s="11">
        <f t="shared" si="2"/>
        <v>727.91914084511302</v>
      </c>
      <c r="N51">
        <f>C51/(M51*wing_area)</f>
        <v>1.7613705665403521E-4</v>
      </c>
      <c r="O51">
        <f>E51/(M51*wing_area)</f>
        <v>3.5828257891724153E-5</v>
      </c>
      <c r="P51">
        <f>F51/(M51*wing_area*wmac)</f>
        <v>-2.4008509797810018E-4</v>
      </c>
      <c r="Q51">
        <f>P51-deltaCmcgt</f>
        <v>-2.3927107980048647E-4</v>
      </c>
    </row>
    <row r="52" spans="1:17" x14ac:dyDescent="0.25">
      <c r="A52">
        <v>9.984</v>
      </c>
      <c r="B52" s="15">
        <f>A52+deltalph</f>
        <v>10.091574343520104</v>
      </c>
      <c r="C52">
        <v>6.7889999999999997</v>
      </c>
      <c r="D52">
        <v>-1.367</v>
      </c>
      <c r="E52">
        <f t="shared" si="3"/>
        <v>1.367</v>
      </c>
      <c r="F52">
        <v>-19.227</v>
      </c>
      <c r="G52">
        <v>-6.4000000000000001E-2</v>
      </c>
      <c r="H52">
        <v>-0.91200000000000003</v>
      </c>
      <c r="I52">
        <v>0.88700000000000001</v>
      </c>
      <c r="J52">
        <f t="shared" si="5"/>
        <v>1.9011237407571288E-4</v>
      </c>
      <c r="K52">
        <f t="shared" si="6"/>
        <v>3.8280102424731111E-5</v>
      </c>
      <c r="L52">
        <f t="shared" si="4"/>
        <v>3.6142714776703785E-8</v>
      </c>
      <c r="M52" s="11">
        <f t="shared" si="2"/>
        <v>727.91914084511302</v>
      </c>
      <c r="N52">
        <f>C52/(M52*wing_area)</f>
        <v>1.8884941213269819E-4</v>
      </c>
      <c r="O52">
        <f>E52/(M52*wing_area)</f>
        <v>3.8025798554337669E-5</v>
      </c>
      <c r="P52">
        <f>F52/(M52*wing_area*wmac)</f>
        <v>-2.6665797347495424E-4</v>
      </c>
      <c r="Q52">
        <f>P52-deltaCmcgt</f>
        <v>-2.6584395529734051E-4</v>
      </c>
    </row>
    <row r="53" spans="1:17" x14ac:dyDescent="0.25">
      <c r="A53">
        <v>9.984</v>
      </c>
      <c r="B53" s="15">
        <f>A53+deltalph</f>
        <v>10.091574343520104</v>
      </c>
      <c r="C53">
        <v>6.7889999999999997</v>
      </c>
      <c r="D53">
        <v>-1.367</v>
      </c>
      <c r="E53">
        <f t="shared" si="3"/>
        <v>1.367</v>
      </c>
      <c r="F53">
        <v>-19.227</v>
      </c>
      <c r="G53">
        <v>-6.4000000000000001E-2</v>
      </c>
      <c r="H53">
        <v>-0.91200000000000003</v>
      </c>
      <c r="I53">
        <v>0.88700000000000001</v>
      </c>
      <c r="J53">
        <f t="shared" si="5"/>
        <v>1.9011237407571288E-4</v>
      </c>
      <c r="K53">
        <f t="shared" si="6"/>
        <v>3.8280102424731111E-5</v>
      </c>
      <c r="L53">
        <f t="shared" si="4"/>
        <v>3.6142714776703785E-8</v>
      </c>
      <c r="M53" s="11">
        <f t="shared" si="2"/>
        <v>727.91914084511302</v>
      </c>
      <c r="N53">
        <f>C53/(M53*wing_area)</f>
        <v>1.8884941213269819E-4</v>
      </c>
      <c r="O53">
        <f>E53/(M53*wing_area)</f>
        <v>3.8025798554337669E-5</v>
      </c>
      <c r="P53">
        <f>F53/(M53*wing_area*wmac)</f>
        <v>-2.6665797347495424E-4</v>
      </c>
      <c r="Q53">
        <f>P53-deltaCmcgt</f>
        <v>-2.6584395529734051E-4</v>
      </c>
    </row>
    <row r="54" spans="1:17" x14ac:dyDescent="0.25">
      <c r="A54">
        <v>9.984</v>
      </c>
      <c r="B54" s="15">
        <f>A54+deltalph</f>
        <v>10.091574343520104</v>
      </c>
      <c r="C54">
        <v>6.7889999999999997</v>
      </c>
      <c r="D54">
        <v>-1.367</v>
      </c>
      <c r="E54">
        <f t="shared" si="3"/>
        <v>1.367</v>
      </c>
      <c r="F54">
        <v>-19.227</v>
      </c>
      <c r="G54">
        <v>-6.4000000000000001E-2</v>
      </c>
      <c r="H54">
        <v>-0.91200000000000003</v>
      </c>
      <c r="I54">
        <v>0.88700000000000001</v>
      </c>
      <c r="J54">
        <f t="shared" si="5"/>
        <v>1.9011237407571288E-4</v>
      </c>
      <c r="K54">
        <f t="shared" si="6"/>
        <v>3.8280102424731111E-5</v>
      </c>
      <c r="L54">
        <f t="shared" si="4"/>
        <v>3.6142714776703785E-8</v>
      </c>
      <c r="M54" s="11">
        <f t="shared" si="2"/>
        <v>727.91914084511302</v>
      </c>
      <c r="N54">
        <f>C54/(M54*wing_area)</f>
        <v>1.8884941213269819E-4</v>
      </c>
      <c r="O54">
        <f>E54/(M54*wing_area)</f>
        <v>3.8025798554337669E-5</v>
      </c>
      <c r="P54">
        <f>F54/(M54*wing_area*wmac)</f>
        <v>-2.6665797347495424E-4</v>
      </c>
      <c r="Q54">
        <f>P54-deltaCmcgt</f>
        <v>-2.6584395529734051E-4</v>
      </c>
    </row>
    <row r="55" spans="1:17" x14ac:dyDescent="0.25">
      <c r="A55">
        <v>9.984</v>
      </c>
      <c r="B55" s="15">
        <f>A55+deltalph</f>
        <v>10.091574343520104</v>
      </c>
      <c r="C55">
        <v>6.7889999999999997</v>
      </c>
      <c r="D55">
        <v>-1.367</v>
      </c>
      <c r="E55">
        <f t="shared" si="3"/>
        <v>1.367</v>
      </c>
      <c r="F55">
        <v>-19.227</v>
      </c>
      <c r="G55">
        <v>-6.4000000000000001E-2</v>
      </c>
      <c r="H55">
        <v>-0.91200000000000003</v>
      </c>
      <c r="I55">
        <v>0.88700000000000001</v>
      </c>
      <c r="J55">
        <f t="shared" si="5"/>
        <v>1.9011237407571288E-4</v>
      </c>
      <c r="K55">
        <f t="shared" si="6"/>
        <v>3.8280102424731111E-5</v>
      </c>
      <c r="L55">
        <f t="shared" si="4"/>
        <v>3.6142714776703785E-8</v>
      </c>
      <c r="M55" s="11">
        <f t="shared" si="2"/>
        <v>727.91914084511302</v>
      </c>
      <c r="N55">
        <f>C55/(M55*wing_area)</f>
        <v>1.8884941213269819E-4</v>
      </c>
      <c r="O55">
        <f>E55/(M55*wing_area)</f>
        <v>3.8025798554337669E-5</v>
      </c>
      <c r="P55">
        <f>F55/(M55*wing_area*wmac)</f>
        <v>-2.6665797347495424E-4</v>
      </c>
      <c r="Q55">
        <f>P55-deltaCmcgt</f>
        <v>-2.6584395529734051E-4</v>
      </c>
    </row>
    <row r="56" spans="1:17" x14ac:dyDescent="0.25">
      <c r="A56">
        <v>10.005000000000001</v>
      </c>
      <c r="B56" s="15">
        <f>A56+deltalph</f>
        <v>10.112574343520105</v>
      </c>
      <c r="C56">
        <v>6.9130000000000003</v>
      </c>
      <c r="D56">
        <v>-1.331</v>
      </c>
      <c r="E56">
        <f t="shared" si="3"/>
        <v>1.331</v>
      </c>
      <c r="F56">
        <v>-18.356000000000002</v>
      </c>
      <c r="G56">
        <v>-3.6999999999999998E-2</v>
      </c>
      <c r="H56">
        <v>-0.998</v>
      </c>
      <c r="I56">
        <v>0.751</v>
      </c>
      <c r="J56">
        <f t="shared" si="5"/>
        <v>1.9358474620494965E-4</v>
      </c>
      <c r="K56">
        <f t="shared" si="6"/>
        <v>3.727199438721076E-5</v>
      </c>
      <c r="L56">
        <f t="shared" si="4"/>
        <v>3.7475053963234767E-8</v>
      </c>
      <c r="M56" s="11">
        <f t="shared" si="2"/>
        <v>727.91914084511302</v>
      </c>
      <c r="N56">
        <f>C56/(M56*wing_area)</f>
        <v>1.9229871646388904E-4</v>
      </c>
      <c r="O56">
        <f>E56/(M56*wing_area)</f>
        <v>3.7024387619475813E-5</v>
      </c>
      <c r="P56">
        <f>F56/(M56*wing_area*wmac)</f>
        <v>-2.5457813289157225E-4</v>
      </c>
      <c r="Q56">
        <f>P56-deltaCmcgt</f>
        <v>-2.5376411471395851E-4</v>
      </c>
    </row>
    <row r="57" spans="1:17" x14ac:dyDescent="0.25">
      <c r="A57">
        <v>11.971</v>
      </c>
      <c r="B57" s="15">
        <f>A57+deltalph</f>
        <v>12.078574343520105</v>
      </c>
      <c r="C57">
        <v>6.8680000000000003</v>
      </c>
      <c r="D57">
        <v>-1.544</v>
      </c>
      <c r="E57">
        <f t="shared" si="3"/>
        <v>1.544</v>
      </c>
      <c r="F57">
        <v>-22.334</v>
      </c>
      <c r="G57">
        <v>-0.17499999999999999</v>
      </c>
      <c r="H57">
        <v>-2.1179999999999999</v>
      </c>
      <c r="I57">
        <v>1</v>
      </c>
      <c r="J57">
        <f t="shared" si="5"/>
        <v>1.9232461115804923E-4</v>
      </c>
      <c r="K57">
        <f t="shared" si="6"/>
        <v>4.3236633609206169E-5</v>
      </c>
      <c r="L57">
        <f t="shared" si="4"/>
        <v>3.6988756057094834E-8</v>
      </c>
      <c r="M57" s="11">
        <f t="shared" si="2"/>
        <v>727.91914084511302</v>
      </c>
      <c r="N57">
        <f>C57/(M57*wing_area)</f>
        <v>1.9104695279531172E-4</v>
      </c>
      <c r="O57">
        <f>E57/(M57*wing_area)</f>
        <v>4.2949402317408458E-5</v>
      </c>
      <c r="P57">
        <f>F57/(M57*wing_area*wmac)</f>
        <v>-3.0974874809328691E-4</v>
      </c>
      <c r="Q57">
        <f>P57-deltaCmcgt</f>
        <v>-3.0893472991567317E-4</v>
      </c>
    </row>
    <row r="58" spans="1:17" x14ac:dyDescent="0.25">
      <c r="A58">
        <v>11.971</v>
      </c>
      <c r="B58" s="15">
        <f>A58+deltalph</f>
        <v>12.078574343520105</v>
      </c>
      <c r="C58">
        <v>6.8680000000000003</v>
      </c>
      <c r="D58">
        <v>-1.544</v>
      </c>
      <c r="E58">
        <f t="shared" si="3"/>
        <v>1.544</v>
      </c>
      <c r="F58">
        <v>-22.334</v>
      </c>
      <c r="G58">
        <v>-0.17499999999999999</v>
      </c>
      <c r="H58">
        <v>-2.1179999999999999</v>
      </c>
      <c r="I58">
        <v>1</v>
      </c>
      <c r="J58">
        <f t="shared" si="5"/>
        <v>1.9232461115804923E-4</v>
      </c>
      <c r="K58">
        <f t="shared" si="6"/>
        <v>4.3236633609206169E-5</v>
      </c>
      <c r="L58">
        <f t="shared" si="4"/>
        <v>3.6988756057094834E-8</v>
      </c>
      <c r="M58" s="11">
        <f t="shared" si="2"/>
        <v>727.91914084511302</v>
      </c>
      <c r="N58">
        <f>C58/(M58*wing_area)</f>
        <v>1.9104695279531172E-4</v>
      </c>
      <c r="O58">
        <f>E58/(M58*wing_area)</f>
        <v>4.2949402317408458E-5</v>
      </c>
      <c r="P58">
        <f>F58/(M58*wing_area*wmac)</f>
        <v>-3.0974874809328691E-4</v>
      </c>
      <c r="Q58">
        <f>P58-deltaCmcgt</f>
        <v>-3.0893472991567317E-4</v>
      </c>
    </row>
    <row r="59" spans="1:17" x14ac:dyDescent="0.25">
      <c r="A59">
        <v>11.971</v>
      </c>
      <c r="B59" s="15">
        <f>A59+deltalph</f>
        <v>12.078574343520105</v>
      </c>
      <c r="C59">
        <v>6.8680000000000003</v>
      </c>
      <c r="D59">
        <v>-1.544</v>
      </c>
      <c r="E59">
        <f t="shared" si="3"/>
        <v>1.544</v>
      </c>
      <c r="F59">
        <v>-22.334</v>
      </c>
      <c r="G59">
        <v>-0.17499999999999999</v>
      </c>
      <c r="H59">
        <v>-2.1179999999999999</v>
      </c>
      <c r="I59">
        <v>1</v>
      </c>
      <c r="J59">
        <f t="shared" si="5"/>
        <v>1.9232461115804923E-4</v>
      </c>
      <c r="K59">
        <f t="shared" si="6"/>
        <v>4.3236633609206169E-5</v>
      </c>
      <c r="L59">
        <f t="shared" si="4"/>
        <v>3.6988756057094834E-8</v>
      </c>
      <c r="M59" s="11">
        <f t="shared" si="2"/>
        <v>727.91914084511302</v>
      </c>
      <c r="N59">
        <f>C59/(M59*wing_area)</f>
        <v>1.9104695279531172E-4</v>
      </c>
      <c r="O59">
        <f>E59/(M59*wing_area)</f>
        <v>4.2949402317408458E-5</v>
      </c>
      <c r="P59">
        <f>F59/(M59*wing_area*wmac)</f>
        <v>-3.0974874809328691E-4</v>
      </c>
      <c r="Q59">
        <f>P59-deltaCmcgt</f>
        <v>-3.0893472991567317E-4</v>
      </c>
    </row>
    <row r="60" spans="1:17" x14ac:dyDescent="0.25">
      <c r="A60">
        <v>11.988</v>
      </c>
      <c r="B60" s="15">
        <f>A60+deltalph</f>
        <v>12.095574343520104</v>
      </c>
      <c r="C60">
        <v>6.9390000000000001</v>
      </c>
      <c r="D60">
        <v>-1.5429999999999999</v>
      </c>
      <c r="E60">
        <f t="shared" si="3"/>
        <v>1.5429999999999999</v>
      </c>
      <c r="F60">
        <v>-22.271999999999998</v>
      </c>
      <c r="G60">
        <v>-0.192</v>
      </c>
      <c r="H60">
        <v>-2.2989999999999999</v>
      </c>
      <c r="I60">
        <v>0.94899999999999995</v>
      </c>
      <c r="J60">
        <f t="shared" si="5"/>
        <v>1.9431282423204769E-4</v>
      </c>
      <c r="K60">
        <f t="shared" si="6"/>
        <v>4.3208630608163937E-5</v>
      </c>
      <c r="L60">
        <f t="shared" si="4"/>
        <v>3.7757473661034664E-8</v>
      </c>
      <c r="M60" s="11">
        <f t="shared" si="2"/>
        <v>727.91914084511302</v>
      </c>
      <c r="N60">
        <f>C60/(M60*wing_area)</f>
        <v>1.9302195769462259E-4</v>
      </c>
      <c r="O60">
        <f>E60/(M60*wing_area)</f>
        <v>4.2921585346995624E-5</v>
      </c>
      <c r="P60">
        <f>F60/(M60*wing_area*wmac)</f>
        <v>-3.0888887425153065E-4</v>
      </c>
      <c r="Q60">
        <f>P60-deltaCmcgt</f>
        <v>-3.0807485607391692E-4</v>
      </c>
    </row>
    <row r="61" spans="1:17" x14ac:dyDescent="0.25">
      <c r="A61">
        <v>11.988</v>
      </c>
      <c r="B61" s="15">
        <f>A61+deltalph</f>
        <v>12.095574343520104</v>
      </c>
      <c r="C61">
        <v>6.9390000000000001</v>
      </c>
      <c r="D61">
        <v>-1.5429999999999999</v>
      </c>
      <c r="E61">
        <f t="shared" si="3"/>
        <v>1.5429999999999999</v>
      </c>
      <c r="F61">
        <v>-22.271999999999998</v>
      </c>
      <c r="G61">
        <v>-0.192</v>
      </c>
      <c r="H61">
        <v>-2.2989999999999999</v>
      </c>
      <c r="I61">
        <v>0.94899999999999995</v>
      </c>
      <c r="J61">
        <f t="shared" si="5"/>
        <v>1.9431282423204769E-4</v>
      </c>
      <c r="K61">
        <f t="shared" si="6"/>
        <v>4.3208630608163937E-5</v>
      </c>
      <c r="L61">
        <f t="shared" si="4"/>
        <v>3.7757473661034664E-8</v>
      </c>
      <c r="M61" s="11">
        <f t="shared" si="2"/>
        <v>727.91914084511302</v>
      </c>
      <c r="N61">
        <f>C61/(M61*wing_area)</f>
        <v>1.9302195769462259E-4</v>
      </c>
      <c r="O61">
        <f>E61/(M61*wing_area)</f>
        <v>4.2921585346995624E-5</v>
      </c>
      <c r="P61">
        <f>F61/(M61*wing_area*wmac)</f>
        <v>-3.0888887425153065E-4</v>
      </c>
      <c r="Q61">
        <f>P61-deltaCmcgt</f>
        <v>-3.0807485607391692E-4</v>
      </c>
    </row>
    <row r="62" spans="1:17" x14ac:dyDescent="0.25">
      <c r="A62">
        <v>13.962999999999999</v>
      </c>
      <c r="B62" s="15">
        <f>A62+deltalph</f>
        <v>14.070574343520104</v>
      </c>
      <c r="C62">
        <v>7.0990000000000002</v>
      </c>
      <c r="D62">
        <v>-1.72</v>
      </c>
      <c r="E62">
        <f t="shared" si="3"/>
        <v>1.72</v>
      </c>
      <c r="F62">
        <v>-23.86</v>
      </c>
      <c r="G62">
        <v>-0.121</v>
      </c>
      <c r="H62">
        <v>-0.58599999999999997</v>
      </c>
      <c r="I62">
        <v>0.86399999999999999</v>
      </c>
      <c r="J62">
        <f t="shared" si="5"/>
        <v>1.9879330439880481E-4</v>
      </c>
      <c r="K62">
        <f t="shared" si="6"/>
        <v>4.8165161792638996E-5</v>
      </c>
      <c r="L62">
        <f t="shared" si="4"/>
        <v>3.9518777873795869E-8</v>
      </c>
      <c r="M62" s="11">
        <f t="shared" si="2"/>
        <v>727.91914084511302</v>
      </c>
      <c r="N62">
        <f>C62/(M62*wing_area)</f>
        <v>1.974726729606753E-4</v>
      </c>
      <c r="O62">
        <f>E62/(M62*wing_area)</f>
        <v>4.7845189110066413E-5</v>
      </c>
      <c r="P62">
        <f>F62/(M62*wing_area*wmac)</f>
        <v>-3.3091273974683556E-4</v>
      </c>
      <c r="Q62">
        <f>P62-deltaCmcgt</f>
        <v>-3.3009872156922182E-4</v>
      </c>
    </row>
    <row r="63" spans="1:17" x14ac:dyDescent="0.25">
      <c r="A63">
        <v>13.962999999999999</v>
      </c>
      <c r="B63" s="15">
        <f>A63+deltalph</f>
        <v>14.070574343520104</v>
      </c>
      <c r="C63">
        <v>7.0990000000000002</v>
      </c>
      <c r="D63">
        <v>-1.72</v>
      </c>
      <c r="E63">
        <f t="shared" si="3"/>
        <v>1.72</v>
      </c>
      <c r="F63">
        <v>-23.86</v>
      </c>
      <c r="G63">
        <v>-0.121</v>
      </c>
      <c r="H63">
        <v>-0.58599999999999997</v>
      </c>
      <c r="I63">
        <v>0.86399999999999999</v>
      </c>
      <c r="J63">
        <f t="shared" si="5"/>
        <v>1.9879330439880481E-4</v>
      </c>
      <c r="K63">
        <f t="shared" si="6"/>
        <v>4.8165161792638996E-5</v>
      </c>
      <c r="L63">
        <f t="shared" si="4"/>
        <v>3.9518777873795869E-8</v>
      </c>
      <c r="M63" s="11">
        <f t="shared" si="2"/>
        <v>727.91914084511302</v>
      </c>
      <c r="N63">
        <f>C63/(M63*wing_area)</f>
        <v>1.974726729606753E-4</v>
      </c>
      <c r="O63">
        <f>E63/(M63*wing_area)</f>
        <v>4.7845189110066413E-5</v>
      </c>
      <c r="P63">
        <f>F63/(M63*wing_area*wmac)</f>
        <v>-3.3091273974683556E-4</v>
      </c>
      <c r="Q63">
        <f>P63-deltaCmcgt</f>
        <v>-3.3009872156922182E-4</v>
      </c>
    </row>
    <row r="64" spans="1:17" x14ac:dyDescent="0.25">
      <c r="A64">
        <v>13.962999999999999</v>
      </c>
      <c r="B64" s="15">
        <f>A64+deltalph</f>
        <v>14.070574343520104</v>
      </c>
      <c r="C64">
        <v>7.0990000000000002</v>
      </c>
      <c r="D64">
        <v>-1.72</v>
      </c>
      <c r="E64">
        <f t="shared" si="3"/>
        <v>1.72</v>
      </c>
      <c r="F64">
        <v>-23.86</v>
      </c>
      <c r="G64">
        <v>-0.121</v>
      </c>
      <c r="H64">
        <v>-0.58599999999999997</v>
      </c>
      <c r="I64">
        <v>0.86399999999999999</v>
      </c>
      <c r="J64">
        <f t="shared" si="5"/>
        <v>1.9879330439880481E-4</v>
      </c>
      <c r="K64">
        <f t="shared" si="6"/>
        <v>4.8165161792638996E-5</v>
      </c>
      <c r="L64">
        <f t="shared" si="4"/>
        <v>3.9518777873795869E-8</v>
      </c>
      <c r="M64" s="11">
        <f t="shared" si="2"/>
        <v>727.91914084511302</v>
      </c>
      <c r="N64">
        <f>C64/(M64*wing_area)</f>
        <v>1.974726729606753E-4</v>
      </c>
      <c r="O64">
        <f>E64/(M64*wing_area)</f>
        <v>4.7845189110066413E-5</v>
      </c>
      <c r="P64">
        <f>F64/(M64*wing_area*wmac)</f>
        <v>-3.3091273974683556E-4</v>
      </c>
      <c r="Q64">
        <f>P64-deltaCmcgt</f>
        <v>-3.3009872156922182E-4</v>
      </c>
    </row>
    <row r="65" spans="1:17" x14ac:dyDescent="0.25">
      <c r="A65">
        <v>13.976000000000001</v>
      </c>
      <c r="B65" s="15">
        <f>A65+deltalph</f>
        <v>14.083574343520105</v>
      </c>
      <c r="C65">
        <v>7.07</v>
      </c>
      <c r="D65">
        <v>-1.7130000000000001</v>
      </c>
      <c r="E65">
        <f t="shared" si="3"/>
        <v>1.7130000000000001</v>
      </c>
      <c r="F65">
        <v>-24.382999999999999</v>
      </c>
      <c r="G65">
        <v>-0.13400000000000001</v>
      </c>
      <c r="H65">
        <v>-0.73699999999999999</v>
      </c>
      <c r="I65">
        <v>0.86799999999999999</v>
      </c>
      <c r="J65">
        <f t="shared" si="5"/>
        <v>1.9798121736858007E-4</v>
      </c>
      <c r="K65">
        <f t="shared" si="6"/>
        <v>4.7969140785343379E-5</v>
      </c>
      <c r="L65">
        <f t="shared" si="4"/>
        <v>3.919656243074495E-8</v>
      </c>
      <c r="M65" s="11">
        <f t="shared" si="2"/>
        <v>727.91914084511302</v>
      </c>
      <c r="N65">
        <f>C65/(M65*wing_area)</f>
        <v>1.9666598081870325E-4</v>
      </c>
      <c r="O65">
        <f>E65/(M65*wing_area)</f>
        <v>4.7650470317176615E-5</v>
      </c>
      <c r="P65">
        <f>F65/(M65*wing_area*wmac)</f>
        <v>-3.3816619167003736E-4</v>
      </c>
      <c r="Q65">
        <f>P65-deltaCmcgt</f>
        <v>-3.3735217349242363E-4</v>
      </c>
    </row>
    <row r="66" spans="1:17" x14ac:dyDescent="0.25">
      <c r="A66">
        <v>13.976000000000001</v>
      </c>
      <c r="B66" s="15">
        <f>A66+deltalph</f>
        <v>14.083574343520105</v>
      </c>
      <c r="C66">
        <v>7.07</v>
      </c>
      <c r="D66">
        <v>-1.7130000000000001</v>
      </c>
      <c r="E66">
        <f t="shared" si="3"/>
        <v>1.7130000000000001</v>
      </c>
      <c r="F66">
        <v>-24.382999999999999</v>
      </c>
      <c r="G66">
        <v>-0.13400000000000001</v>
      </c>
      <c r="H66">
        <v>-0.73699999999999999</v>
      </c>
      <c r="I66">
        <v>0.86799999999999999</v>
      </c>
      <c r="J66">
        <f t="shared" ref="J66:J76" si="7">C66/(0.5*0.002377*(65*12)^2*wing_area)</f>
        <v>1.9798121736858007E-4</v>
      </c>
      <c r="K66">
        <f t="shared" ref="K66:K76" si="8">E66/(0.5*0.002377*(65*12)^2*wing_area)</f>
        <v>4.7969140785343379E-5</v>
      </c>
      <c r="L66">
        <f t="shared" si="4"/>
        <v>3.919656243074495E-8</v>
      </c>
      <c r="M66" s="11">
        <f t="shared" ref="M66:M85" si="9">0.5*(65*12)^2*0.002377*(1+eps_tot_t)^2</f>
        <v>727.91914084511302</v>
      </c>
      <c r="N66">
        <f>C66/(M66*wing_area)</f>
        <v>1.9666598081870325E-4</v>
      </c>
      <c r="O66">
        <f>E66/(M66*wing_area)</f>
        <v>4.7650470317176615E-5</v>
      </c>
      <c r="P66">
        <f>F66/(M66*wing_area*wmac)</f>
        <v>-3.3816619167003736E-4</v>
      </c>
      <c r="Q66">
        <f>P66-deltaCmcgt</f>
        <v>-3.3735217349242363E-4</v>
      </c>
    </row>
    <row r="67" spans="1:17" x14ac:dyDescent="0.25">
      <c r="A67">
        <v>16</v>
      </c>
      <c r="B67" s="15">
        <f>A67+deltalph</f>
        <v>16.107574343520103</v>
      </c>
      <c r="C67">
        <v>7.093</v>
      </c>
      <c r="D67">
        <v>-2.101</v>
      </c>
      <c r="E67">
        <f t="shared" ref="E67:E76" si="10">-D67</f>
        <v>2.101</v>
      </c>
      <c r="F67">
        <v>-27.094000000000001</v>
      </c>
      <c r="G67">
        <v>-0.20399999999999999</v>
      </c>
      <c r="H67">
        <v>-0.89500000000000002</v>
      </c>
      <c r="I67">
        <v>1.095</v>
      </c>
      <c r="J67">
        <f t="shared" si="7"/>
        <v>1.986252863925514E-4</v>
      </c>
      <c r="K67">
        <f t="shared" si="8"/>
        <v>5.8834305189729384E-5</v>
      </c>
      <c r="L67">
        <f t="shared" ref="L67:L76" si="11">J67^2</f>
        <v>3.9452004394523068E-8</v>
      </c>
      <c r="M67" s="11">
        <f t="shared" si="9"/>
        <v>727.91914084511302</v>
      </c>
      <c r="N67">
        <f>C67/(M67*wing_area)</f>
        <v>1.973057711381983E-4</v>
      </c>
      <c r="O67">
        <f>E67/(M67*wing_area)</f>
        <v>5.8443454837354381E-5</v>
      </c>
      <c r="P67">
        <f>F67/(M67*wing_area*wmac)</f>
        <v>-3.7576486884747541E-4</v>
      </c>
      <c r="Q67">
        <f>P67-deltaCmcgt</f>
        <v>-3.7495085066986168E-4</v>
      </c>
    </row>
    <row r="68" spans="1:17" x14ac:dyDescent="0.25">
      <c r="A68">
        <v>16</v>
      </c>
      <c r="B68" s="15">
        <f>A68+deltalph</f>
        <v>16.107574343520103</v>
      </c>
      <c r="C68">
        <v>7.093</v>
      </c>
      <c r="D68">
        <v>-2.101</v>
      </c>
      <c r="E68">
        <f t="shared" si="10"/>
        <v>2.101</v>
      </c>
      <c r="F68">
        <v>-27.094000000000001</v>
      </c>
      <c r="G68">
        <v>-0.20399999999999999</v>
      </c>
      <c r="H68">
        <v>-0.89500000000000002</v>
      </c>
      <c r="I68">
        <v>1.095</v>
      </c>
      <c r="J68">
        <f t="shared" si="7"/>
        <v>1.986252863925514E-4</v>
      </c>
      <c r="K68">
        <f t="shared" si="8"/>
        <v>5.8834305189729384E-5</v>
      </c>
      <c r="L68">
        <f t="shared" si="11"/>
        <v>3.9452004394523068E-8</v>
      </c>
      <c r="M68" s="11">
        <f t="shared" si="9"/>
        <v>727.91914084511302</v>
      </c>
      <c r="N68">
        <f>C68/(M68*wing_area)</f>
        <v>1.973057711381983E-4</v>
      </c>
      <c r="O68">
        <f>E68/(M68*wing_area)</f>
        <v>5.8443454837354381E-5</v>
      </c>
      <c r="P68">
        <f>F68/(M68*wing_area*wmac)</f>
        <v>-3.7576486884747541E-4</v>
      </c>
      <c r="Q68">
        <f>P68-deltaCmcgt</f>
        <v>-3.7495085066986168E-4</v>
      </c>
    </row>
    <row r="69" spans="1:17" x14ac:dyDescent="0.25">
      <c r="A69">
        <v>16</v>
      </c>
      <c r="B69" s="15">
        <f>A69+deltalph</f>
        <v>16.107574343520103</v>
      </c>
      <c r="C69">
        <v>7.093</v>
      </c>
      <c r="D69">
        <v>-2.101</v>
      </c>
      <c r="E69">
        <f t="shared" si="10"/>
        <v>2.101</v>
      </c>
      <c r="F69">
        <v>-27.094000000000001</v>
      </c>
      <c r="G69">
        <v>-0.20399999999999999</v>
      </c>
      <c r="H69">
        <v>-0.89500000000000002</v>
      </c>
      <c r="I69">
        <v>1.095</v>
      </c>
      <c r="J69">
        <f t="shared" si="7"/>
        <v>1.986252863925514E-4</v>
      </c>
      <c r="K69">
        <f t="shared" si="8"/>
        <v>5.8834305189729384E-5</v>
      </c>
      <c r="L69">
        <f t="shared" si="11"/>
        <v>3.9452004394523068E-8</v>
      </c>
      <c r="M69" s="11">
        <f t="shared" si="9"/>
        <v>727.91914084511302</v>
      </c>
      <c r="N69">
        <f>C69/(M69*wing_area)</f>
        <v>1.973057711381983E-4</v>
      </c>
      <c r="O69">
        <f>E69/(M69*wing_area)</f>
        <v>5.8443454837354381E-5</v>
      </c>
      <c r="P69">
        <f>F69/(M69*wing_area*wmac)</f>
        <v>-3.7576486884747541E-4</v>
      </c>
      <c r="Q69">
        <f>P69-deltaCmcgt</f>
        <v>-3.7495085066986168E-4</v>
      </c>
    </row>
    <row r="70" spans="1:17" x14ac:dyDescent="0.25">
      <c r="A70">
        <v>16</v>
      </c>
      <c r="B70" s="15">
        <f>A70+deltalph</f>
        <v>16.107574343520103</v>
      </c>
      <c r="C70">
        <v>7.093</v>
      </c>
      <c r="D70">
        <v>-2.101</v>
      </c>
      <c r="E70">
        <f t="shared" si="10"/>
        <v>2.101</v>
      </c>
      <c r="F70">
        <v>-27.094000000000001</v>
      </c>
      <c r="G70">
        <v>-0.20399999999999999</v>
      </c>
      <c r="H70">
        <v>-0.89500000000000002</v>
      </c>
      <c r="I70">
        <v>1.095</v>
      </c>
      <c r="J70">
        <f t="shared" si="7"/>
        <v>1.986252863925514E-4</v>
      </c>
      <c r="K70">
        <f t="shared" si="8"/>
        <v>5.8834305189729384E-5</v>
      </c>
      <c r="L70">
        <f t="shared" si="11"/>
        <v>3.9452004394523068E-8</v>
      </c>
      <c r="M70" s="11">
        <f t="shared" si="9"/>
        <v>727.91914084511302</v>
      </c>
      <c r="N70">
        <f>C70/(M70*wing_area)</f>
        <v>1.973057711381983E-4</v>
      </c>
      <c r="O70">
        <f>E70/(M70*wing_area)</f>
        <v>5.8443454837354381E-5</v>
      </c>
      <c r="P70">
        <f>F70/(M70*wing_area*wmac)</f>
        <v>-3.7576486884747541E-4</v>
      </c>
      <c r="Q70">
        <f>P70-deltaCmcgt</f>
        <v>-3.7495085066986168E-4</v>
      </c>
    </row>
    <row r="71" spans="1:17" x14ac:dyDescent="0.25">
      <c r="A71">
        <v>16.016999999999999</v>
      </c>
      <c r="B71" s="15">
        <f>A71+deltalph</f>
        <v>16.124574343520102</v>
      </c>
      <c r="C71">
        <v>7.1470000000000002</v>
      </c>
      <c r="D71">
        <v>-2.056</v>
      </c>
      <c r="E71">
        <f t="shared" si="10"/>
        <v>2.056</v>
      </c>
      <c r="F71">
        <v>-25.111000000000001</v>
      </c>
      <c r="G71">
        <v>-0.14099999999999999</v>
      </c>
      <c r="H71">
        <v>-0.67900000000000005</v>
      </c>
      <c r="I71">
        <v>1.153</v>
      </c>
      <c r="J71">
        <f t="shared" si="7"/>
        <v>2.0013744844883194E-4</v>
      </c>
      <c r="K71">
        <f t="shared" si="8"/>
        <v>5.7574170142828945E-5</v>
      </c>
      <c r="L71">
        <f t="shared" si="11"/>
        <v>4.005499827160886E-8</v>
      </c>
      <c r="M71" s="11">
        <f t="shared" si="9"/>
        <v>727.91914084511302</v>
      </c>
      <c r="N71">
        <f>C71/(M71*wing_area)</f>
        <v>1.9880788754049109E-4</v>
      </c>
      <c r="O71">
        <f>E71/(M71*wing_area)</f>
        <v>5.7191691168777066E-5</v>
      </c>
      <c r="P71">
        <f>F71/(M71*wing_area*wmac)</f>
        <v>-3.4826277484420741E-4</v>
      </c>
      <c r="Q71">
        <f>P71-deltaCmcgt</f>
        <v>-3.4744875666659368E-4</v>
      </c>
    </row>
    <row r="72" spans="1:17" x14ac:dyDescent="0.25">
      <c r="A72">
        <v>2.4E-2</v>
      </c>
      <c r="B72" s="15">
        <f>A72+deltalph</f>
        <v>0.13157434352010369</v>
      </c>
      <c r="C72">
        <v>3.895</v>
      </c>
      <c r="D72">
        <v>-0.81200000000000006</v>
      </c>
      <c r="E72">
        <f t="shared" si="10"/>
        <v>0.81200000000000006</v>
      </c>
      <c r="F72">
        <v>-10.491</v>
      </c>
      <c r="G72">
        <v>7.0000000000000007E-2</v>
      </c>
      <c r="H72">
        <v>-0.41699999999999998</v>
      </c>
      <c r="I72">
        <v>-0.32</v>
      </c>
      <c r="J72">
        <f t="shared" si="7"/>
        <v>1.0907168905949355E-4</v>
      </c>
      <c r="K72">
        <f t="shared" si="8"/>
        <v>2.2738436846292367E-5</v>
      </c>
      <c r="L72">
        <f t="shared" si="11"/>
        <v>1.1896633354290844E-8</v>
      </c>
      <c r="M72" s="11">
        <f t="shared" si="9"/>
        <v>727.91914084511302</v>
      </c>
      <c r="N72">
        <f>C72/(M72*wing_area)</f>
        <v>1.0834709975797017E-4</v>
      </c>
      <c r="O72">
        <f>E72/(M72*wing_area)</f>
        <v>2.2587379975217404E-5</v>
      </c>
      <c r="P72">
        <f>F72/(M72*wing_area*wmac)</f>
        <v>-1.4549897538491415E-4</v>
      </c>
      <c r="Q72">
        <f>P72-deltaCmcgt</f>
        <v>-1.4468495720730044E-4</v>
      </c>
    </row>
    <row r="73" spans="1:17" x14ac:dyDescent="0.25">
      <c r="A73">
        <v>2.4E-2</v>
      </c>
      <c r="B73" s="15">
        <f>A73+deltalph</f>
        <v>0.13157434352010369</v>
      </c>
      <c r="C73">
        <v>3.895</v>
      </c>
      <c r="D73">
        <v>-0.81200000000000006</v>
      </c>
      <c r="E73">
        <f t="shared" si="10"/>
        <v>0.81200000000000006</v>
      </c>
      <c r="F73">
        <v>-10.491</v>
      </c>
      <c r="G73">
        <v>7.0000000000000007E-2</v>
      </c>
      <c r="H73">
        <v>-0.41699999999999998</v>
      </c>
      <c r="I73">
        <v>-0.32</v>
      </c>
      <c r="J73">
        <f t="shared" si="7"/>
        <v>1.0907168905949355E-4</v>
      </c>
      <c r="K73">
        <f t="shared" si="8"/>
        <v>2.2738436846292367E-5</v>
      </c>
      <c r="L73">
        <f t="shared" si="11"/>
        <v>1.1896633354290844E-8</v>
      </c>
      <c r="M73" s="11">
        <f t="shared" si="9"/>
        <v>727.91914084511302</v>
      </c>
      <c r="N73">
        <f>C73/(M73*wing_area)</f>
        <v>1.0834709975797017E-4</v>
      </c>
      <c r="O73">
        <f>E73/(M73*wing_area)</f>
        <v>2.2587379975217404E-5</v>
      </c>
      <c r="P73">
        <f>F73/(M73*wing_area*wmac)</f>
        <v>-1.4549897538491415E-4</v>
      </c>
      <c r="Q73">
        <f>P73-deltaCmcgt</f>
        <v>-1.4468495720730044E-4</v>
      </c>
    </row>
    <row r="74" spans="1:17" x14ac:dyDescent="0.25">
      <c r="A74">
        <v>2.4E-2</v>
      </c>
      <c r="B74" s="15">
        <f>A74+deltalph</f>
        <v>0.13157434352010369</v>
      </c>
      <c r="C74">
        <v>3.895</v>
      </c>
      <c r="D74">
        <v>-0.81200000000000006</v>
      </c>
      <c r="E74">
        <f t="shared" si="10"/>
        <v>0.81200000000000006</v>
      </c>
      <c r="F74">
        <v>-10.491</v>
      </c>
      <c r="G74">
        <v>7.0000000000000007E-2</v>
      </c>
      <c r="H74">
        <v>-0.41699999999999998</v>
      </c>
      <c r="I74">
        <v>-0.32</v>
      </c>
      <c r="J74">
        <f t="shared" si="7"/>
        <v>1.0907168905949355E-4</v>
      </c>
      <c r="K74">
        <f t="shared" si="8"/>
        <v>2.2738436846292367E-5</v>
      </c>
      <c r="L74">
        <f t="shared" si="11"/>
        <v>1.1896633354290844E-8</v>
      </c>
      <c r="M74" s="11">
        <f t="shared" si="9"/>
        <v>727.91914084511302</v>
      </c>
      <c r="N74">
        <f>C74/(M74*wing_area)</f>
        <v>1.0834709975797017E-4</v>
      </c>
      <c r="O74">
        <f>E74/(M74*wing_area)</f>
        <v>2.2587379975217404E-5</v>
      </c>
      <c r="P74">
        <f>F74/(M74*wing_area*wmac)</f>
        <v>-1.4549897538491415E-4</v>
      </c>
      <c r="Q74">
        <f>P74-deltaCmcgt</f>
        <v>-1.4468495720730044E-4</v>
      </c>
    </row>
    <row r="75" spans="1:17" x14ac:dyDescent="0.25">
      <c r="A75">
        <v>2.3E-2</v>
      </c>
      <c r="B75" s="15">
        <f>A75+deltalph</f>
        <v>0.13057434352010369</v>
      </c>
      <c r="C75">
        <v>3.839</v>
      </c>
      <c r="D75">
        <v>-0.80200000000000005</v>
      </c>
      <c r="E75">
        <f t="shared" si="10"/>
        <v>0.80200000000000005</v>
      </c>
      <c r="F75">
        <v>-11.724</v>
      </c>
      <c r="G75">
        <v>4.9000000000000002E-2</v>
      </c>
      <c r="H75">
        <v>-0.34899999999999998</v>
      </c>
      <c r="I75">
        <v>-0.23899999999999999</v>
      </c>
      <c r="J75">
        <f t="shared" si="7"/>
        <v>1.0750352100112856E-4</v>
      </c>
      <c r="K75">
        <f t="shared" si="8"/>
        <v>2.2458406835870047E-5</v>
      </c>
      <c r="L75">
        <f t="shared" si="11"/>
        <v>1.1557007027640089E-8</v>
      </c>
      <c r="M75" s="11">
        <f t="shared" si="9"/>
        <v>727.91914084511302</v>
      </c>
      <c r="N75">
        <f>C75/(M75*wing_area)</f>
        <v>1.0678934941485173E-4</v>
      </c>
      <c r="O75">
        <f>E75/(M75*wing_area)</f>
        <v>2.2309210271089111E-5</v>
      </c>
      <c r="P75">
        <f>F75/(M75*wing_area*wmac)</f>
        <v>-1.6259936968951805E-4</v>
      </c>
      <c r="Q75">
        <f>P75-deltaCmcgt</f>
        <v>-1.6178535151190434E-4</v>
      </c>
    </row>
    <row r="76" spans="1:17" x14ac:dyDescent="0.25">
      <c r="A76">
        <v>2.3E-2</v>
      </c>
      <c r="B76" s="15">
        <f>A76+deltalph</f>
        <v>0.13057434352010369</v>
      </c>
      <c r="C76">
        <v>3.839</v>
      </c>
      <c r="D76">
        <v>-0.80200000000000005</v>
      </c>
      <c r="E76">
        <f t="shared" si="10"/>
        <v>0.80200000000000005</v>
      </c>
      <c r="F76">
        <v>-11.724</v>
      </c>
      <c r="G76">
        <v>4.9000000000000002E-2</v>
      </c>
      <c r="H76">
        <v>-0.34899999999999998</v>
      </c>
      <c r="I76">
        <v>-0.23899999999999999</v>
      </c>
      <c r="J76">
        <f t="shared" si="7"/>
        <v>1.0750352100112856E-4</v>
      </c>
      <c r="K76">
        <f t="shared" si="8"/>
        <v>2.2458406835870047E-5</v>
      </c>
      <c r="L76">
        <f t="shared" si="11"/>
        <v>1.1557007027640089E-8</v>
      </c>
      <c r="M76" s="11">
        <f t="shared" si="9"/>
        <v>727.91914084511302</v>
      </c>
      <c r="N76">
        <f>C76/(M76*wing_area)</f>
        <v>1.0678934941485173E-4</v>
      </c>
      <c r="O76">
        <f>E76/(M76*wing_area)</f>
        <v>2.2309210271089111E-5</v>
      </c>
      <c r="P76">
        <f>F76/(M76*wing_area*wmac)</f>
        <v>-1.6259936968951805E-4</v>
      </c>
      <c r="Q76">
        <f>P76-deltaCmcgt</f>
        <v>-1.6178535151190434E-4</v>
      </c>
    </row>
    <row r="77" spans="1:17" x14ac:dyDescent="0.25">
      <c r="M77" s="11"/>
    </row>
    <row r="78" spans="1:17" x14ac:dyDescent="0.25">
      <c r="M78" s="11"/>
    </row>
    <row r="79" spans="1:17" x14ac:dyDescent="0.25">
      <c r="M79" s="11"/>
    </row>
    <row r="80" spans="1:17" x14ac:dyDescent="0.25">
      <c r="M80" s="11"/>
    </row>
    <row r="81" spans="13:13" x14ac:dyDescent="0.25">
      <c r="M81" s="11"/>
    </row>
    <row r="82" spans="13:13" x14ac:dyDescent="0.25">
      <c r="M82" s="11"/>
    </row>
    <row r="83" spans="13:13" x14ac:dyDescent="0.25">
      <c r="M83" s="11"/>
    </row>
    <row r="84" spans="13:13" x14ac:dyDescent="0.25">
      <c r="M84" s="11"/>
    </row>
    <row r="85" spans="13:13" x14ac:dyDescent="0.25">
      <c r="M8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J76" sqref="J7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  <col min="9" max="9" width="14.7109375" customWidth="1"/>
    <col min="11" max="11" width="6" bestFit="1" customWidth="1"/>
    <col min="13" max="13" width="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104</v>
      </c>
      <c r="J1" t="s">
        <v>105</v>
      </c>
    </row>
    <row r="2" spans="1:10" x14ac:dyDescent="0.25">
      <c r="A2">
        <v>-2.5999999999999999E-2</v>
      </c>
      <c r="B2">
        <v>1.5589999999999999</v>
      </c>
      <c r="C2">
        <v>-0.49099999999999999</v>
      </c>
      <c r="D2">
        <f>-C2</f>
        <v>0.49099999999999999</v>
      </c>
      <c r="E2">
        <v>-7.8760000000000003</v>
      </c>
      <c r="F2">
        <v>-0.13500000000000001</v>
      </c>
      <c r="G2">
        <v>2.8090000000000002</v>
      </c>
      <c r="H2">
        <v>0.72299999999999998</v>
      </c>
      <c r="I2">
        <f>D2/(0.5*0.002377*(65*12)^2*wing_area)</f>
        <v>1.3749473511735899E-5</v>
      </c>
      <c r="J2">
        <f>H2^2</f>
        <v>0.522729</v>
      </c>
    </row>
    <row r="3" spans="1:10" x14ac:dyDescent="0.25">
      <c r="A3">
        <v>-2.5999999999999999E-2</v>
      </c>
      <c r="B3">
        <v>1.5589999999999999</v>
      </c>
      <c r="C3">
        <v>-0.49099999999999999</v>
      </c>
      <c r="D3">
        <f t="shared" ref="D3:D66" si="0">-C3</f>
        <v>0.49099999999999999</v>
      </c>
      <c r="E3">
        <v>-7.8760000000000003</v>
      </c>
      <c r="F3">
        <v>-0.13500000000000001</v>
      </c>
      <c r="G3">
        <v>2.8090000000000002</v>
      </c>
      <c r="H3">
        <v>0.72299999999999998</v>
      </c>
      <c r="I3">
        <f>D3/(0.5*0.002377*(65*12)^2*wing_area)</f>
        <v>1.3749473511735899E-5</v>
      </c>
      <c r="J3">
        <f t="shared" ref="J3:J66" si="1">H3^2</f>
        <v>0.522729</v>
      </c>
    </row>
    <row r="4" spans="1:10" x14ac:dyDescent="0.25">
      <c r="A4">
        <v>-1.6E-2</v>
      </c>
      <c r="B4">
        <v>1.591</v>
      </c>
      <c r="C4">
        <v>-0.36699999999999999</v>
      </c>
      <c r="D4">
        <f t="shared" si="0"/>
        <v>0.36699999999999999</v>
      </c>
      <c r="E4">
        <v>-5.2690000000000001</v>
      </c>
      <c r="F4">
        <v>-0.113</v>
      </c>
      <c r="G4">
        <v>2.8079999999999998</v>
      </c>
      <c r="H4">
        <v>0.76100000000000001</v>
      </c>
      <c r="I4">
        <f>D4/(0.5*0.002377*(65*12)^2*wing_area)</f>
        <v>1.0277101382499135E-5</v>
      </c>
      <c r="J4">
        <f t="shared" si="1"/>
        <v>0.579121</v>
      </c>
    </row>
    <row r="5" spans="1:10" x14ac:dyDescent="0.25">
      <c r="A5">
        <v>-1.6E-2</v>
      </c>
      <c r="B5">
        <v>1.591</v>
      </c>
      <c r="C5">
        <v>-0.36699999999999999</v>
      </c>
      <c r="D5">
        <f t="shared" si="0"/>
        <v>0.36699999999999999</v>
      </c>
      <c r="E5">
        <v>-5.2690000000000001</v>
      </c>
      <c r="F5">
        <v>-0.113</v>
      </c>
      <c r="G5">
        <v>2.8079999999999998</v>
      </c>
      <c r="H5">
        <v>0.76100000000000001</v>
      </c>
      <c r="I5">
        <f>D5/(0.5*0.002377*(65*12)^2*wing_area)</f>
        <v>1.0277101382499135E-5</v>
      </c>
      <c r="J5">
        <f t="shared" si="1"/>
        <v>0.579121</v>
      </c>
    </row>
    <row r="6" spans="1:10" x14ac:dyDescent="0.25">
      <c r="A6">
        <v>-1.7000000000000001E-2</v>
      </c>
      <c r="B6">
        <v>1.4670000000000001</v>
      </c>
      <c r="C6">
        <v>-0.432</v>
      </c>
      <c r="D6">
        <f t="shared" si="0"/>
        <v>0.432</v>
      </c>
      <c r="E6">
        <v>-3.7629999999999999</v>
      </c>
      <c r="F6">
        <v>-0.21</v>
      </c>
      <c r="G6">
        <v>1.7529999999999999</v>
      </c>
      <c r="H6">
        <v>0.89100000000000001</v>
      </c>
      <c r="I6">
        <f>D6/(0.5*0.002377*(65*12)^2*wing_area)</f>
        <v>1.2097296450244213E-5</v>
      </c>
      <c r="J6">
        <f t="shared" si="1"/>
        <v>0.79388100000000006</v>
      </c>
    </row>
    <row r="7" spans="1:10" x14ac:dyDescent="0.25">
      <c r="A7">
        <v>-8.0630000000000006</v>
      </c>
      <c r="B7">
        <v>1.482</v>
      </c>
      <c r="C7">
        <v>4.4999999999999998E-2</v>
      </c>
      <c r="D7">
        <f t="shared" si="0"/>
        <v>-4.4999999999999998E-2</v>
      </c>
      <c r="E7">
        <v>3.1190000000000002</v>
      </c>
      <c r="F7">
        <v>-1.7000000000000001E-2</v>
      </c>
      <c r="G7">
        <v>3.1379999999999999</v>
      </c>
      <c r="H7">
        <v>9.7000000000000003E-2</v>
      </c>
      <c r="I7">
        <f>D7/(0.5*0.002377*(65*12)^2*wing_area)</f>
        <v>-1.2601350469004389E-6</v>
      </c>
      <c r="J7">
        <f t="shared" si="1"/>
        <v>9.4090000000000007E-3</v>
      </c>
    </row>
    <row r="8" spans="1:10" x14ac:dyDescent="0.25">
      <c r="A8">
        <v>-8.0739999999999998</v>
      </c>
      <c r="B8">
        <v>1.377</v>
      </c>
      <c r="C8">
        <v>-7.0000000000000001E-3</v>
      </c>
      <c r="D8">
        <f t="shared" si="0"/>
        <v>7.0000000000000001E-3</v>
      </c>
      <c r="E8">
        <v>3.1480000000000001</v>
      </c>
      <c r="F8">
        <v>-0.04</v>
      </c>
      <c r="G8">
        <v>3.2589999999999999</v>
      </c>
      <c r="H8">
        <v>2.4E-2</v>
      </c>
      <c r="I8">
        <f>D8/(0.5*0.002377*(65*12)^2*wing_area)</f>
        <v>1.9602100729562385E-7</v>
      </c>
      <c r="J8">
        <f t="shared" si="1"/>
        <v>5.7600000000000001E-4</v>
      </c>
    </row>
    <row r="9" spans="1:10" x14ac:dyDescent="0.25">
      <c r="A9">
        <v>-8.0739999999999998</v>
      </c>
      <c r="B9">
        <v>1.377</v>
      </c>
      <c r="C9">
        <v>-7.0000000000000001E-3</v>
      </c>
      <c r="D9">
        <f t="shared" si="0"/>
        <v>7.0000000000000001E-3</v>
      </c>
      <c r="E9">
        <v>3.1480000000000001</v>
      </c>
      <c r="F9">
        <v>-0.04</v>
      </c>
      <c r="G9">
        <v>3.2589999999999999</v>
      </c>
      <c r="H9">
        <v>2.4E-2</v>
      </c>
      <c r="I9">
        <f>D9/(0.5*0.002377*(65*12)^2*wing_area)</f>
        <v>1.9602100729562385E-7</v>
      </c>
      <c r="J9">
        <f t="shared" si="1"/>
        <v>5.7600000000000001E-4</v>
      </c>
    </row>
    <row r="10" spans="1:10" x14ac:dyDescent="0.25">
      <c r="A10">
        <v>-8.0739999999999998</v>
      </c>
      <c r="B10">
        <v>1.377</v>
      </c>
      <c r="C10">
        <v>-7.0000000000000001E-3</v>
      </c>
      <c r="D10">
        <f t="shared" si="0"/>
        <v>7.0000000000000001E-3</v>
      </c>
      <c r="E10">
        <v>3.1480000000000001</v>
      </c>
      <c r="F10">
        <v>-0.04</v>
      </c>
      <c r="G10">
        <v>3.2589999999999999</v>
      </c>
      <c r="H10">
        <v>2.4E-2</v>
      </c>
      <c r="I10">
        <f>D10/(0.5*0.002377*(65*12)^2*wing_area)</f>
        <v>1.9602100729562385E-7</v>
      </c>
      <c r="J10">
        <f t="shared" si="1"/>
        <v>5.7600000000000001E-4</v>
      </c>
    </row>
    <row r="11" spans="1:10" x14ac:dyDescent="0.25">
      <c r="A11">
        <v>-8.0739999999999998</v>
      </c>
      <c r="B11">
        <v>1.377</v>
      </c>
      <c r="C11">
        <v>-7.0000000000000001E-3</v>
      </c>
      <c r="D11">
        <f t="shared" si="0"/>
        <v>7.0000000000000001E-3</v>
      </c>
      <c r="E11">
        <v>3.1480000000000001</v>
      </c>
      <c r="F11">
        <v>-0.04</v>
      </c>
      <c r="G11">
        <v>3.2589999999999999</v>
      </c>
      <c r="H11">
        <v>2.4E-2</v>
      </c>
      <c r="I11">
        <f>D11/(0.5*0.002377*(65*12)^2*wing_area)</f>
        <v>1.9602100729562385E-7</v>
      </c>
      <c r="J11">
        <f t="shared" si="1"/>
        <v>5.7600000000000001E-4</v>
      </c>
    </row>
    <row r="12" spans="1:10" x14ac:dyDescent="0.25">
      <c r="A12">
        <v>-5.992</v>
      </c>
      <c r="B12">
        <v>1.7669999999999999</v>
      </c>
      <c r="C12">
        <v>-3.2000000000000001E-2</v>
      </c>
      <c r="D12">
        <f t="shared" si="0"/>
        <v>3.2000000000000001E-2</v>
      </c>
      <c r="E12">
        <v>4.0019999999999998</v>
      </c>
      <c r="F12">
        <v>-0.12</v>
      </c>
      <c r="G12">
        <v>3.0249999999999999</v>
      </c>
      <c r="H12">
        <v>0.504</v>
      </c>
      <c r="I12">
        <f>D12/(0.5*0.002377*(65*12)^2*wing_area)</f>
        <v>8.9609603335142327E-7</v>
      </c>
      <c r="J12">
        <f t="shared" si="1"/>
        <v>0.25401600000000002</v>
      </c>
    </row>
    <row r="13" spans="1:10" x14ac:dyDescent="0.25">
      <c r="A13">
        <v>-5.992</v>
      </c>
      <c r="B13">
        <v>1.7669999999999999</v>
      </c>
      <c r="C13">
        <v>-3.2000000000000001E-2</v>
      </c>
      <c r="D13">
        <f t="shared" si="0"/>
        <v>3.2000000000000001E-2</v>
      </c>
      <c r="E13">
        <v>4.0019999999999998</v>
      </c>
      <c r="F13">
        <v>-0.12</v>
      </c>
      <c r="G13">
        <v>3.0249999999999999</v>
      </c>
      <c r="H13">
        <v>0.504</v>
      </c>
      <c r="I13">
        <f>D13/(0.5*0.002377*(65*12)^2*wing_area)</f>
        <v>8.9609603335142327E-7</v>
      </c>
      <c r="J13">
        <f t="shared" si="1"/>
        <v>0.25401600000000002</v>
      </c>
    </row>
    <row r="14" spans="1:10" x14ac:dyDescent="0.25">
      <c r="A14">
        <v>-5.992</v>
      </c>
      <c r="B14">
        <v>1.7669999999999999</v>
      </c>
      <c r="C14">
        <v>-3.2000000000000001E-2</v>
      </c>
      <c r="D14">
        <f t="shared" si="0"/>
        <v>3.2000000000000001E-2</v>
      </c>
      <c r="E14">
        <v>4.0019999999999998</v>
      </c>
      <c r="F14">
        <v>-0.12</v>
      </c>
      <c r="G14">
        <v>3.0249999999999999</v>
      </c>
      <c r="H14">
        <v>0.504</v>
      </c>
      <c r="I14">
        <f>D14/(0.5*0.002377*(65*12)^2*wing_area)</f>
        <v>8.9609603335142327E-7</v>
      </c>
      <c r="J14">
        <f t="shared" si="1"/>
        <v>0.25401600000000002</v>
      </c>
    </row>
    <row r="15" spans="1:10" x14ac:dyDescent="0.25">
      <c r="A15">
        <v>-5.9359999999999999</v>
      </c>
      <c r="B15">
        <v>1.7330000000000001</v>
      </c>
      <c r="C15">
        <v>-5.8000000000000003E-2</v>
      </c>
      <c r="D15">
        <f t="shared" si="0"/>
        <v>5.8000000000000003E-2</v>
      </c>
      <c r="E15">
        <v>-0.183</v>
      </c>
      <c r="F15">
        <v>7.0000000000000001E-3</v>
      </c>
      <c r="G15">
        <v>4.6769999999999996</v>
      </c>
      <c r="H15">
        <v>0.40400000000000003</v>
      </c>
      <c r="I15">
        <f>D15/(0.5*0.002377*(65*12)^2*wing_area)</f>
        <v>1.6241740604494547E-6</v>
      </c>
      <c r="J15">
        <f t="shared" si="1"/>
        <v>0.16321600000000003</v>
      </c>
    </row>
    <row r="16" spans="1:10" x14ac:dyDescent="0.25">
      <c r="A16">
        <v>-5.9359999999999999</v>
      </c>
      <c r="B16">
        <v>1.7330000000000001</v>
      </c>
      <c r="C16">
        <v>-5.8000000000000003E-2</v>
      </c>
      <c r="D16">
        <f t="shared" si="0"/>
        <v>5.8000000000000003E-2</v>
      </c>
      <c r="E16">
        <v>-0.183</v>
      </c>
      <c r="F16">
        <v>7.0000000000000001E-3</v>
      </c>
      <c r="G16">
        <v>4.6769999999999996</v>
      </c>
      <c r="H16">
        <v>0.40400000000000003</v>
      </c>
      <c r="I16">
        <f>D16/(0.5*0.002377*(65*12)^2*wing_area)</f>
        <v>1.6241740604494547E-6</v>
      </c>
      <c r="J16">
        <f t="shared" si="1"/>
        <v>0.16321600000000003</v>
      </c>
    </row>
    <row r="17" spans="1:10" x14ac:dyDescent="0.25">
      <c r="A17">
        <v>-3.472</v>
      </c>
      <c r="B17">
        <v>1.365</v>
      </c>
      <c r="C17">
        <v>-0.16</v>
      </c>
      <c r="D17">
        <f t="shared" si="0"/>
        <v>0.16</v>
      </c>
      <c r="E17">
        <v>0.46800000000000003</v>
      </c>
      <c r="F17">
        <v>-0.123</v>
      </c>
      <c r="G17">
        <v>3.5489999999999999</v>
      </c>
      <c r="H17">
        <v>0.50700000000000001</v>
      </c>
      <c r="I17">
        <f>D17/(0.5*0.002377*(65*12)^2*wing_area)</f>
        <v>4.4804801667571161E-6</v>
      </c>
      <c r="J17">
        <f t="shared" si="1"/>
        <v>0.25704900000000003</v>
      </c>
    </row>
    <row r="18" spans="1:10" x14ac:dyDescent="0.25">
      <c r="A18">
        <v>-3.4609999999999999</v>
      </c>
      <c r="B18">
        <v>1.171</v>
      </c>
      <c r="C18">
        <v>-0.191</v>
      </c>
      <c r="D18">
        <f t="shared" si="0"/>
        <v>0.191</v>
      </c>
      <c r="E18">
        <v>2.246</v>
      </c>
      <c r="F18">
        <v>-0.21099999999999999</v>
      </c>
      <c r="G18">
        <v>3.226</v>
      </c>
      <c r="H18">
        <v>0.56200000000000006</v>
      </c>
      <c r="I18">
        <f>D18/(0.5*0.002377*(65*12)^2*wing_area)</f>
        <v>5.3485731990663072E-6</v>
      </c>
      <c r="J18">
        <f t="shared" si="1"/>
        <v>0.31584400000000007</v>
      </c>
    </row>
    <row r="19" spans="1:10" x14ac:dyDescent="0.25">
      <c r="A19">
        <v>-3.4609999999999999</v>
      </c>
      <c r="B19">
        <v>1.171</v>
      </c>
      <c r="C19">
        <v>-0.191</v>
      </c>
      <c r="D19">
        <f t="shared" si="0"/>
        <v>0.191</v>
      </c>
      <c r="E19">
        <v>2.246</v>
      </c>
      <c r="F19">
        <v>-0.21099999999999999</v>
      </c>
      <c r="G19">
        <v>3.226</v>
      </c>
      <c r="H19">
        <v>0.56200000000000006</v>
      </c>
      <c r="I19">
        <f>D19/(0.5*0.002377*(65*12)^2*wing_area)</f>
        <v>5.3485731990663072E-6</v>
      </c>
      <c r="J19">
        <f t="shared" si="1"/>
        <v>0.31584400000000007</v>
      </c>
    </row>
    <row r="20" spans="1:10" x14ac:dyDescent="0.25">
      <c r="A20">
        <v>-3.4609999999999999</v>
      </c>
      <c r="B20">
        <v>1.171</v>
      </c>
      <c r="C20">
        <v>-0.191</v>
      </c>
      <c r="D20">
        <f t="shared" si="0"/>
        <v>0.191</v>
      </c>
      <c r="E20">
        <v>2.246</v>
      </c>
      <c r="F20">
        <v>-0.21099999999999999</v>
      </c>
      <c r="G20">
        <v>3.226</v>
      </c>
      <c r="H20">
        <v>0.56200000000000006</v>
      </c>
      <c r="I20">
        <f>D20/(0.5*0.002377*(65*12)^2*wing_area)</f>
        <v>5.3485731990663072E-6</v>
      </c>
      <c r="J20">
        <f t="shared" si="1"/>
        <v>0.31584400000000007</v>
      </c>
    </row>
    <row r="21" spans="1:10" x14ac:dyDescent="0.25">
      <c r="A21">
        <v>-3.4609999999999999</v>
      </c>
      <c r="B21">
        <v>1.171</v>
      </c>
      <c r="C21">
        <v>-0.191</v>
      </c>
      <c r="D21">
        <f t="shared" si="0"/>
        <v>0.191</v>
      </c>
      <c r="E21">
        <v>2.246</v>
      </c>
      <c r="F21">
        <v>-0.21099999999999999</v>
      </c>
      <c r="G21">
        <v>3.226</v>
      </c>
      <c r="H21">
        <v>0.56200000000000006</v>
      </c>
      <c r="I21">
        <f>D21/(0.5*0.002377*(65*12)^2*wing_area)</f>
        <v>5.3485731990663072E-6</v>
      </c>
      <c r="J21">
        <f t="shared" si="1"/>
        <v>0.31584400000000007</v>
      </c>
    </row>
    <row r="22" spans="1:10" x14ac:dyDescent="0.25">
      <c r="A22">
        <v>-2.044</v>
      </c>
      <c r="B22">
        <v>1.1000000000000001</v>
      </c>
      <c r="C22">
        <v>-0.20300000000000001</v>
      </c>
      <c r="D22">
        <f t="shared" si="0"/>
        <v>0.20300000000000001</v>
      </c>
      <c r="E22">
        <v>0.79900000000000004</v>
      </c>
      <c r="F22">
        <v>-0.217</v>
      </c>
      <c r="G22">
        <v>2.9780000000000002</v>
      </c>
      <c r="H22">
        <v>0.71399999999999997</v>
      </c>
      <c r="I22">
        <f>D22/(0.5*0.002377*(65*12)^2*wing_area)</f>
        <v>5.6846092115730917E-6</v>
      </c>
      <c r="J22">
        <f t="shared" si="1"/>
        <v>0.50979599999999992</v>
      </c>
    </row>
    <row r="23" spans="1:10" x14ac:dyDescent="0.25">
      <c r="A23">
        <v>-2.044</v>
      </c>
      <c r="B23">
        <v>1.1000000000000001</v>
      </c>
      <c r="C23">
        <v>-0.20300000000000001</v>
      </c>
      <c r="D23">
        <f t="shared" si="0"/>
        <v>0.20300000000000001</v>
      </c>
      <c r="E23">
        <v>0.79900000000000004</v>
      </c>
      <c r="F23">
        <v>-0.217</v>
      </c>
      <c r="G23">
        <v>2.9780000000000002</v>
      </c>
      <c r="H23">
        <v>0.71399999999999997</v>
      </c>
      <c r="I23">
        <f>D23/(0.5*0.002377*(65*12)^2*wing_area)</f>
        <v>5.6846092115730917E-6</v>
      </c>
      <c r="J23">
        <f t="shared" si="1"/>
        <v>0.50979599999999992</v>
      </c>
    </row>
    <row r="24" spans="1:10" x14ac:dyDescent="0.25">
      <c r="A24">
        <v>-2.044</v>
      </c>
      <c r="B24">
        <v>1.1000000000000001</v>
      </c>
      <c r="C24">
        <v>-0.20300000000000001</v>
      </c>
      <c r="D24">
        <f t="shared" si="0"/>
        <v>0.20300000000000001</v>
      </c>
      <c r="E24">
        <v>0.79900000000000004</v>
      </c>
      <c r="F24">
        <v>-0.217</v>
      </c>
      <c r="G24">
        <v>2.9780000000000002</v>
      </c>
      <c r="H24">
        <v>0.71399999999999997</v>
      </c>
      <c r="I24">
        <f>D24/(0.5*0.002377*(65*12)^2*wing_area)</f>
        <v>5.6846092115730917E-6</v>
      </c>
      <c r="J24">
        <f t="shared" si="1"/>
        <v>0.50979599999999992</v>
      </c>
    </row>
    <row r="25" spans="1:10" x14ac:dyDescent="0.25">
      <c r="A25">
        <v>-2.0529999999999999</v>
      </c>
      <c r="B25">
        <v>1.7330000000000001</v>
      </c>
      <c r="C25">
        <v>-0.29599999999999999</v>
      </c>
      <c r="D25">
        <f t="shared" si="0"/>
        <v>0.29599999999999999</v>
      </c>
      <c r="E25">
        <v>-1.9890000000000001</v>
      </c>
      <c r="F25">
        <v>-3.4000000000000002E-2</v>
      </c>
      <c r="G25">
        <v>3.7090000000000001</v>
      </c>
      <c r="H25">
        <v>0.77300000000000002</v>
      </c>
      <c r="I25">
        <f>D25/(0.5*0.002377*(65*12)^2*wing_area)</f>
        <v>8.288888308500665E-6</v>
      </c>
      <c r="J25">
        <f t="shared" si="1"/>
        <v>0.59752899999999998</v>
      </c>
    </row>
    <row r="26" spans="1:10" x14ac:dyDescent="0.25">
      <c r="A26">
        <v>-2.0529999999999999</v>
      </c>
      <c r="B26">
        <v>1.7330000000000001</v>
      </c>
      <c r="C26">
        <v>-0.29599999999999999</v>
      </c>
      <c r="D26">
        <f t="shared" si="0"/>
        <v>0.29599999999999999</v>
      </c>
      <c r="E26">
        <v>-1.9890000000000001</v>
      </c>
      <c r="F26">
        <v>-3.4000000000000002E-2</v>
      </c>
      <c r="G26">
        <v>3.7090000000000001</v>
      </c>
      <c r="H26">
        <v>0.77300000000000002</v>
      </c>
      <c r="I26">
        <f>D26/(0.5*0.002377*(65*12)^2*wing_area)</f>
        <v>8.288888308500665E-6</v>
      </c>
      <c r="J26">
        <f t="shared" si="1"/>
        <v>0.59752899999999998</v>
      </c>
    </row>
    <row r="27" spans="1:10" x14ac:dyDescent="0.25">
      <c r="A27">
        <v>3.0000000000000001E-3</v>
      </c>
      <c r="B27">
        <v>0.89600000000000002</v>
      </c>
      <c r="C27">
        <v>-0.621</v>
      </c>
      <c r="D27">
        <f t="shared" si="0"/>
        <v>0.621</v>
      </c>
      <c r="E27">
        <v>-10.225</v>
      </c>
      <c r="F27">
        <v>-0.158</v>
      </c>
      <c r="G27">
        <v>2.4590000000000001</v>
      </c>
      <c r="H27">
        <v>0.68400000000000005</v>
      </c>
      <c r="I27">
        <f>D27/(0.5*0.002377*(65*12)^2*wing_area)</f>
        <v>1.7389863647226057E-5</v>
      </c>
      <c r="J27">
        <f t="shared" si="1"/>
        <v>0.46785600000000005</v>
      </c>
    </row>
    <row r="28" spans="1:10" x14ac:dyDescent="0.25">
      <c r="A28">
        <v>3.0000000000000001E-3</v>
      </c>
      <c r="B28">
        <v>0.89600000000000002</v>
      </c>
      <c r="C28">
        <v>-0.621</v>
      </c>
      <c r="D28">
        <f t="shared" si="0"/>
        <v>0.621</v>
      </c>
      <c r="E28">
        <v>-10.225</v>
      </c>
      <c r="F28">
        <v>-0.158</v>
      </c>
      <c r="G28">
        <v>2.4590000000000001</v>
      </c>
      <c r="H28">
        <v>0.68400000000000005</v>
      </c>
      <c r="I28">
        <f>D28/(0.5*0.002377*(65*12)^2*wing_area)</f>
        <v>1.7389863647226057E-5</v>
      </c>
      <c r="J28">
        <f t="shared" si="1"/>
        <v>0.46785600000000005</v>
      </c>
    </row>
    <row r="29" spans="1:10" x14ac:dyDescent="0.25">
      <c r="A29">
        <v>3.0000000000000001E-3</v>
      </c>
      <c r="B29">
        <v>0.89600000000000002</v>
      </c>
      <c r="C29">
        <v>-0.621</v>
      </c>
      <c r="D29">
        <f t="shared" si="0"/>
        <v>0.621</v>
      </c>
      <c r="E29">
        <v>-10.225</v>
      </c>
      <c r="F29">
        <v>-0.158</v>
      </c>
      <c r="G29">
        <v>2.4590000000000001</v>
      </c>
      <c r="H29">
        <v>0.68400000000000005</v>
      </c>
      <c r="I29">
        <f>D29/(0.5*0.002377*(65*12)^2*wing_area)</f>
        <v>1.7389863647226057E-5</v>
      </c>
      <c r="J29">
        <f t="shared" si="1"/>
        <v>0.46785600000000005</v>
      </c>
    </row>
    <row r="30" spans="1:10" x14ac:dyDescent="0.25">
      <c r="A30">
        <v>6.3E-2</v>
      </c>
      <c r="B30">
        <v>2.3490000000000002</v>
      </c>
      <c r="C30">
        <v>-0.56499999999999995</v>
      </c>
      <c r="D30">
        <f t="shared" si="0"/>
        <v>0.56499999999999995</v>
      </c>
      <c r="E30">
        <v>-9.7970000000000006</v>
      </c>
      <c r="F30">
        <v>7.9000000000000001E-2</v>
      </c>
      <c r="G30">
        <v>3.9609999999999999</v>
      </c>
      <c r="H30">
        <v>0.78100000000000003</v>
      </c>
      <c r="I30">
        <f>D30/(0.5*0.002377*(65*12)^2*wing_area)</f>
        <v>1.5821695588861063E-5</v>
      </c>
      <c r="J30">
        <f t="shared" si="1"/>
        <v>0.60996100000000009</v>
      </c>
    </row>
    <row r="31" spans="1:10" x14ac:dyDescent="0.25">
      <c r="A31">
        <v>6.3E-2</v>
      </c>
      <c r="B31">
        <v>2.3490000000000002</v>
      </c>
      <c r="C31">
        <v>-0.56499999999999995</v>
      </c>
      <c r="D31">
        <f t="shared" si="0"/>
        <v>0.56499999999999995</v>
      </c>
      <c r="E31">
        <v>-9.7970000000000006</v>
      </c>
      <c r="F31">
        <v>7.9000000000000001E-2</v>
      </c>
      <c r="G31">
        <v>3.9609999999999999</v>
      </c>
      <c r="H31">
        <v>0.78100000000000003</v>
      </c>
      <c r="I31">
        <f>D31/(0.5*0.002377*(65*12)^2*wing_area)</f>
        <v>1.5821695588861063E-5</v>
      </c>
      <c r="J31">
        <f t="shared" si="1"/>
        <v>0.60996100000000009</v>
      </c>
    </row>
    <row r="32" spans="1:10" x14ac:dyDescent="0.25">
      <c r="A32">
        <v>1.9810000000000001</v>
      </c>
      <c r="B32">
        <v>1.2310000000000001</v>
      </c>
      <c r="C32">
        <v>-0.56200000000000006</v>
      </c>
      <c r="D32">
        <f t="shared" si="0"/>
        <v>0.56200000000000006</v>
      </c>
      <c r="E32">
        <v>-5.4729999999999999</v>
      </c>
      <c r="F32">
        <v>-7.3999999999999996E-2</v>
      </c>
      <c r="G32">
        <v>4.4160000000000004</v>
      </c>
      <c r="H32">
        <v>0.74</v>
      </c>
      <c r="I32">
        <f>D32/(0.5*0.002377*(65*12)^2*wing_area)</f>
        <v>1.5737686585734371E-5</v>
      </c>
      <c r="J32">
        <f t="shared" si="1"/>
        <v>0.54759999999999998</v>
      </c>
    </row>
    <row r="33" spans="1:10" x14ac:dyDescent="0.25">
      <c r="A33">
        <v>1.9810000000000001</v>
      </c>
      <c r="B33">
        <v>1.2310000000000001</v>
      </c>
      <c r="C33">
        <v>-0.56200000000000006</v>
      </c>
      <c r="D33">
        <f t="shared" si="0"/>
        <v>0.56200000000000006</v>
      </c>
      <c r="E33">
        <v>-5.4729999999999999</v>
      </c>
      <c r="F33">
        <v>-7.3999999999999996E-2</v>
      </c>
      <c r="G33">
        <v>4.4160000000000004</v>
      </c>
      <c r="H33">
        <v>0.74</v>
      </c>
      <c r="I33">
        <f>D33/(0.5*0.002377*(65*12)^2*wing_area)</f>
        <v>1.5737686585734371E-5</v>
      </c>
      <c r="J33">
        <f t="shared" si="1"/>
        <v>0.54759999999999998</v>
      </c>
    </row>
    <row r="34" spans="1:10" x14ac:dyDescent="0.25">
      <c r="A34">
        <v>1.9810000000000001</v>
      </c>
      <c r="B34">
        <v>1.2310000000000001</v>
      </c>
      <c r="C34">
        <v>-0.56200000000000006</v>
      </c>
      <c r="D34">
        <f t="shared" si="0"/>
        <v>0.56200000000000006</v>
      </c>
      <c r="E34">
        <v>-5.4729999999999999</v>
      </c>
      <c r="F34">
        <v>-7.3999999999999996E-2</v>
      </c>
      <c r="G34">
        <v>4.4160000000000004</v>
      </c>
      <c r="H34">
        <v>0.74</v>
      </c>
      <c r="I34">
        <f>D34/(0.5*0.002377*(65*12)^2*wing_area)</f>
        <v>1.5737686585734371E-5</v>
      </c>
      <c r="J34">
        <f t="shared" si="1"/>
        <v>0.54759999999999998</v>
      </c>
    </row>
    <row r="35" spans="1:10" x14ac:dyDescent="0.25">
      <c r="A35">
        <v>1.9930000000000001</v>
      </c>
      <c r="B35">
        <v>1.2</v>
      </c>
      <c r="C35">
        <v>-0.51700000000000002</v>
      </c>
      <c r="D35">
        <f t="shared" si="0"/>
        <v>0.51700000000000002</v>
      </c>
      <c r="E35">
        <v>-6.89</v>
      </c>
      <c r="F35">
        <v>-0.23899999999999999</v>
      </c>
      <c r="G35">
        <v>2.3660000000000001</v>
      </c>
      <c r="H35">
        <v>0.875</v>
      </c>
      <c r="I35">
        <f>D35/(0.5*0.002377*(65*12)^2*wing_area)</f>
        <v>1.4477551538833932E-5</v>
      </c>
      <c r="J35">
        <f t="shared" si="1"/>
        <v>0.765625</v>
      </c>
    </row>
    <row r="36" spans="1:10" x14ac:dyDescent="0.25">
      <c r="A36">
        <v>1.9930000000000001</v>
      </c>
      <c r="B36">
        <v>1.2</v>
      </c>
      <c r="C36">
        <v>-0.51700000000000002</v>
      </c>
      <c r="D36">
        <f t="shared" si="0"/>
        <v>0.51700000000000002</v>
      </c>
      <c r="E36">
        <v>-6.89</v>
      </c>
      <c r="F36">
        <v>-0.23899999999999999</v>
      </c>
      <c r="G36">
        <v>2.3660000000000001</v>
      </c>
      <c r="H36">
        <v>0.875</v>
      </c>
      <c r="I36">
        <f>D36/(0.5*0.002377*(65*12)^2*wing_area)</f>
        <v>1.4477551538833932E-5</v>
      </c>
      <c r="J36">
        <f t="shared" si="1"/>
        <v>0.765625</v>
      </c>
    </row>
    <row r="37" spans="1:10" x14ac:dyDescent="0.25">
      <c r="A37">
        <v>4.01</v>
      </c>
      <c r="B37">
        <v>1.385</v>
      </c>
      <c r="C37">
        <v>-0.621</v>
      </c>
      <c r="D37">
        <f t="shared" si="0"/>
        <v>0.621</v>
      </c>
      <c r="E37">
        <v>-5.2709999999999999</v>
      </c>
      <c r="F37">
        <v>-0.186</v>
      </c>
      <c r="G37">
        <v>3.2709999999999999</v>
      </c>
      <c r="H37">
        <v>0.69</v>
      </c>
      <c r="I37">
        <f>D37/(0.5*0.002377*(65*12)^2*wing_area)</f>
        <v>1.7389863647226057E-5</v>
      </c>
      <c r="J37">
        <f t="shared" si="1"/>
        <v>0.47609999999999991</v>
      </c>
    </row>
    <row r="38" spans="1:10" x14ac:dyDescent="0.25">
      <c r="A38">
        <v>4.01</v>
      </c>
      <c r="B38">
        <v>1.385</v>
      </c>
      <c r="C38">
        <v>-0.621</v>
      </c>
      <c r="D38">
        <f t="shared" si="0"/>
        <v>0.621</v>
      </c>
      <c r="E38">
        <v>-5.2709999999999999</v>
      </c>
      <c r="F38">
        <v>-0.186</v>
      </c>
      <c r="G38">
        <v>3.2709999999999999</v>
      </c>
      <c r="H38">
        <v>0.69</v>
      </c>
      <c r="I38">
        <f>D38/(0.5*0.002377*(65*12)^2*wing_area)</f>
        <v>1.7389863647226057E-5</v>
      </c>
      <c r="J38">
        <f t="shared" si="1"/>
        <v>0.47609999999999991</v>
      </c>
    </row>
    <row r="39" spans="1:10" x14ac:dyDescent="0.25">
      <c r="A39">
        <v>4.01</v>
      </c>
      <c r="B39">
        <v>1.385</v>
      </c>
      <c r="C39">
        <v>-0.621</v>
      </c>
      <c r="D39">
        <f t="shared" si="0"/>
        <v>0.621</v>
      </c>
      <c r="E39">
        <v>-5.2709999999999999</v>
      </c>
      <c r="F39">
        <v>-0.186</v>
      </c>
      <c r="G39">
        <v>3.2709999999999999</v>
      </c>
      <c r="H39">
        <v>0.69</v>
      </c>
      <c r="I39">
        <f>D39/(0.5*0.002377*(65*12)^2*wing_area)</f>
        <v>1.7389863647226057E-5</v>
      </c>
      <c r="J39">
        <f t="shared" si="1"/>
        <v>0.47609999999999991</v>
      </c>
    </row>
    <row r="40" spans="1:10" x14ac:dyDescent="0.25">
      <c r="A40">
        <v>4.0229999999999997</v>
      </c>
      <c r="B40">
        <v>1.3720000000000001</v>
      </c>
      <c r="C40">
        <v>-0.66200000000000003</v>
      </c>
      <c r="D40">
        <f t="shared" si="0"/>
        <v>0.66200000000000003</v>
      </c>
      <c r="E40">
        <v>-6.4980000000000002</v>
      </c>
      <c r="F40">
        <v>-0.14499999999999999</v>
      </c>
      <c r="G40">
        <v>3.7210000000000001</v>
      </c>
      <c r="H40">
        <v>0.73599999999999999</v>
      </c>
      <c r="I40">
        <f>D40/(0.5*0.002377*(65*12)^2*wing_area)</f>
        <v>1.8537986689957568E-5</v>
      </c>
      <c r="J40">
        <f t="shared" si="1"/>
        <v>0.54169599999999996</v>
      </c>
    </row>
    <row r="41" spans="1:10" x14ac:dyDescent="0.25">
      <c r="A41">
        <v>4.0229999999999997</v>
      </c>
      <c r="B41">
        <v>1.3720000000000001</v>
      </c>
      <c r="C41">
        <v>-0.66200000000000003</v>
      </c>
      <c r="D41">
        <f t="shared" si="0"/>
        <v>0.66200000000000003</v>
      </c>
      <c r="E41">
        <v>-6.4980000000000002</v>
      </c>
      <c r="F41">
        <v>-0.14499999999999999</v>
      </c>
      <c r="G41">
        <v>3.7210000000000001</v>
      </c>
      <c r="H41">
        <v>0.73599999999999999</v>
      </c>
      <c r="I41">
        <f>D41/(0.5*0.002377*(65*12)^2*wing_area)</f>
        <v>1.8537986689957568E-5</v>
      </c>
      <c r="J41">
        <f t="shared" si="1"/>
        <v>0.54169599999999996</v>
      </c>
    </row>
    <row r="42" spans="1:10" x14ac:dyDescent="0.25">
      <c r="A42">
        <v>5.9580000000000002</v>
      </c>
      <c r="B42">
        <v>1.345</v>
      </c>
      <c r="C42">
        <v>-0.68799999999999994</v>
      </c>
      <c r="D42">
        <f t="shared" si="0"/>
        <v>0.68799999999999994</v>
      </c>
      <c r="E42">
        <v>-9.2230000000000008</v>
      </c>
      <c r="F42">
        <v>-0.27800000000000002</v>
      </c>
      <c r="G42">
        <v>1.64</v>
      </c>
      <c r="H42">
        <v>0.49099999999999999</v>
      </c>
      <c r="I42">
        <f>D42/(0.5*0.002377*(65*12)^2*wing_area)</f>
        <v>1.9266064717055599E-5</v>
      </c>
      <c r="J42">
        <f t="shared" si="1"/>
        <v>0.24108099999999999</v>
      </c>
    </row>
    <row r="43" spans="1:10" x14ac:dyDescent="0.25">
      <c r="A43">
        <v>5.9580000000000002</v>
      </c>
      <c r="B43">
        <v>1.345</v>
      </c>
      <c r="C43">
        <v>-0.68799999999999994</v>
      </c>
      <c r="D43">
        <f t="shared" si="0"/>
        <v>0.68799999999999994</v>
      </c>
      <c r="E43">
        <v>-9.2230000000000008</v>
      </c>
      <c r="F43">
        <v>-0.27800000000000002</v>
      </c>
      <c r="G43">
        <v>1.64</v>
      </c>
      <c r="H43">
        <v>0.49099999999999999</v>
      </c>
      <c r="I43">
        <f>D43/(0.5*0.002377*(65*12)^2*wing_area)</f>
        <v>1.9266064717055599E-5</v>
      </c>
      <c r="J43">
        <f t="shared" si="1"/>
        <v>0.24108099999999999</v>
      </c>
    </row>
    <row r="44" spans="1:10" x14ac:dyDescent="0.25">
      <c r="A44">
        <v>5.992</v>
      </c>
      <c r="B44">
        <v>1.4690000000000001</v>
      </c>
      <c r="C44">
        <v>-0.78200000000000003</v>
      </c>
      <c r="D44">
        <f t="shared" si="0"/>
        <v>0.78200000000000003</v>
      </c>
      <c r="E44">
        <v>-12.205</v>
      </c>
      <c r="F44">
        <v>-0.184</v>
      </c>
      <c r="G44">
        <v>3.2759999999999998</v>
      </c>
      <c r="H44">
        <v>0.49099999999999999</v>
      </c>
      <c r="I44">
        <f>D44/(0.5*0.002377*(65*12)^2*wing_area)</f>
        <v>2.1898346815025404E-5</v>
      </c>
      <c r="J44">
        <f t="shared" si="1"/>
        <v>0.24108099999999999</v>
      </c>
    </row>
    <row r="45" spans="1:10" x14ac:dyDescent="0.25">
      <c r="A45">
        <v>5.992</v>
      </c>
      <c r="B45">
        <v>1.4690000000000001</v>
      </c>
      <c r="C45">
        <v>-0.78200000000000003</v>
      </c>
      <c r="D45">
        <f t="shared" si="0"/>
        <v>0.78200000000000003</v>
      </c>
      <c r="E45">
        <v>-12.205</v>
      </c>
      <c r="F45">
        <v>-0.184</v>
      </c>
      <c r="G45">
        <v>3.2759999999999998</v>
      </c>
      <c r="H45">
        <v>0.49099999999999999</v>
      </c>
      <c r="I45">
        <f>D45/(0.5*0.002377*(65*12)^2*wing_area)</f>
        <v>2.1898346815025404E-5</v>
      </c>
      <c r="J45">
        <f t="shared" si="1"/>
        <v>0.24108099999999999</v>
      </c>
    </row>
    <row r="46" spans="1:10" x14ac:dyDescent="0.25">
      <c r="A46">
        <v>5.992</v>
      </c>
      <c r="B46">
        <v>1.4690000000000001</v>
      </c>
      <c r="C46">
        <v>-0.78200000000000003</v>
      </c>
      <c r="D46">
        <f t="shared" si="0"/>
        <v>0.78200000000000003</v>
      </c>
      <c r="E46">
        <v>-12.205</v>
      </c>
      <c r="F46">
        <v>-0.184</v>
      </c>
      <c r="G46">
        <v>3.2759999999999998</v>
      </c>
      <c r="H46">
        <v>0.49099999999999999</v>
      </c>
      <c r="I46">
        <f>D46/(0.5*0.002377*(65*12)^2*wing_area)</f>
        <v>2.1898346815025404E-5</v>
      </c>
      <c r="J46">
        <f t="shared" si="1"/>
        <v>0.24108099999999999</v>
      </c>
    </row>
    <row r="47" spans="1:10" x14ac:dyDescent="0.25">
      <c r="A47">
        <v>7.9649999999999999</v>
      </c>
      <c r="B47">
        <v>1.3939999999999999</v>
      </c>
      <c r="C47">
        <v>-0.90700000000000003</v>
      </c>
      <c r="D47">
        <f t="shared" si="0"/>
        <v>0.90700000000000003</v>
      </c>
      <c r="E47">
        <v>-8.3490000000000002</v>
      </c>
      <c r="F47">
        <v>-0.14499999999999999</v>
      </c>
      <c r="G47">
        <v>2.69</v>
      </c>
      <c r="H47">
        <v>0.69499999999999995</v>
      </c>
      <c r="I47">
        <f>D47/(0.5*0.002377*(65*12)^2*wing_area)</f>
        <v>2.5398721945304404E-5</v>
      </c>
      <c r="J47">
        <f t="shared" si="1"/>
        <v>0.48302499999999993</v>
      </c>
    </row>
    <row r="48" spans="1:10" x14ac:dyDescent="0.25">
      <c r="A48">
        <v>7.9649999999999999</v>
      </c>
      <c r="B48">
        <v>1.3939999999999999</v>
      </c>
      <c r="C48">
        <v>-0.90700000000000003</v>
      </c>
      <c r="D48">
        <f t="shared" si="0"/>
        <v>0.90700000000000003</v>
      </c>
      <c r="E48">
        <v>-8.3490000000000002</v>
      </c>
      <c r="F48">
        <v>-0.14499999999999999</v>
      </c>
      <c r="G48">
        <v>2.69</v>
      </c>
      <c r="H48">
        <v>0.69499999999999995</v>
      </c>
      <c r="I48">
        <f>D48/(0.5*0.002377*(65*12)^2*wing_area)</f>
        <v>2.5398721945304404E-5</v>
      </c>
      <c r="J48">
        <f t="shared" si="1"/>
        <v>0.48302499999999993</v>
      </c>
    </row>
    <row r="49" spans="1:10" x14ac:dyDescent="0.25">
      <c r="A49">
        <v>7.9729999999999999</v>
      </c>
      <c r="B49">
        <v>1.1060000000000001</v>
      </c>
      <c r="C49">
        <v>-0.92800000000000005</v>
      </c>
      <c r="D49">
        <f t="shared" si="0"/>
        <v>0.92800000000000005</v>
      </c>
      <c r="E49">
        <v>-8.7249999999999996</v>
      </c>
      <c r="F49">
        <v>-0.255</v>
      </c>
      <c r="G49">
        <v>2.6389999999999998</v>
      </c>
      <c r="H49">
        <v>0.80100000000000005</v>
      </c>
      <c r="I49">
        <f>D49/(0.5*0.002377*(65*12)^2*wing_area)</f>
        <v>2.5986784967191275E-5</v>
      </c>
      <c r="J49">
        <f t="shared" si="1"/>
        <v>0.64160100000000009</v>
      </c>
    </row>
    <row r="50" spans="1:10" x14ac:dyDescent="0.25">
      <c r="A50">
        <v>7.9729999999999999</v>
      </c>
      <c r="B50">
        <v>1.1060000000000001</v>
      </c>
      <c r="C50">
        <v>-0.92800000000000005</v>
      </c>
      <c r="D50">
        <f t="shared" si="0"/>
        <v>0.92800000000000005</v>
      </c>
      <c r="E50">
        <v>-8.7249999999999996</v>
      </c>
      <c r="F50">
        <v>-0.255</v>
      </c>
      <c r="G50">
        <v>2.6389999999999998</v>
      </c>
      <c r="H50">
        <v>0.80100000000000005</v>
      </c>
      <c r="I50">
        <f>D50/(0.5*0.002377*(65*12)^2*wing_area)</f>
        <v>2.5986784967191275E-5</v>
      </c>
      <c r="J50">
        <f t="shared" si="1"/>
        <v>0.64160100000000009</v>
      </c>
    </row>
    <row r="51" spans="1:10" x14ac:dyDescent="0.25">
      <c r="A51">
        <v>7.9729999999999999</v>
      </c>
      <c r="B51">
        <v>1.1060000000000001</v>
      </c>
      <c r="C51">
        <v>-0.92800000000000005</v>
      </c>
      <c r="D51">
        <f t="shared" si="0"/>
        <v>0.92800000000000005</v>
      </c>
      <c r="E51">
        <v>-8.7249999999999996</v>
      </c>
      <c r="F51">
        <v>-0.255</v>
      </c>
      <c r="G51">
        <v>2.6389999999999998</v>
      </c>
      <c r="H51">
        <v>0.80100000000000005</v>
      </c>
      <c r="I51">
        <f>D51/(0.5*0.002377*(65*12)^2*wing_area)</f>
        <v>2.5986784967191275E-5</v>
      </c>
      <c r="J51">
        <f t="shared" si="1"/>
        <v>0.64160100000000009</v>
      </c>
    </row>
    <row r="52" spans="1:10" x14ac:dyDescent="0.25">
      <c r="A52">
        <v>9.9719999999999995</v>
      </c>
      <c r="B52">
        <v>1.5429999999999999</v>
      </c>
      <c r="C52">
        <v>-0.86199999999999999</v>
      </c>
      <c r="D52">
        <f t="shared" si="0"/>
        <v>0.86199999999999999</v>
      </c>
      <c r="E52">
        <v>-13.055999999999999</v>
      </c>
      <c r="F52">
        <v>-9.6000000000000002E-2</v>
      </c>
      <c r="G52">
        <v>3.944</v>
      </c>
      <c r="H52">
        <v>0.68799999999999994</v>
      </c>
      <c r="I52">
        <f>D52/(0.5*0.002377*(65*12)^2*wing_area)</f>
        <v>2.4138586898403962E-5</v>
      </c>
      <c r="J52">
        <f t="shared" si="1"/>
        <v>0.47334399999999993</v>
      </c>
    </row>
    <row r="53" spans="1:10" x14ac:dyDescent="0.25">
      <c r="A53">
        <v>9.9719999999999995</v>
      </c>
      <c r="B53">
        <v>1.5429999999999999</v>
      </c>
      <c r="C53">
        <v>-0.86199999999999999</v>
      </c>
      <c r="D53">
        <f t="shared" si="0"/>
        <v>0.86199999999999999</v>
      </c>
      <c r="E53">
        <v>-13.055999999999999</v>
      </c>
      <c r="F53">
        <v>-9.6000000000000002E-2</v>
      </c>
      <c r="G53">
        <v>3.944</v>
      </c>
      <c r="H53">
        <v>0.68799999999999994</v>
      </c>
      <c r="I53">
        <f>D53/(0.5*0.002377*(65*12)^2*wing_area)</f>
        <v>2.4138586898403962E-5</v>
      </c>
      <c r="J53">
        <f t="shared" si="1"/>
        <v>0.47334399999999993</v>
      </c>
    </row>
    <row r="54" spans="1:10" x14ac:dyDescent="0.25">
      <c r="A54">
        <v>9.9719999999999995</v>
      </c>
      <c r="B54">
        <v>1.5429999999999999</v>
      </c>
      <c r="C54">
        <v>-0.86199999999999999</v>
      </c>
      <c r="D54">
        <f t="shared" si="0"/>
        <v>0.86199999999999999</v>
      </c>
      <c r="E54">
        <v>-13.055999999999999</v>
      </c>
      <c r="F54">
        <v>-9.6000000000000002E-2</v>
      </c>
      <c r="G54">
        <v>3.944</v>
      </c>
      <c r="H54">
        <v>0.68799999999999994</v>
      </c>
      <c r="I54">
        <f>D54/(0.5*0.002377*(65*12)^2*wing_area)</f>
        <v>2.4138586898403962E-5</v>
      </c>
      <c r="J54">
        <f t="shared" si="1"/>
        <v>0.47334399999999993</v>
      </c>
    </row>
    <row r="55" spans="1:10" x14ac:dyDescent="0.25">
      <c r="A55">
        <v>9.9939999999999998</v>
      </c>
      <c r="B55">
        <v>1.5640000000000001</v>
      </c>
      <c r="C55">
        <v>-0.82599999999999996</v>
      </c>
      <c r="D55">
        <f t="shared" si="0"/>
        <v>0.82599999999999996</v>
      </c>
      <c r="E55">
        <v>-13.273</v>
      </c>
      <c r="F55">
        <v>-0.29499999999999998</v>
      </c>
      <c r="G55">
        <v>1.6419999999999999</v>
      </c>
      <c r="H55">
        <v>0.81799999999999995</v>
      </c>
      <c r="I55">
        <f>D55/(0.5*0.002377*(65*12)^2*wing_area)</f>
        <v>2.3130478860883611E-5</v>
      </c>
      <c r="J55">
        <f t="shared" si="1"/>
        <v>0.66912399999999994</v>
      </c>
    </row>
    <row r="56" spans="1:10" x14ac:dyDescent="0.25">
      <c r="A56">
        <v>11.99</v>
      </c>
      <c r="B56">
        <v>1.327</v>
      </c>
      <c r="C56">
        <v>-1.2170000000000001</v>
      </c>
      <c r="D56">
        <f t="shared" si="0"/>
        <v>1.2170000000000001</v>
      </c>
      <c r="E56">
        <v>-18.081</v>
      </c>
      <c r="F56">
        <v>-0.187</v>
      </c>
      <c r="G56">
        <v>2.9060000000000001</v>
      </c>
      <c r="H56">
        <v>0.70599999999999996</v>
      </c>
      <c r="I56">
        <f>D56/(0.5*0.002377*(65*12)^2*wing_area)</f>
        <v>3.4079652268396315E-5</v>
      </c>
      <c r="J56">
        <f t="shared" si="1"/>
        <v>0.49843599999999993</v>
      </c>
    </row>
    <row r="57" spans="1:10" x14ac:dyDescent="0.25">
      <c r="A57">
        <v>11.99</v>
      </c>
      <c r="B57">
        <v>1.327</v>
      </c>
      <c r="C57">
        <v>-1.2170000000000001</v>
      </c>
      <c r="D57">
        <f t="shared" si="0"/>
        <v>1.2170000000000001</v>
      </c>
      <c r="E57">
        <v>-18.081</v>
      </c>
      <c r="F57">
        <v>-0.187</v>
      </c>
      <c r="G57">
        <v>2.9060000000000001</v>
      </c>
      <c r="H57">
        <v>0.70599999999999996</v>
      </c>
      <c r="I57">
        <f>D57/(0.5*0.002377*(65*12)^2*wing_area)</f>
        <v>3.4079652268396315E-5</v>
      </c>
      <c r="J57">
        <f t="shared" si="1"/>
        <v>0.49843599999999993</v>
      </c>
    </row>
    <row r="58" spans="1:10" x14ac:dyDescent="0.25">
      <c r="A58">
        <v>11.99</v>
      </c>
      <c r="B58">
        <v>1.327</v>
      </c>
      <c r="C58">
        <v>-1.2170000000000001</v>
      </c>
      <c r="D58">
        <f t="shared" si="0"/>
        <v>1.2170000000000001</v>
      </c>
      <c r="E58">
        <v>-18.081</v>
      </c>
      <c r="F58">
        <v>-0.187</v>
      </c>
      <c r="G58">
        <v>2.9060000000000001</v>
      </c>
      <c r="H58">
        <v>0.70599999999999996</v>
      </c>
      <c r="I58">
        <f>D58/(0.5*0.002377*(65*12)^2*wing_area)</f>
        <v>3.4079652268396315E-5</v>
      </c>
      <c r="J58">
        <f t="shared" si="1"/>
        <v>0.49843599999999993</v>
      </c>
    </row>
    <row r="59" spans="1:10" x14ac:dyDescent="0.25">
      <c r="A59">
        <v>12.02</v>
      </c>
      <c r="B59">
        <v>1.357</v>
      </c>
      <c r="C59">
        <v>-1.022</v>
      </c>
      <c r="D59">
        <f t="shared" si="0"/>
        <v>1.022</v>
      </c>
      <c r="E59">
        <v>-17.446999999999999</v>
      </c>
      <c r="F59">
        <v>-0.313</v>
      </c>
      <c r="G59">
        <v>2.7229999999999999</v>
      </c>
      <c r="H59">
        <v>0.81399999999999995</v>
      </c>
      <c r="I59">
        <f>D59/(0.5*0.002377*(65*12)^2*wing_area)</f>
        <v>2.8619067065161081E-5</v>
      </c>
      <c r="J59">
        <f t="shared" si="1"/>
        <v>0.66259599999999996</v>
      </c>
    </row>
    <row r="60" spans="1:10" x14ac:dyDescent="0.25">
      <c r="A60">
        <v>12.02</v>
      </c>
      <c r="B60">
        <v>1.357</v>
      </c>
      <c r="C60">
        <v>-1.022</v>
      </c>
      <c r="D60">
        <f t="shared" si="0"/>
        <v>1.022</v>
      </c>
      <c r="E60">
        <v>-17.446999999999999</v>
      </c>
      <c r="F60">
        <v>-0.313</v>
      </c>
      <c r="G60">
        <v>2.7229999999999999</v>
      </c>
      <c r="H60">
        <v>0.81399999999999995</v>
      </c>
      <c r="I60">
        <f>D60/(0.5*0.002377*(65*12)^2*wing_area)</f>
        <v>2.8619067065161081E-5</v>
      </c>
      <c r="J60">
        <f t="shared" si="1"/>
        <v>0.66259599999999996</v>
      </c>
    </row>
    <row r="61" spans="1:10" x14ac:dyDescent="0.25">
      <c r="A61">
        <v>14</v>
      </c>
      <c r="B61">
        <v>1.419</v>
      </c>
      <c r="C61">
        <v>-1.262</v>
      </c>
      <c r="D61">
        <f t="shared" si="0"/>
        <v>1.262</v>
      </c>
      <c r="E61">
        <v>-20.454000000000001</v>
      </c>
      <c r="F61">
        <v>-0.183</v>
      </c>
      <c r="G61">
        <v>2.6080000000000001</v>
      </c>
      <c r="H61">
        <v>0.46200000000000002</v>
      </c>
      <c r="I61">
        <f>D61/(0.5*0.002377*(65*12)^2*wing_area)</f>
        <v>3.5339787315296754E-5</v>
      </c>
      <c r="J61">
        <f t="shared" si="1"/>
        <v>0.21344400000000002</v>
      </c>
    </row>
    <row r="62" spans="1:10" x14ac:dyDescent="0.25">
      <c r="A62">
        <v>14</v>
      </c>
      <c r="B62">
        <v>1.419</v>
      </c>
      <c r="C62">
        <v>-1.262</v>
      </c>
      <c r="D62">
        <f t="shared" si="0"/>
        <v>1.262</v>
      </c>
      <c r="E62">
        <v>-20.454000000000001</v>
      </c>
      <c r="F62">
        <v>-0.183</v>
      </c>
      <c r="G62">
        <v>2.6080000000000001</v>
      </c>
      <c r="H62">
        <v>0.46200000000000002</v>
      </c>
      <c r="I62">
        <f>D62/(0.5*0.002377*(65*12)^2*wing_area)</f>
        <v>3.5339787315296754E-5</v>
      </c>
      <c r="J62">
        <f t="shared" si="1"/>
        <v>0.21344400000000002</v>
      </c>
    </row>
    <row r="63" spans="1:10" x14ac:dyDescent="0.25">
      <c r="A63">
        <v>14</v>
      </c>
      <c r="B63">
        <v>1.419</v>
      </c>
      <c r="C63">
        <v>-1.262</v>
      </c>
      <c r="D63">
        <f t="shared" si="0"/>
        <v>1.262</v>
      </c>
      <c r="E63">
        <v>-20.454000000000001</v>
      </c>
      <c r="F63">
        <v>-0.183</v>
      </c>
      <c r="G63">
        <v>2.6080000000000001</v>
      </c>
      <c r="H63">
        <v>0.46200000000000002</v>
      </c>
      <c r="I63">
        <f>D63/(0.5*0.002377*(65*12)^2*wing_area)</f>
        <v>3.5339787315296754E-5</v>
      </c>
      <c r="J63">
        <f t="shared" si="1"/>
        <v>0.21344400000000002</v>
      </c>
    </row>
    <row r="64" spans="1:10" x14ac:dyDescent="0.25">
      <c r="A64">
        <v>14.007</v>
      </c>
      <c r="B64">
        <v>1.3839999999999999</v>
      </c>
      <c r="C64">
        <v>-1.1220000000000001</v>
      </c>
      <c r="D64">
        <f t="shared" si="0"/>
        <v>1.1220000000000001</v>
      </c>
      <c r="E64">
        <v>-19.524999999999999</v>
      </c>
      <c r="F64">
        <v>-0.33800000000000002</v>
      </c>
      <c r="G64">
        <v>1.042</v>
      </c>
      <c r="H64">
        <v>0.498</v>
      </c>
      <c r="I64">
        <f>D64/(0.5*0.002377*(65*12)^2*wing_area)</f>
        <v>3.1419367169384278E-5</v>
      </c>
      <c r="J64">
        <f t="shared" si="1"/>
        <v>0.248004</v>
      </c>
    </row>
    <row r="65" spans="1:10" x14ac:dyDescent="0.25">
      <c r="A65">
        <v>14.007</v>
      </c>
      <c r="B65">
        <v>1.3839999999999999</v>
      </c>
      <c r="C65">
        <v>-1.1220000000000001</v>
      </c>
      <c r="D65">
        <f t="shared" si="0"/>
        <v>1.1220000000000001</v>
      </c>
      <c r="E65">
        <v>-19.524999999999999</v>
      </c>
      <c r="F65">
        <v>-0.33800000000000002</v>
      </c>
      <c r="G65">
        <v>1.042</v>
      </c>
      <c r="H65">
        <v>0.498</v>
      </c>
      <c r="I65">
        <f>D65/(0.5*0.002377*(65*12)^2*wing_area)</f>
        <v>3.1419367169384278E-5</v>
      </c>
      <c r="J65">
        <f t="shared" si="1"/>
        <v>0.248004</v>
      </c>
    </row>
    <row r="66" spans="1:10" x14ac:dyDescent="0.25">
      <c r="A66">
        <v>15.964</v>
      </c>
      <c r="B66">
        <v>1.4350000000000001</v>
      </c>
      <c r="C66">
        <v>-1.3720000000000001</v>
      </c>
      <c r="D66">
        <f t="shared" si="0"/>
        <v>1.3720000000000001</v>
      </c>
      <c r="E66">
        <v>-19.475999999999999</v>
      </c>
      <c r="F66">
        <v>-0.27300000000000002</v>
      </c>
      <c r="G66">
        <v>1.9259999999999999</v>
      </c>
      <c r="H66">
        <v>0.65800000000000003</v>
      </c>
      <c r="I66">
        <f>D66/(0.5*0.002377*(65*12)^2*wing_area)</f>
        <v>3.8420117429942277E-5</v>
      </c>
      <c r="J66">
        <f t="shared" si="1"/>
        <v>0.43296400000000002</v>
      </c>
    </row>
    <row r="67" spans="1:10" x14ac:dyDescent="0.25">
      <c r="A67">
        <v>15.964</v>
      </c>
      <c r="B67">
        <v>1.4350000000000001</v>
      </c>
      <c r="C67">
        <v>-1.3720000000000001</v>
      </c>
      <c r="D67">
        <f t="shared" ref="D67:D75" si="2">-C67</f>
        <v>1.3720000000000001</v>
      </c>
      <c r="E67">
        <v>-19.475999999999999</v>
      </c>
      <c r="F67">
        <v>-0.27300000000000002</v>
      </c>
      <c r="G67">
        <v>1.9259999999999999</v>
      </c>
      <c r="H67">
        <v>0.65800000000000003</v>
      </c>
      <c r="I67">
        <f>D67/(0.5*0.002377*(65*12)^2*wing_area)</f>
        <v>3.8420117429942277E-5</v>
      </c>
      <c r="J67">
        <f t="shared" ref="J67:J76" si="3">H67^2</f>
        <v>0.43296400000000002</v>
      </c>
    </row>
    <row r="68" spans="1:10" x14ac:dyDescent="0.25">
      <c r="A68">
        <v>15.964</v>
      </c>
      <c r="B68">
        <v>1.4350000000000001</v>
      </c>
      <c r="C68">
        <v>-1.3720000000000001</v>
      </c>
      <c r="D68">
        <f t="shared" si="2"/>
        <v>1.3720000000000001</v>
      </c>
      <c r="E68">
        <v>-19.475999999999999</v>
      </c>
      <c r="F68">
        <v>-0.27300000000000002</v>
      </c>
      <c r="G68">
        <v>1.9259999999999999</v>
      </c>
      <c r="H68">
        <v>0.65800000000000003</v>
      </c>
      <c r="I68">
        <f>D68/(0.5*0.002377*(65*12)^2*wing_area)</f>
        <v>3.8420117429942277E-5</v>
      </c>
      <c r="J68">
        <f t="shared" si="3"/>
        <v>0.43296400000000002</v>
      </c>
    </row>
    <row r="69" spans="1:10" x14ac:dyDescent="0.25">
      <c r="A69">
        <v>15.959</v>
      </c>
      <c r="B69">
        <v>1.369</v>
      </c>
      <c r="C69">
        <v>-1.367</v>
      </c>
      <c r="D69">
        <f t="shared" si="2"/>
        <v>1.367</v>
      </c>
      <c r="E69">
        <v>-18.544</v>
      </c>
      <c r="F69">
        <v>-0.114</v>
      </c>
      <c r="G69">
        <v>3.1589999999999998</v>
      </c>
      <c r="H69">
        <v>0.63900000000000001</v>
      </c>
      <c r="I69">
        <f>D69/(0.5*0.002377*(65*12)^2*wing_area)</f>
        <v>3.8280102424731111E-5</v>
      </c>
      <c r="J69">
        <f t="shared" si="3"/>
        <v>0.40832099999999999</v>
      </c>
    </row>
    <row r="70" spans="1:10" x14ac:dyDescent="0.25">
      <c r="A70">
        <v>15.959</v>
      </c>
      <c r="B70">
        <v>1.369</v>
      </c>
      <c r="C70">
        <v>-1.367</v>
      </c>
      <c r="D70">
        <f t="shared" si="2"/>
        <v>1.367</v>
      </c>
      <c r="E70">
        <v>-18.544</v>
      </c>
      <c r="F70">
        <v>-0.114</v>
      </c>
      <c r="G70">
        <v>3.1589999999999998</v>
      </c>
      <c r="H70">
        <v>0.63900000000000001</v>
      </c>
      <c r="I70">
        <f>D70/(0.5*0.002377*(65*12)^2*wing_area)</f>
        <v>3.8280102424731111E-5</v>
      </c>
      <c r="J70">
        <f t="shared" si="3"/>
        <v>0.40832099999999999</v>
      </c>
    </row>
    <row r="71" spans="1:10" x14ac:dyDescent="0.25">
      <c r="A71">
        <v>-4.4999999999999998E-2</v>
      </c>
      <c r="B71">
        <v>1.353</v>
      </c>
      <c r="C71">
        <v>-0.22700000000000001</v>
      </c>
      <c r="D71">
        <f t="shared" si="2"/>
        <v>0.22700000000000001</v>
      </c>
      <c r="E71">
        <v>-0.36599999999999999</v>
      </c>
      <c r="F71">
        <v>-0.17799999999999999</v>
      </c>
      <c r="G71">
        <v>3.66</v>
      </c>
      <c r="H71">
        <v>0.71299999999999997</v>
      </c>
      <c r="I71">
        <f>D71/(0.5*0.002377*(65*12)^2*wing_area)</f>
        <v>6.356681236586659E-6</v>
      </c>
      <c r="J71">
        <f t="shared" si="3"/>
        <v>0.50836899999999996</v>
      </c>
    </row>
    <row r="72" spans="1:10" x14ac:dyDescent="0.25">
      <c r="A72">
        <v>-4.4999999999999998E-2</v>
      </c>
      <c r="B72">
        <v>1.353</v>
      </c>
      <c r="C72">
        <v>-0.22700000000000001</v>
      </c>
      <c r="D72">
        <f t="shared" si="2"/>
        <v>0.22700000000000001</v>
      </c>
      <c r="E72">
        <v>-0.36599999999999999</v>
      </c>
      <c r="F72">
        <v>-0.17799999999999999</v>
      </c>
      <c r="G72">
        <v>3.66</v>
      </c>
      <c r="H72">
        <v>0.71299999999999997</v>
      </c>
      <c r="I72">
        <f>D72/(0.5*0.002377*(65*12)^2*wing_area)</f>
        <v>6.356681236586659E-6</v>
      </c>
      <c r="J72">
        <f t="shared" si="3"/>
        <v>0.50836899999999996</v>
      </c>
    </row>
    <row r="73" spans="1:10" x14ac:dyDescent="0.25">
      <c r="A73">
        <v>-4.4999999999999998E-2</v>
      </c>
      <c r="B73">
        <v>1.353</v>
      </c>
      <c r="C73">
        <v>-0.22700000000000001</v>
      </c>
      <c r="D73">
        <f t="shared" si="2"/>
        <v>0.22700000000000001</v>
      </c>
      <c r="E73">
        <v>-0.36599999999999999</v>
      </c>
      <c r="F73">
        <v>-0.17799999999999999</v>
      </c>
      <c r="G73">
        <v>3.66</v>
      </c>
      <c r="H73">
        <v>0.71299999999999997</v>
      </c>
      <c r="I73">
        <f>D73/(0.5*0.002377*(65*12)^2*wing_area)</f>
        <v>6.356681236586659E-6</v>
      </c>
      <c r="J73">
        <f t="shared" si="3"/>
        <v>0.50836899999999996</v>
      </c>
    </row>
    <row r="74" spans="1:10" x14ac:dyDescent="0.25">
      <c r="A74">
        <v>-5.6000000000000001E-2</v>
      </c>
      <c r="B74">
        <v>1.829</v>
      </c>
      <c r="C74">
        <v>-0.36299999999999999</v>
      </c>
      <c r="D74">
        <f t="shared" si="2"/>
        <v>0.36299999999999999</v>
      </c>
      <c r="E74">
        <v>-4.0220000000000002</v>
      </c>
      <c r="F74">
        <v>-8.4000000000000005E-2</v>
      </c>
      <c r="G74">
        <v>3.7570000000000001</v>
      </c>
      <c r="H74">
        <v>0.76400000000000001</v>
      </c>
      <c r="I74">
        <f>D74/(0.5*0.002377*(65*12)^2*wing_area)</f>
        <v>1.0165089378330207E-5</v>
      </c>
      <c r="J74">
        <f t="shared" si="3"/>
        <v>0.58369599999999999</v>
      </c>
    </row>
    <row r="75" spans="1:10" x14ac:dyDescent="0.25">
      <c r="A75">
        <v>-5.6000000000000001E-2</v>
      </c>
      <c r="B75">
        <v>1.829</v>
      </c>
      <c r="C75">
        <v>-0.36299999999999999</v>
      </c>
      <c r="D75">
        <f t="shared" si="2"/>
        <v>0.36299999999999999</v>
      </c>
      <c r="E75">
        <v>-4.0220000000000002</v>
      </c>
      <c r="F75">
        <v>-8.4000000000000005E-2</v>
      </c>
      <c r="G75">
        <v>3.7570000000000001</v>
      </c>
      <c r="H75">
        <v>0.76400000000000001</v>
      </c>
      <c r="I75">
        <f>D75/(0.5*0.002377*(65*12)^2*wing_area)</f>
        <v>1.0165089378330207E-5</v>
      </c>
      <c r="J75">
        <f t="shared" si="3"/>
        <v>0.58369599999999999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workbookViewId="0">
      <selection activeCell="K16" sqref="K16"/>
    </sheetView>
  </sheetViews>
  <sheetFormatPr defaultRowHeight="15" x14ac:dyDescent="0.25"/>
  <cols>
    <col min="1" max="1" width="22.7109375" bestFit="1" customWidth="1"/>
    <col min="2" max="2" width="10.140625" bestFit="1" customWidth="1"/>
    <col min="5" max="5" width="28" bestFit="1" customWidth="1"/>
    <col min="6" max="7" width="12" bestFit="1" customWidth="1"/>
    <col min="9" max="9" width="35.140625" bestFit="1" customWidth="1"/>
    <col min="10" max="10" width="12" bestFit="1" customWidth="1"/>
    <col min="11" max="11" width="12.7109375" bestFit="1" customWidth="1"/>
  </cols>
  <sheetData>
    <row r="1" spans="1:11" x14ac:dyDescent="0.25">
      <c r="A1" s="13" t="s">
        <v>64</v>
      </c>
      <c r="B1" s="13"/>
      <c r="C1" s="13"/>
      <c r="E1" s="13" t="s">
        <v>42</v>
      </c>
      <c r="F1" s="13"/>
      <c r="G1" s="13"/>
      <c r="I1" s="13" t="s">
        <v>124</v>
      </c>
      <c r="J1" s="13"/>
      <c r="K1" s="13"/>
    </row>
    <row r="2" spans="1:11" x14ac:dyDescent="0.25">
      <c r="A2" s="3" t="s">
        <v>31</v>
      </c>
      <c r="B2" s="3" t="s">
        <v>30</v>
      </c>
      <c r="C2" s="3" t="s">
        <v>29</v>
      </c>
      <c r="E2" s="3" t="s">
        <v>44</v>
      </c>
      <c r="F2" s="3" t="s">
        <v>43</v>
      </c>
      <c r="G2" s="3">
        <v>40</v>
      </c>
      <c r="I2" s="3" t="s">
        <v>126</v>
      </c>
      <c r="J2" s="3" t="s">
        <v>125</v>
      </c>
      <c r="K2" s="3">
        <f>4.8316*10^-4</f>
        <v>4.8316E-4</v>
      </c>
    </row>
    <row r="3" spans="1:11" x14ac:dyDescent="0.25">
      <c r="A3" s="3" t="s">
        <v>28</v>
      </c>
      <c r="B3" s="3" t="s">
        <v>27</v>
      </c>
      <c r="C3" s="3">
        <v>1.2889999999999999</v>
      </c>
      <c r="E3" s="3" t="s">
        <v>45</v>
      </c>
      <c r="F3" s="3" t="s">
        <v>46</v>
      </c>
      <c r="G3" s="3">
        <v>28</v>
      </c>
      <c r="I3" s="3" t="s">
        <v>127</v>
      </c>
      <c r="J3" s="3" t="s">
        <v>128</v>
      </c>
      <c r="K3" s="3">
        <v>0.78</v>
      </c>
    </row>
    <row r="4" spans="1:11" x14ac:dyDescent="0.25">
      <c r="A4" s="3" t="s">
        <v>26</v>
      </c>
      <c r="B4" s="3" t="s">
        <v>25</v>
      </c>
      <c r="C4" s="3">
        <v>2.5790000000000002</v>
      </c>
      <c r="E4" s="3" t="s">
        <v>47</v>
      </c>
      <c r="F4" s="3" t="s">
        <v>48</v>
      </c>
      <c r="G4" s="3">
        <v>54</v>
      </c>
      <c r="I4" s="3" t="s">
        <v>129</v>
      </c>
      <c r="J4" s="3" t="s">
        <v>129</v>
      </c>
      <c r="K4" s="3">
        <f>(bvratio+bspan)/2</f>
        <v>12.577500000000001</v>
      </c>
    </row>
    <row r="5" spans="1:11" x14ac:dyDescent="0.25">
      <c r="A5" s="3" t="s">
        <v>24</v>
      </c>
      <c r="B5" s="3" t="s">
        <v>23</v>
      </c>
      <c r="C5" s="3">
        <f>24+3/8</f>
        <v>24.375</v>
      </c>
      <c r="E5" s="2" t="s">
        <v>49</v>
      </c>
      <c r="F5" s="2" t="s">
        <v>50</v>
      </c>
      <c r="G5" s="7">
        <f>TunWidth/TunHeight</f>
        <v>1.4285714285714286</v>
      </c>
      <c r="I5" s="3" t="s">
        <v>130</v>
      </c>
      <c r="J5" s="3" t="s">
        <v>130</v>
      </c>
      <c r="K5" s="3">
        <f>be/TunWidth</f>
        <v>0.31443750000000004</v>
      </c>
    </row>
    <row r="6" spans="1:11" x14ac:dyDescent="0.25">
      <c r="A6" s="3" t="s">
        <v>22</v>
      </c>
      <c r="B6" s="3" t="s">
        <v>21</v>
      </c>
      <c r="C6" s="1">
        <f>Ct/Rc_</f>
        <v>0.49980612640558347</v>
      </c>
      <c r="E6" s="2" t="s">
        <v>51</v>
      </c>
      <c r="F6" s="2" t="s">
        <v>51</v>
      </c>
      <c r="G6" s="3">
        <v>0.85499999999999998</v>
      </c>
      <c r="I6" s="3" t="s">
        <v>131</v>
      </c>
      <c r="J6" s="3" t="s">
        <v>131</v>
      </c>
      <c r="K6" s="3">
        <v>0.115</v>
      </c>
    </row>
    <row r="7" spans="1:11" x14ac:dyDescent="0.25">
      <c r="A7" s="3" t="s">
        <v>59</v>
      </c>
      <c r="B7" s="3" t="s">
        <v>60</v>
      </c>
      <c r="C7" s="1">
        <v>0.35</v>
      </c>
      <c r="E7" s="9"/>
      <c r="F7" s="9"/>
      <c r="G7" s="8"/>
      <c r="I7" s="3" t="s">
        <v>133</v>
      </c>
      <c r="J7" s="3" t="s">
        <v>133</v>
      </c>
      <c r="K7" s="3">
        <v>0.49</v>
      </c>
    </row>
    <row r="8" spans="1:11" x14ac:dyDescent="0.25">
      <c r="A8" s="3" t="s">
        <v>20</v>
      </c>
      <c r="B8" s="3" t="s">
        <v>19</v>
      </c>
      <c r="C8" s="1">
        <f>(Rc_/28)*30</f>
        <v>2.7632142857142856</v>
      </c>
      <c r="E8" s="8"/>
      <c r="F8" s="8"/>
      <c r="G8" s="8"/>
      <c r="I8" s="3" t="s">
        <v>132</v>
      </c>
      <c r="J8" s="3" t="s">
        <v>132</v>
      </c>
      <c r="K8" s="3">
        <f>delta*((1+tau2_)/(wing_area/(TunWidth*TunHeight)))*(180/PI())*K2</f>
        <v>0.1075743435201037</v>
      </c>
    </row>
    <row r="9" spans="1:11" x14ac:dyDescent="0.25">
      <c r="A9" s="3" t="s">
        <v>18</v>
      </c>
      <c r="B9" s="3" t="s">
        <v>17</v>
      </c>
      <c r="C9" s="5">
        <f>0.5*(Cchord+Ct)*bspan</f>
        <v>49.386361607142852</v>
      </c>
      <c r="E9" s="13" t="s">
        <v>52</v>
      </c>
      <c r="F9" s="13"/>
      <c r="G9" s="13"/>
    </row>
    <row r="10" spans="1:11" x14ac:dyDescent="0.25">
      <c r="A10" s="3" t="s">
        <v>61</v>
      </c>
      <c r="B10" s="3" t="s">
        <v>62</v>
      </c>
      <c r="C10" s="4">
        <f>wing_area*t_wing</f>
        <v>17.285226562499997</v>
      </c>
      <c r="E10" s="3" t="s">
        <v>79</v>
      </c>
      <c r="F10" s="3" t="s">
        <v>79</v>
      </c>
      <c r="G10" s="3">
        <v>1.04</v>
      </c>
      <c r="I10" s="13" t="s">
        <v>139</v>
      </c>
      <c r="J10" s="13"/>
      <c r="K10" s="13"/>
    </row>
    <row r="11" spans="1:11" x14ac:dyDescent="0.25">
      <c r="A11" s="3" t="s">
        <v>16</v>
      </c>
      <c r="B11" s="3" t="s">
        <v>15</v>
      </c>
      <c r="C11" s="4">
        <f>bspan^2/wing_area</f>
        <v>12.030459537113748</v>
      </c>
      <c r="E11" s="3" t="s">
        <v>80</v>
      </c>
      <c r="F11" s="3" t="s">
        <v>80</v>
      </c>
      <c r="G11" s="3">
        <v>0.93</v>
      </c>
      <c r="I11" s="3" t="s">
        <v>140</v>
      </c>
      <c r="J11" s="3" t="s">
        <v>141</v>
      </c>
      <c r="K11" s="3">
        <v>5.33E-2</v>
      </c>
    </row>
    <row r="12" spans="1:11" x14ac:dyDescent="0.25">
      <c r="E12" s="3" t="s">
        <v>81</v>
      </c>
      <c r="F12" s="3" t="s">
        <v>82</v>
      </c>
      <c r="G12" s="3">
        <f>(K1_*tau_wing*vol_wing)/(TunWidth*TunHeight)^(3/2)</f>
        <v>4.1245809622273853E-4</v>
      </c>
      <c r="I12" s="3" t="s">
        <v>142</v>
      </c>
      <c r="J12" s="3" t="s">
        <v>142</v>
      </c>
      <c r="K12" s="3">
        <f>((lbar*C18)/(wing_area*wmac))</f>
        <v>0.72529582966863038</v>
      </c>
    </row>
    <row r="13" spans="1:11" x14ac:dyDescent="0.25">
      <c r="A13" s="13" t="s">
        <v>63</v>
      </c>
      <c r="B13" s="13"/>
      <c r="C13" s="13"/>
      <c r="E13" s="3" t="s">
        <v>83</v>
      </c>
      <c r="F13" s="3" t="s">
        <v>83</v>
      </c>
      <c r="G13" s="3">
        <v>0.86</v>
      </c>
      <c r="I13" s="3" t="s">
        <v>144</v>
      </c>
      <c r="J13" s="3" t="s">
        <v>145</v>
      </c>
      <c r="K13" s="3">
        <f>-atnt*Vbar</f>
        <v>-3.8658267721337999E-2</v>
      </c>
    </row>
    <row r="14" spans="1:11" x14ac:dyDescent="0.25">
      <c r="A14" s="2" t="s">
        <v>14</v>
      </c>
      <c r="B14" s="2" t="s">
        <v>13</v>
      </c>
      <c r="C14" s="3">
        <v>1.75</v>
      </c>
      <c r="E14" s="3" t="s">
        <v>84</v>
      </c>
      <c r="F14" s="3" t="s">
        <v>85</v>
      </c>
      <c r="G14" s="1">
        <f>bspan/TunWidth</f>
        <v>0.609375</v>
      </c>
      <c r="I14" s="3" t="s">
        <v>146</v>
      </c>
      <c r="J14" s="3" t="s">
        <v>147</v>
      </c>
      <c r="K14" s="3">
        <f>3/TunWidth</f>
        <v>7.4999999999999997E-2</v>
      </c>
    </row>
    <row r="15" spans="1:11" x14ac:dyDescent="0.25">
      <c r="A15" s="2" t="s">
        <v>12</v>
      </c>
      <c r="B15" s="2" t="s">
        <v>11</v>
      </c>
      <c r="C15" s="3">
        <v>1</v>
      </c>
      <c r="E15" s="3" t="s">
        <v>86</v>
      </c>
      <c r="F15" s="3" t="s">
        <v>87</v>
      </c>
      <c r="G15" s="3">
        <f>(K3_*tau1_*fvol)/(TunWidth*TunHeight)^(3/2)</f>
        <v>4.5822183527197455E-4</v>
      </c>
      <c r="I15" s="3" t="s">
        <v>148</v>
      </c>
      <c r="J15" s="3" t="s">
        <v>148</v>
      </c>
      <c r="K15" s="3">
        <v>0.15</v>
      </c>
    </row>
    <row r="16" spans="1:11" x14ac:dyDescent="0.25">
      <c r="A16" s="2" t="s">
        <v>36</v>
      </c>
      <c r="B16" s="2" t="s">
        <v>37</v>
      </c>
      <c r="C16" s="3">
        <f>Ttc/Trc</f>
        <v>0.5714285714285714</v>
      </c>
      <c r="E16" s="3" t="s">
        <v>89</v>
      </c>
      <c r="F16" s="3" t="s">
        <v>88</v>
      </c>
      <c r="G16" s="3">
        <f>G12+eps_sbF</f>
        <v>8.7067993149471303E-4</v>
      </c>
      <c r="I16" s="3" t="s">
        <v>149</v>
      </c>
      <c r="J16" s="3" t="s">
        <v>149</v>
      </c>
      <c r="K16" s="3">
        <f>CMdeltas*(wing_area/(TunWidth*TunHeight))*(180/PI())*K2*delta*tau2tail</f>
        <v>-8.1401817761371977E-7</v>
      </c>
    </row>
    <row r="17" spans="1:11" x14ac:dyDescent="0.25">
      <c r="A17" s="2" t="s">
        <v>55</v>
      </c>
      <c r="B17" s="2" t="s">
        <v>56</v>
      </c>
      <c r="C17" s="3">
        <v>0.17</v>
      </c>
      <c r="E17" s="3" t="s">
        <v>101</v>
      </c>
      <c r="F17" s="3" t="s">
        <v>102</v>
      </c>
      <c r="G17" s="3">
        <f>0.25*strut_area/(TunWidth*TunHeight)</f>
        <v>2.4674107142857141E-3</v>
      </c>
      <c r="I17" s="3"/>
      <c r="J17" s="3"/>
      <c r="K17" s="3"/>
    </row>
    <row r="18" spans="1:11" x14ac:dyDescent="0.25">
      <c r="A18" s="2" t="s">
        <v>10</v>
      </c>
      <c r="B18" s="2" t="s">
        <v>9</v>
      </c>
      <c r="C18" s="1">
        <f>(Ttc+Trc)*2.75</f>
        <v>7.5625</v>
      </c>
      <c r="E18" s="3" t="s">
        <v>106</v>
      </c>
      <c r="F18" s="3" t="s">
        <v>107</v>
      </c>
      <c r="G18" s="3">
        <v>1.5489999999999999E-5</v>
      </c>
    </row>
    <row r="19" spans="1:11" x14ac:dyDescent="0.25">
      <c r="A19" s="2" t="s">
        <v>57</v>
      </c>
      <c r="B19" s="2" t="s">
        <v>58</v>
      </c>
      <c r="C19" s="1">
        <f>C18*t_tail</f>
        <v>1.285625</v>
      </c>
      <c r="E19" s="3" t="s">
        <v>108</v>
      </c>
      <c r="F19" s="3" t="s">
        <v>109</v>
      </c>
      <c r="G19" s="3">
        <v>1.5509999999999999E-5</v>
      </c>
      <c r="I19" t="s">
        <v>143</v>
      </c>
      <c r="J19">
        <f>((1+2*lamda_w)/12)*Rc_*wing_area*TAN(5*(PI()/180))</f>
        <v>1.8568409258759266</v>
      </c>
    </row>
    <row r="20" spans="1:11" x14ac:dyDescent="0.25">
      <c r="A20" s="2" t="s">
        <v>33</v>
      </c>
      <c r="B20" s="3" t="s">
        <v>34</v>
      </c>
      <c r="C20" s="1">
        <f>(2*Rc_)/3*((1+lamda_w+lamda_w^2)/(1+lamda_w))</f>
        <v>2.0057037228541885</v>
      </c>
      <c r="E20" s="6" t="s">
        <v>111</v>
      </c>
      <c r="F20" s="6" t="s">
        <v>110</v>
      </c>
      <c r="G20" s="3">
        <f>(wing_area/(4*TunWidth*TunHeight))*CDO_t</f>
        <v>1.7075775475326845E-7</v>
      </c>
    </row>
    <row r="21" spans="1:11" x14ac:dyDescent="0.25">
      <c r="A21" s="2" t="s">
        <v>32</v>
      </c>
      <c r="B21" s="3" t="s">
        <v>35</v>
      </c>
      <c r="C21" s="1">
        <f>(2*Trc)/3*((1+lamda_t+lamda_t^2)/(1+lamda_t))</f>
        <v>1.4090909090909089</v>
      </c>
      <c r="E21" s="2" t="s">
        <v>112</v>
      </c>
      <c r="F21" s="3" t="s">
        <v>113</v>
      </c>
      <c r="G21" s="3">
        <f>(wing_area/(4*TunWidth*TunHeight))*CDO_wot</f>
        <v>1.7097822958187177E-7</v>
      </c>
    </row>
    <row r="22" spans="1:11" x14ac:dyDescent="0.25">
      <c r="A22" s="2" t="s">
        <v>38</v>
      </c>
      <c r="B22" s="3" t="s">
        <v>39</v>
      </c>
      <c r="C22" s="1">
        <f>0.25*wmac</f>
        <v>0.50142593071354713</v>
      </c>
      <c r="E22" s="10" t="s">
        <v>114</v>
      </c>
      <c r="F22" s="10" t="s">
        <v>115</v>
      </c>
      <c r="G22" s="10">
        <f>eps_wb_t+eps_strut+eps_tot</f>
        <v>3.3382614035351805E-3</v>
      </c>
    </row>
    <row r="23" spans="1:11" x14ac:dyDescent="0.25">
      <c r="A23" s="2" t="s">
        <v>40</v>
      </c>
      <c r="B23" s="2" t="s">
        <v>41</v>
      </c>
      <c r="C23" s="3">
        <v>9.5</v>
      </c>
      <c r="E23" s="10" t="s">
        <v>116</v>
      </c>
      <c r="F23" s="10" t="s">
        <v>117</v>
      </c>
      <c r="G23" s="10">
        <f>eps_wb_nt+eps_strut+eps_tot</f>
        <v>3.3382616240100089E-3</v>
      </c>
    </row>
    <row r="25" spans="1:11" x14ac:dyDescent="0.25">
      <c r="A25" s="13" t="s">
        <v>65</v>
      </c>
      <c r="B25" s="13"/>
      <c r="C25" s="13"/>
      <c r="E25" s="13" t="s">
        <v>90</v>
      </c>
      <c r="F25" s="13"/>
      <c r="G25" s="13"/>
    </row>
    <row r="26" spans="1:11" x14ac:dyDescent="0.25">
      <c r="A26" s="3" t="s">
        <v>26</v>
      </c>
      <c r="B26" s="3" t="s">
        <v>66</v>
      </c>
      <c r="C26" s="3">
        <v>2.95</v>
      </c>
      <c r="E26" s="3" t="s">
        <v>95</v>
      </c>
      <c r="F26" s="3" t="s">
        <v>91</v>
      </c>
      <c r="G26" s="3">
        <v>0.38</v>
      </c>
    </row>
    <row r="27" spans="1:11" x14ac:dyDescent="0.25">
      <c r="A27" s="3" t="s">
        <v>67</v>
      </c>
      <c r="B27" s="3" t="s">
        <v>68</v>
      </c>
      <c r="C27" s="3">
        <v>1.95</v>
      </c>
      <c r="E27" s="3" t="s">
        <v>96</v>
      </c>
      <c r="F27" s="3" t="s">
        <v>92</v>
      </c>
      <c r="G27" s="3">
        <v>12.375</v>
      </c>
    </row>
    <row r="28" spans="1:11" x14ac:dyDescent="0.25">
      <c r="A28" s="9" t="s">
        <v>22</v>
      </c>
      <c r="B28" s="9" t="s">
        <v>71</v>
      </c>
      <c r="C28" s="7">
        <f>vtTc/vtRc</f>
        <v>0.66101694915254228</v>
      </c>
      <c r="E28" s="3" t="s">
        <v>97</v>
      </c>
      <c r="F28" s="3" t="s">
        <v>93</v>
      </c>
      <c r="G28" s="3">
        <v>0.13600000000000001</v>
      </c>
    </row>
    <row r="29" spans="1:11" x14ac:dyDescent="0.25">
      <c r="A29" s="3" t="s">
        <v>69</v>
      </c>
      <c r="B29" s="3" t="s">
        <v>70</v>
      </c>
      <c r="C29" s="7">
        <f>(2*vtRc)/3*((1+lamda_vt+lamda_vt^2)/(1+lamda_vt))</f>
        <v>2.4840136054421769</v>
      </c>
      <c r="E29" s="3" t="s">
        <v>98</v>
      </c>
      <c r="F29" s="3" t="s">
        <v>94</v>
      </c>
      <c r="G29" s="3">
        <v>12.125</v>
      </c>
    </row>
    <row r="30" spans="1:11" x14ac:dyDescent="0.25">
      <c r="A30" s="3" t="s">
        <v>45</v>
      </c>
      <c r="B30" s="3" t="s">
        <v>72</v>
      </c>
      <c r="C30" s="3">
        <v>2.15</v>
      </c>
      <c r="E30" s="3" t="s">
        <v>99</v>
      </c>
      <c r="F30" s="3" t="s">
        <v>100</v>
      </c>
      <c r="G30" s="3">
        <f>2*(wstrut_t*wstrut_h)+(tstrut_t*tstrut_h)</f>
        <v>11.053999999999998</v>
      </c>
    </row>
    <row r="31" spans="1:11" x14ac:dyDescent="0.25">
      <c r="A31" s="3" t="s">
        <v>74</v>
      </c>
      <c r="B31" s="3" t="s">
        <v>73</v>
      </c>
      <c r="C31" s="3">
        <v>0.3</v>
      </c>
      <c r="E31" s="8"/>
      <c r="F31" s="8"/>
      <c r="G31" s="8"/>
    </row>
    <row r="32" spans="1:11" x14ac:dyDescent="0.25">
      <c r="A32" s="8"/>
      <c r="B32" s="8"/>
      <c r="C32" s="8"/>
      <c r="E32" s="13" t="s">
        <v>122</v>
      </c>
      <c r="F32" s="13"/>
      <c r="G32" s="13"/>
    </row>
    <row r="33" spans="1:7" x14ac:dyDescent="0.25">
      <c r="A33" s="12" t="s">
        <v>53</v>
      </c>
      <c r="B33" s="12"/>
      <c r="C33" s="12"/>
      <c r="E33" s="2" t="s">
        <v>123</v>
      </c>
      <c r="F33" s="2" t="s">
        <v>121</v>
      </c>
      <c r="G33" s="3">
        <f>0.615*0.06852</f>
        <v>4.2139799999999998E-2</v>
      </c>
    </row>
    <row r="34" spans="1:7" x14ac:dyDescent="0.25">
      <c r="A34" s="3" t="s">
        <v>47</v>
      </c>
      <c r="B34" s="3" t="s">
        <v>54</v>
      </c>
      <c r="C34" s="3">
        <v>12</v>
      </c>
      <c r="E34" s="8"/>
      <c r="F34" s="8"/>
      <c r="G34" s="8"/>
    </row>
    <row r="35" spans="1:7" x14ac:dyDescent="0.25">
      <c r="A35" s="3" t="s">
        <v>75</v>
      </c>
      <c r="B35" s="3" t="s">
        <v>76</v>
      </c>
      <c r="C35" s="3">
        <v>2</v>
      </c>
    </row>
    <row r="36" spans="1:7" x14ac:dyDescent="0.25">
      <c r="A36" s="3" t="s">
        <v>77</v>
      </c>
      <c r="B36" s="3" t="s">
        <v>78</v>
      </c>
      <c r="C36" s="1">
        <f>0.45*flength*fdiam^2</f>
        <v>21.6</v>
      </c>
    </row>
    <row r="37" spans="1:7" x14ac:dyDescent="0.25">
      <c r="A37" s="8"/>
      <c r="B37" s="8"/>
      <c r="C37" s="8"/>
    </row>
    <row r="40" spans="1:7" x14ac:dyDescent="0.25">
      <c r="A40" s="8"/>
      <c r="B40" s="8"/>
      <c r="C40" s="8"/>
    </row>
  </sheetData>
  <mergeCells count="10">
    <mergeCell ref="I1:K1"/>
    <mergeCell ref="I10:K10"/>
    <mergeCell ref="A33:C33"/>
    <mergeCell ref="E25:G25"/>
    <mergeCell ref="A1:C1"/>
    <mergeCell ref="E1:G1"/>
    <mergeCell ref="E9:G9"/>
    <mergeCell ref="A13:C13"/>
    <mergeCell ref="A25:C25"/>
    <mergeCell ref="E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68</vt:i4>
      </vt:variant>
    </vt:vector>
  </HeadingPairs>
  <TitlesOfParts>
    <vt:vector size="76" baseType="lpstr">
      <vt:lpstr>No wind</vt:lpstr>
      <vt:lpstr>Tail On 65 MPH</vt:lpstr>
      <vt:lpstr>Tail OFf 65 MPH</vt:lpstr>
      <vt:lpstr>No Model 65 MPH</vt:lpstr>
      <vt:lpstr>Airplane Characteristics</vt:lpstr>
      <vt:lpstr>Cd vs Cl^2 with Tail</vt:lpstr>
      <vt:lpstr>Cd vs Cl^2 No Tail</vt:lpstr>
      <vt:lpstr>CL vs Alpha </vt:lpstr>
      <vt:lpstr>atnt</vt:lpstr>
      <vt:lpstr>be</vt:lpstr>
      <vt:lpstr>bspan</vt:lpstr>
      <vt:lpstr>btail</vt:lpstr>
      <vt:lpstr>Bval</vt:lpstr>
      <vt:lpstr>bvratio</vt:lpstr>
      <vt:lpstr>Cchord</vt:lpstr>
      <vt:lpstr>CDO_t</vt:lpstr>
      <vt:lpstr>CDO_wot</vt:lpstr>
      <vt:lpstr>CGw</vt:lpstr>
      <vt:lpstr>Clw</vt:lpstr>
      <vt:lpstr>CMdeltas</vt:lpstr>
      <vt:lpstr>Ct</vt:lpstr>
      <vt:lpstr>delta</vt:lpstr>
      <vt:lpstr>deltaCmcgt</vt:lpstr>
      <vt:lpstr>deltalph</vt:lpstr>
      <vt:lpstr>eps_sbF</vt:lpstr>
      <vt:lpstr>eps_strut</vt:lpstr>
      <vt:lpstr>eps_tot</vt:lpstr>
      <vt:lpstr>eps_tot_nt</vt:lpstr>
      <vt:lpstr>eps_tot_t</vt:lpstr>
      <vt:lpstr>eps_wb_nt</vt:lpstr>
      <vt:lpstr>eps_wb_t</vt:lpstr>
      <vt:lpstr>fdiam</vt:lpstr>
      <vt:lpstr>flength</vt:lpstr>
      <vt:lpstr>fvol</vt:lpstr>
      <vt:lpstr>h_vt</vt:lpstr>
      <vt:lpstr>k</vt:lpstr>
      <vt:lpstr>K1_</vt:lpstr>
      <vt:lpstr>K3_</vt:lpstr>
      <vt:lpstr>l_vt</vt:lpstr>
      <vt:lpstr>lamda_t</vt:lpstr>
      <vt:lpstr>lamda_vt</vt:lpstr>
      <vt:lpstr>lamda_w</vt:lpstr>
      <vt:lpstr>lbar</vt:lpstr>
      <vt:lpstr>'No Model 65 MPH'!NoModel65mph</vt:lpstr>
      <vt:lpstr>'No wind'!nowind</vt:lpstr>
      <vt:lpstr>Rc_</vt:lpstr>
      <vt:lpstr>strut_area</vt:lpstr>
      <vt:lpstr>t_tail</vt:lpstr>
      <vt:lpstr>t_wing</vt:lpstr>
      <vt:lpstr>'Tail OFf 65 MPH'!tailoff65mph</vt:lpstr>
      <vt:lpstr>'Tail On 65 MPH'!tailon65mph</vt:lpstr>
      <vt:lpstr>tamc</vt:lpstr>
      <vt:lpstr>tau_wing</vt:lpstr>
      <vt:lpstr>tau1_</vt:lpstr>
      <vt:lpstr>tau2_</vt:lpstr>
      <vt:lpstr>tau2tail</vt:lpstr>
      <vt:lpstr>tmac</vt:lpstr>
      <vt:lpstr>Trc</vt:lpstr>
      <vt:lpstr>tstrut_h</vt:lpstr>
      <vt:lpstr>tstrut_t</vt:lpstr>
      <vt:lpstr>Ttc</vt:lpstr>
      <vt:lpstr>TunHeight</vt:lpstr>
      <vt:lpstr>TunLen</vt:lpstr>
      <vt:lpstr>TunWidth</vt:lpstr>
      <vt:lpstr>Vbar</vt:lpstr>
      <vt:lpstr>vol_tail</vt:lpstr>
      <vt:lpstr>vol_wing</vt:lpstr>
      <vt:lpstr>vtMAC</vt:lpstr>
      <vt:lpstr>vtRc</vt:lpstr>
      <vt:lpstr>vtTc</vt:lpstr>
      <vt:lpstr>waircraft</vt:lpstr>
      <vt:lpstr>width_ratio</vt:lpstr>
      <vt:lpstr>wing_area</vt:lpstr>
      <vt:lpstr>wmac</vt:lpstr>
      <vt:lpstr>wstrut_h</vt:lpstr>
      <vt:lpstr>wstrut_t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Tom A. Moline</cp:lastModifiedBy>
  <dcterms:created xsi:type="dcterms:W3CDTF">2013-09-26T17:45:20Z</dcterms:created>
  <dcterms:modified xsi:type="dcterms:W3CDTF">2013-10-08T04:59:26Z</dcterms:modified>
</cp:coreProperties>
</file>