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0115" windowHeight="9210" activeTab="4"/>
  </bookViews>
  <sheets>
    <sheet name="Efficiency vs Re" sheetId="4" r:id="rId1"/>
    <sheet name="Power Coefficient vs Re" sheetId="5" r:id="rId2"/>
    <sheet name="Pressure Coefficient vs Re" sheetId="6" r:id="rId3"/>
    <sheet name="Flow Coefficient vs Re" sheetId="7" r:id="rId4"/>
    <sheet name="Sheet1" sheetId="1" r:id="rId5"/>
    <sheet name="Sheet2" sheetId="2" r:id="rId6"/>
    <sheet name="Sheet3" sheetId="3" r:id="rId7"/>
  </sheets>
  <definedNames>
    <definedName name="Area2">Sheet1!$L$7</definedName>
    <definedName name="beta">Sheet1!$L$8</definedName>
    <definedName name="Cd">Sheet1!$L$12</definedName>
    <definedName name="Cd2_">Sheet1!$L$13</definedName>
    <definedName name="Cd3_">Sheet1!$L$14</definedName>
    <definedName name="density">Sheet1!$L$4</definedName>
    <definedName name="density_w">Sheet1!$L$5</definedName>
    <definedName name="mu">Sheet1!$L$6</definedName>
    <definedName name="N_error">Sheet1!$L$28</definedName>
    <definedName name="P_static">Sheet1!$L$3</definedName>
    <definedName name="Pressure_error">Sheet1!$L$30</definedName>
    <definedName name="Re">Sheet1!$L$9</definedName>
    <definedName name="Re2_">Sheet1!$L$10</definedName>
    <definedName name="Re3_">Sheet1!$L$11</definedName>
    <definedName name="Scale_error">Sheet1!$L$29</definedName>
    <definedName name="temp">Sheet1!$L$2</definedName>
  </definedNames>
  <calcPr calcId="145621"/>
</workbook>
</file>

<file path=xl/calcChain.xml><?xml version="1.0" encoding="utf-8"?>
<calcChain xmlns="http://schemas.openxmlformats.org/spreadsheetml/2006/main">
  <c r="S19" i="1" l="1"/>
  <c r="S18" i="1"/>
  <c r="S17" i="1"/>
  <c r="S16" i="1"/>
  <c r="S15" i="1"/>
  <c r="P14" i="1"/>
  <c r="S4" i="1"/>
  <c r="S5" i="1"/>
  <c r="S6" i="1"/>
  <c r="S7" i="1"/>
  <c r="S8" i="1"/>
  <c r="S9" i="1"/>
  <c r="S10" i="1"/>
  <c r="S11" i="1"/>
  <c r="S3" i="1"/>
  <c r="L12" i="1"/>
  <c r="P4" i="1"/>
  <c r="P5" i="1"/>
  <c r="P6" i="1"/>
  <c r="P7" i="1"/>
  <c r="P8" i="1"/>
  <c r="P9" i="1"/>
  <c r="P10" i="1"/>
  <c r="V10" i="1" s="1"/>
  <c r="P11" i="1"/>
  <c r="P3" i="1"/>
  <c r="T4" i="1"/>
  <c r="T5" i="1"/>
  <c r="T6" i="1"/>
  <c r="T7" i="1"/>
  <c r="T8" i="1"/>
  <c r="T9" i="1"/>
  <c r="T10" i="1"/>
  <c r="T11" i="1"/>
  <c r="T3" i="1"/>
  <c r="U4" i="1"/>
  <c r="U5" i="1"/>
  <c r="U7" i="1"/>
  <c r="U8" i="1"/>
  <c r="U10" i="1"/>
  <c r="U11" i="1"/>
  <c r="V4" i="1"/>
  <c r="V5" i="1"/>
  <c r="V8" i="1"/>
  <c r="W4" i="1"/>
  <c r="W5" i="1"/>
  <c r="W7" i="1"/>
  <c r="W8" i="1"/>
  <c r="W10" i="1"/>
  <c r="W11" i="1"/>
  <c r="Q4" i="1"/>
  <c r="Q5" i="1"/>
  <c r="Q7" i="1"/>
  <c r="Q8" i="1"/>
  <c r="Q10" i="1"/>
  <c r="Q11" i="1"/>
  <c r="L7" i="1"/>
  <c r="R4" i="1"/>
  <c r="R5" i="1"/>
  <c r="R6" i="1"/>
  <c r="R7" i="1"/>
  <c r="R8" i="1"/>
  <c r="R9" i="1"/>
  <c r="R10" i="1"/>
  <c r="R11" i="1"/>
  <c r="R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V7" i="1" l="1"/>
  <c r="V11" i="1"/>
  <c r="L14" i="1"/>
  <c r="L13" i="1"/>
  <c r="A28" i="1"/>
  <c r="A29" i="1" s="1"/>
  <c r="A30" i="1" s="1"/>
  <c r="A31" i="1" s="1"/>
  <c r="A32" i="1" s="1"/>
  <c r="A33" i="1" s="1"/>
  <c r="A34" i="1" s="1"/>
  <c r="A35" i="1" s="1"/>
  <c r="F18" i="1"/>
  <c r="F22" i="1"/>
  <c r="E20" i="1"/>
  <c r="G2" i="1"/>
  <c r="F16" i="1" s="1"/>
  <c r="G3" i="1"/>
  <c r="F17" i="1" s="1"/>
  <c r="G4" i="1"/>
  <c r="G5" i="1"/>
  <c r="F19" i="1" s="1"/>
  <c r="G6" i="1"/>
  <c r="F20" i="1" s="1"/>
  <c r="G7" i="1"/>
  <c r="F21" i="1" s="1"/>
  <c r="G8" i="1"/>
  <c r="G9" i="1"/>
  <c r="F23" i="1" s="1"/>
  <c r="G10" i="1"/>
  <c r="F24" i="1" s="1"/>
  <c r="F3" i="1"/>
  <c r="E17" i="1" s="1"/>
  <c r="F4" i="1"/>
  <c r="E18" i="1" s="1"/>
  <c r="F5" i="1"/>
  <c r="E19" i="1" s="1"/>
  <c r="F6" i="1"/>
  <c r="F7" i="1"/>
  <c r="E21" i="1" s="1"/>
  <c r="F8" i="1"/>
  <c r="E22" i="1" s="1"/>
  <c r="F9" i="1"/>
  <c r="E23" i="1" s="1"/>
  <c r="F10" i="1"/>
  <c r="E24" i="1" s="1"/>
  <c r="F2" i="1"/>
  <c r="E16" i="1" s="1"/>
  <c r="D17" i="1"/>
  <c r="D18" i="1"/>
  <c r="D19" i="1"/>
  <c r="D20" i="1"/>
  <c r="D21" i="1"/>
  <c r="D22" i="1"/>
  <c r="D23" i="1"/>
  <c r="D24" i="1"/>
  <c r="D16" i="1"/>
  <c r="L6" i="1"/>
  <c r="L2" i="1"/>
  <c r="L4" i="1" s="1"/>
  <c r="B29" i="1" s="1"/>
  <c r="C17" i="1"/>
  <c r="C18" i="1"/>
  <c r="C19" i="1"/>
  <c r="C20" i="1"/>
  <c r="C21" i="1"/>
  <c r="C22" i="1"/>
  <c r="C23" i="1"/>
  <c r="C24" i="1"/>
  <c r="C16" i="1"/>
  <c r="A17" i="1"/>
  <c r="A18" i="1" s="1"/>
  <c r="A19" i="1" s="1"/>
  <c r="A20" i="1" s="1"/>
  <c r="A21" i="1" s="1"/>
  <c r="A22" i="1" s="1"/>
  <c r="A23" i="1" s="1"/>
  <c r="A24" i="1" s="1"/>
  <c r="E3" i="1"/>
  <c r="E4" i="1"/>
  <c r="E5" i="1"/>
  <c r="E6" i="1"/>
  <c r="E7" i="1"/>
  <c r="E8" i="1"/>
  <c r="E9" i="1"/>
  <c r="E10" i="1"/>
  <c r="E2" i="1"/>
  <c r="A3" i="1"/>
  <c r="A4" i="1" s="1"/>
  <c r="A5" i="1" s="1"/>
  <c r="A6" i="1" s="1"/>
  <c r="A7" i="1" s="1"/>
  <c r="A8" i="1" s="1"/>
  <c r="A9" i="1" s="1"/>
  <c r="A10" i="1" s="1"/>
  <c r="G16" i="1" l="1"/>
  <c r="Q3" i="1" s="1"/>
  <c r="B33" i="1"/>
  <c r="G23" i="1"/>
  <c r="E34" i="1" s="1"/>
  <c r="G24" i="1"/>
  <c r="E35" i="1" s="1"/>
  <c r="G20" i="1"/>
  <c r="G21" i="1"/>
  <c r="E32" i="1" s="1"/>
  <c r="C30" i="1"/>
  <c r="G17" i="1"/>
  <c r="D28" i="1" s="1"/>
  <c r="G18" i="1"/>
  <c r="E29" i="1" s="1"/>
  <c r="C32" i="1"/>
  <c r="C35" i="1"/>
  <c r="C27" i="1"/>
  <c r="C28" i="1"/>
  <c r="C34" i="1"/>
  <c r="C31" i="1"/>
  <c r="B28" i="1"/>
  <c r="C33" i="1"/>
  <c r="B35" i="1"/>
  <c r="B31" i="1"/>
  <c r="B27" i="1"/>
  <c r="B34" i="1"/>
  <c r="B30" i="1"/>
  <c r="B32" i="1"/>
  <c r="C29" i="1"/>
  <c r="E31" i="1"/>
  <c r="G19" i="1"/>
  <c r="G22" i="1"/>
  <c r="E30" i="1" l="1"/>
  <c r="Q6" i="1"/>
  <c r="E27" i="1"/>
  <c r="W3" i="1" s="1"/>
  <c r="E33" i="1"/>
  <c r="Q9" i="1"/>
  <c r="E28" i="1"/>
  <c r="H17" i="1"/>
  <c r="F28" i="1" s="1"/>
  <c r="D32" i="1"/>
  <c r="H21" i="1"/>
  <c r="F32" i="1" s="1"/>
  <c r="D35" i="1"/>
  <c r="H24" i="1"/>
  <c r="F35" i="1" s="1"/>
  <c r="D29" i="1"/>
  <c r="H18" i="1"/>
  <c r="F29" i="1" s="1"/>
  <c r="D27" i="1"/>
  <c r="U3" i="1" s="1"/>
  <c r="H16" i="1"/>
  <c r="F27" i="1" s="1"/>
  <c r="V3" i="1" s="1"/>
  <c r="D30" i="1"/>
  <c r="H19" i="1"/>
  <c r="F30" i="1" s="1"/>
  <c r="V6" i="1" s="1"/>
  <c r="D33" i="1"/>
  <c r="U9" i="1" s="1"/>
  <c r="H22" i="1"/>
  <c r="F33" i="1" s="1"/>
  <c r="V9" i="1" s="1"/>
  <c r="D34" i="1"/>
  <c r="H23" i="1"/>
  <c r="F34" i="1" s="1"/>
  <c r="D31" i="1"/>
  <c r="H20" i="1"/>
  <c r="F31" i="1" s="1"/>
  <c r="U6" i="1" l="1"/>
  <c r="W9" i="1"/>
  <c r="W6" i="1"/>
</calcChain>
</file>

<file path=xl/sharedStrings.xml><?xml version="1.0" encoding="utf-8"?>
<sst xmlns="http://schemas.openxmlformats.org/spreadsheetml/2006/main" count="59" uniqueCount="54">
  <si>
    <t>Test No</t>
  </si>
  <si>
    <t>N (RPM)</t>
  </si>
  <si>
    <t>x (in)</t>
  </si>
  <si>
    <t>Scale Reading</t>
  </si>
  <si>
    <t xml:space="preserve">HP </t>
  </si>
  <si>
    <t>PT1 (in)</t>
  </si>
  <si>
    <t>PT2 (in)</t>
  </si>
  <si>
    <t>Power Input (ft lb / sec)</t>
  </si>
  <si>
    <t>Cd</t>
  </si>
  <si>
    <t>Static Pressure (Pa)</t>
  </si>
  <si>
    <t>β</t>
  </si>
  <si>
    <t>Re</t>
  </si>
  <si>
    <t>Temp (K)</t>
  </si>
  <si>
    <t>Air Density (kg/m^3)</t>
  </si>
  <si>
    <t>μ (kg/m s)</t>
  </si>
  <si>
    <t>Power Output (W)</t>
  </si>
  <si>
    <t>Power Input (W)</t>
  </si>
  <si>
    <t>Q (m^3/s)</t>
  </si>
  <si>
    <t>Water Density (kg/m^3)</t>
  </si>
  <si>
    <t>PT1 (m)</t>
  </si>
  <si>
    <t>PT2 (m)</t>
  </si>
  <si>
    <t>A2 (m^2)</t>
  </si>
  <si>
    <t>ΔP1 (Pa)</t>
  </si>
  <si>
    <t>ΔP2 (Pa)</t>
  </si>
  <si>
    <t>Cp</t>
  </si>
  <si>
    <t>Cw</t>
  </si>
  <si>
    <t>Cq</t>
  </si>
  <si>
    <t>Re2</t>
  </si>
  <si>
    <t>Re3</t>
  </si>
  <si>
    <t>Cd2</t>
  </si>
  <si>
    <t>Cd3</t>
  </si>
  <si>
    <t>Efficiency</t>
  </si>
  <si>
    <t>Cp Uncertainty (±)</t>
  </si>
  <si>
    <t>Cq Uncertainty (±)</t>
  </si>
  <si>
    <t>η Uncertainty (±)</t>
  </si>
  <si>
    <t>Re Uncertainty (±)</t>
  </si>
  <si>
    <r>
      <t>Cw Uncertainty (</t>
    </r>
    <r>
      <rPr>
        <b/>
        <sz val="11"/>
        <color theme="0"/>
        <rFont val="Calibri"/>
        <family val="2"/>
      </rPr>
      <t>±</t>
    </r>
    <r>
      <rPr>
        <b/>
        <sz val="11"/>
        <color theme="0"/>
        <rFont val="Calibri"/>
        <family val="2"/>
        <scheme val="minor"/>
      </rPr>
      <t>)</t>
    </r>
  </si>
  <si>
    <t xml:space="preserve">N Uncertainty (± RPM) </t>
  </si>
  <si>
    <t>Scale Uncertainty (± lbf)</t>
  </si>
  <si>
    <t>HP Uncertainty (±hp)</t>
  </si>
  <si>
    <t>Q Uncertainty (±m^3/s)</t>
  </si>
  <si>
    <t>PT1 Uncertainty (± in h20)</t>
  </si>
  <si>
    <r>
      <t>N (</t>
    </r>
    <r>
      <rPr>
        <sz val="11"/>
        <color theme="1"/>
        <rFont val="Calibri"/>
        <family val="2"/>
      </rPr>
      <t>±RPM)</t>
    </r>
  </si>
  <si>
    <r>
      <t>Scale Reading (</t>
    </r>
    <r>
      <rPr>
        <sz val="11"/>
        <color theme="1"/>
        <rFont val="Calibri"/>
        <family val="2"/>
      </rPr>
      <t>±lb)</t>
    </r>
  </si>
  <si>
    <r>
      <t>Pressure (</t>
    </r>
    <r>
      <rPr>
        <sz val="11"/>
        <color theme="1"/>
        <rFont val="Calibri"/>
        <family val="2"/>
      </rPr>
      <t>±in)</t>
    </r>
  </si>
  <si>
    <r>
      <t>Temperature (</t>
    </r>
    <r>
      <rPr>
        <sz val="11"/>
        <color theme="1"/>
        <rFont val="Calibri"/>
        <family val="2"/>
      </rPr>
      <t>±F)</t>
    </r>
  </si>
  <si>
    <r>
      <t>Diameter (</t>
    </r>
    <r>
      <rPr>
        <sz val="11"/>
        <color theme="1"/>
        <rFont val="Calibri"/>
        <family val="2"/>
      </rPr>
      <t>±in)</t>
    </r>
  </si>
  <si>
    <t>Value</t>
  </si>
  <si>
    <t>Parameter</t>
  </si>
  <si>
    <t>Cw (±)</t>
  </si>
  <si>
    <t>Cp (±)</t>
  </si>
  <si>
    <t>Cq (±)</t>
  </si>
  <si>
    <t>η  (±)</t>
  </si>
  <si>
    <t>Re (±)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</si>
</sst>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Compression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Efficiency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355114513351815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Sheet1!$F$30:$F$32</c:f>
              <c:numCache>
                <c:formatCode>0.000</c:formatCode>
                <c:ptCount val="3"/>
                <c:pt idx="0">
                  <c:v>0.13850076361803615</c:v>
                </c:pt>
                <c:pt idx="1">
                  <c:v>0.22737781903208601</c:v>
                </c:pt>
                <c:pt idx="2">
                  <c:v>0.28063523803604706</c:v>
                </c:pt>
              </c:numCache>
            </c:numRef>
          </c:yVal>
          <c:smooth val="0"/>
        </c:ser>
        <c:ser>
          <c:idx val="2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Sheet1!$F$33:$F$35</c:f>
              <c:numCache>
                <c:formatCode>0.000</c:formatCode>
                <c:ptCount val="3"/>
                <c:pt idx="0">
                  <c:v>1.3850076361803616</c:v>
                </c:pt>
                <c:pt idx="1">
                  <c:v>0.44741126561577843</c:v>
                </c:pt>
                <c:pt idx="2">
                  <c:v>0.49197678125067434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5232"/>
        <c:axId val="96611712"/>
      </c:scatterChart>
      <c:valAx>
        <c:axId val="776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6611712"/>
        <c:crosses val="autoZero"/>
        <c:crossBetween val="midCat"/>
      </c:valAx>
      <c:valAx>
        <c:axId val="9661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695232"/>
        <c:crosses val="autoZero"/>
        <c:crossBetween val="midCat"/>
      </c:valAx>
    </c:plotArea>
    <c:legend>
      <c:legendPos val="r"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 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599017115383795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Sheet1!$B$27:$B$29</c:f>
              <c:numCache>
                <c:formatCode>0.000000</c:formatCode>
                <c:ptCount val="3"/>
                <c:pt idx="0">
                  <c:v>3.7543283335532624E-4</c:v>
                </c:pt>
                <c:pt idx="1">
                  <c:v>3.6091592067524444E-4</c:v>
                </c:pt>
                <c:pt idx="2">
                  <c:v>3.508425306132502E-4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Sheet1!$B$30:$B$32</c:f>
              <c:numCache>
                <c:formatCode>0.000000</c:formatCode>
                <c:ptCount val="3"/>
                <c:pt idx="0">
                  <c:v>3.8267574364567045E-4</c:v>
                </c:pt>
                <c:pt idx="1">
                  <c:v>3.1772531751768856E-4</c:v>
                </c:pt>
                <c:pt idx="2">
                  <c:v>3.2888671592087111E-4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Sheet1!$B$33:$B$35</c:f>
              <c:numCache>
                <c:formatCode>0.000000</c:formatCode>
                <c:ptCount val="3"/>
                <c:pt idx="0">
                  <c:v>7.6535148729134082E-5</c:v>
                </c:pt>
                <c:pt idx="1">
                  <c:v>2.3500785595087558E-4</c:v>
                </c:pt>
                <c:pt idx="2">
                  <c:v>2.2763790873205791E-4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6272"/>
        <c:axId val="146934016"/>
      </c:scatterChart>
      <c:valAx>
        <c:axId val="1441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934016"/>
        <c:crosses val="autoZero"/>
        <c:crossBetween val="midCat"/>
      </c:valAx>
      <c:valAx>
        <c:axId val="14693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Cw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144166272"/>
        <c:crosses val="autoZero"/>
        <c:crossBetween val="midCat"/>
      </c:valAx>
    </c:plotArea>
    <c:legend>
      <c:legendPos val="r"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Pressure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Coefficient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5746268321346972E-2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Sheet1!$C$27:$C$29</c:f>
              <c:numCache>
                <c:formatCode>0.0000</c:formatCode>
                <c:ptCount val="3"/>
                <c:pt idx="0">
                  <c:v>8.0454681102905851E-2</c:v>
                </c:pt>
                <c:pt idx="1">
                  <c:v>8.8392833088525802E-2</c:v>
                </c:pt>
                <c:pt idx="2">
                  <c:v>0.1060301520279079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Sheet1!$C$30:$C$32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9.4228996183025299E-2</c:v>
                </c:pt>
                <c:pt idx="2">
                  <c:v>0.10907606579332753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Sheet1!$C$33:$C$35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9.4082527505454927E-2</c:v>
                </c:pt>
                <c:pt idx="2">
                  <c:v>0.10035247916010605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4160"/>
        <c:axId val="167235584"/>
      </c:scatterChart>
      <c:valAx>
        <c:axId val="1533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235584"/>
        <c:crosses val="autoZero"/>
        <c:crossBetween val="midCat"/>
      </c:valAx>
      <c:valAx>
        <c:axId val="16723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Cp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53324160"/>
        <c:crosses val="autoZero"/>
        <c:crossBetween val="midCat"/>
      </c:valAx>
    </c:plotArea>
    <c:legend>
      <c:legendPos val="r"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Flow Coefficient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55023654888559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Sheet1!$D$27:$D$29</c:f>
              <c:numCache>
                <c:formatCode>0.000</c:formatCode>
                <c:ptCount val="3"/>
                <c:pt idx="0">
                  <c:v>5.1277508665700813E-2</c:v>
                </c:pt>
                <c:pt idx="1">
                  <c:v>5.268274624216409E-2</c:v>
                </c:pt>
                <c:pt idx="2">
                  <c:v>5.7280314880028292E-2</c:v>
                </c:pt>
              </c:numCache>
            </c:numRef>
          </c:yVal>
          <c:smooth val="0"/>
        </c:ser>
        <c:ser>
          <c:idx val="4"/>
          <c:order val="1"/>
          <c:tx>
            <c:v>X = 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Sheet1!$D$30:$D$32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5.4394145820102442E-2</c:v>
                </c:pt>
                <c:pt idx="2">
                  <c:v>5.8097231466633044E-2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Sheet1!$D$33:$D$35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5.4351854501559688E-2</c:v>
                </c:pt>
                <c:pt idx="2">
                  <c:v>5.5725600564348408E-2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9056"/>
        <c:axId val="177715072"/>
      </c:scatterChart>
      <c:valAx>
        <c:axId val="1760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715072"/>
        <c:crosses val="autoZero"/>
        <c:crossBetween val="midCat"/>
      </c:valAx>
      <c:valAx>
        <c:axId val="17771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Cq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76029056"/>
        <c:crosses val="autoZero"/>
        <c:crossBetween val="midCat"/>
      </c:valAx>
    </c:plotArea>
    <c:legend>
      <c:legendPos val="r"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R14" sqref="R14:S19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22.28515625" bestFit="1" customWidth="1"/>
    <col min="4" max="5" width="23.85546875" bestFit="1" customWidth="1"/>
    <col min="6" max="6" width="9.7109375" bestFit="1" customWidth="1"/>
    <col min="7" max="8" width="17.42578125" bestFit="1" customWidth="1"/>
    <col min="11" max="11" width="22.42578125" bestFit="1" customWidth="1"/>
    <col min="12" max="12" width="11" bestFit="1" customWidth="1"/>
    <col min="14" max="14" width="21.5703125" bestFit="1" customWidth="1"/>
    <col min="15" max="15" width="22.5703125" bestFit="1" customWidth="1"/>
    <col min="16" max="16" width="19.7109375" bestFit="1" customWidth="1"/>
    <col min="17" max="17" width="22" bestFit="1" customWidth="1"/>
    <col min="18" max="18" width="24" bestFit="1" customWidth="1"/>
    <col min="19" max="21" width="17.7109375" bestFit="1" customWidth="1"/>
    <col min="22" max="22" width="16.42578125" bestFit="1" customWidth="1"/>
    <col min="23" max="23" width="17.7109375" bestFit="1" customWidth="1"/>
  </cols>
  <sheetData>
    <row r="1" spans="1:2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19</v>
      </c>
      <c r="G1" s="10" t="s">
        <v>20</v>
      </c>
    </row>
    <row r="2" spans="1:23" x14ac:dyDescent="0.25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2">
        <f t="shared" ref="F2:F10" si="0">K17*0.0254</f>
        <v>8.8899999999999986E-3</v>
      </c>
      <c r="G2" s="2">
        <f t="shared" ref="G2:G10" si="1">L17*0.0254</f>
        <v>0</v>
      </c>
      <c r="K2" s="10" t="s">
        <v>12</v>
      </c>
      <c r="L2" s="5">
        <f>(70-32)*(5/9)+273</f>
        <v>294.11111111111109</v>
      </c>
      <c r="N2" s="10" t="s">
        <v>37</v>
      </c>
      <c r="O2" s="10" t="s">
        <v>38</v>
      </c>
      <c r="P2" s="10" t="s">
        <v>39</v>
      </c>
      <c r="Q2" s="10" t="s">
        <v>40</v>
      </c>
      <c r="R2" s="10" t="s">
        <v>41</v>
      </c>
      <c r="S2" s="10" t="s">
        <v>36</v>
      </c>
      <c r="T2" s="10" t="s">
        <v>32</v>
      </c>
      <c r="U2" s="10" t="s">
        <v>33</v>
      </c>
      <c r="V2" s="11" t="s">
        <v>34</v>
      </c>
      <c r="W2" s="11" t="s">
        <v>35</v>
      </c>
    </row>
    <row r="3" spans="1:23" x14ac:dyDescent="0.25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2">D3*(B3/4000)</f>
        <v>0.52674999999999994</v>
      </c>
      <c r="F3" s="2">
        <f t="shared" si="0"/>
        <v>3.5559999999999994E-2</v>
      </c>
      <c r="G3" s="2">
        <f t="shared" si="1"/>
        <v>0</v>
      </c>
      <c r="K3" s="10" t="s">
        <v>9</v>
      </c>
      <c r="L3" s="1">
        <v>100250</v>
      </c>
      <c r="N3" s="8">
        <f t="shared" ref="N3:N11" si="3">N_error/B2</f>
        <v>7.9239302694136295E-4</v>
      </c>
      <c r="O3" s="2">
        <f t="shared" ref="O3:O11" si="4">Scale_error/D2</f>
        <v>0.1</v>
      </c>
      <c r="P3" s="2">
        <f>E2*(N3+O3)</f>
        <v>7.9500000000000005E-3</v>
      </c>
      <c r="Q3" s="8">
        <f>G16*((0.05/9)*2*R3^0.5)</f>
        <v>4.7597054098993171E-4</v>
      </c>
      <c r="R3" s="1">
        <f t="shared" ref="R3:R11" si="5">Pressure_error*K17</f>
        <v>1.7499999999999998E-2</v>
      </c>
      <c r="S3" s="6">
        <f>B27*(P3+R3*2+N3*3+(0.5/18)*5)</f>
        <v>6.9160760347446702E-5</v>
      </c>
      <c r="T3" s="2">
        <f>C27*(R3+R3+N3*2+(0.05/18)*2)</f>
        <v>3.3903877457548714E-3</v>
      </c>
      <c r="U3" s="8">
        <f>D27*(Q3+N3+(0.05/9)*3)</f>
        <v>9.1966366827420304E-4</v>
      </c>
      <c r="V3" s="9">
        <f>F27*(2*(P3/100))</f>
        <v>0</v>
      </c>
      <c r="W3" s="9">
        <f>E27*(Q3+(0.05/9)*2)</f>
        <v>2503.2824416451367</v>
      </c>
    </row>
    <row r="4" spans="1:23" x14ac:dyDescent="0.25">
      <c r="A4" s="1">
        <f t="shared" ref="A4:A10" si="6">A3+1</f>
        <v>3</v>
      </c>
      <c r="B4" s="1">
        <v>1823</v>
      </c>
      <c r="C4" s="1">
        <v>3</v>
      </c>
      <c r="D4" s="1">
        <v>3.9</v>
      </c>
      <c r="E4" s="1">
        <f t="shared" si="2"/>
        <v>1.7774249999999998</v>
      </c>
      <c r="F4" s="2">
        <f t="shared" si="0"/>
        <v>9.7790000000000002E-2</v>
      </c>
      <c r="G4" s="2">
        <f t="shared" si="1"/>
        <v>0</v>
      </c>
      <c r="K4" s="10" t="s">
        <v>13</v>
      </c>
      <c r="L4" s="2">
        <f>P_static/(287*temp)</f>
        <v>1.1876570543998928</v>
      </c>
      <c r="N4" s="8">
        <f t="shared" si="3"/>
        <v>4.1528239202657808E-4</v>
      </c>
      <c r="O4" s="2">
        <f t="shared" si="4"/>
        <v>2.8571428571428574E-2</v>
      </c>
      <c r="P4" s="2">
        <f t="shared" ref="P4:P11" si="7">E3*(N4+O4)</f>
        <v>1.5268749999999999E-2</v>
      </c>
      <c r="Q4" s="8">
        <f t="shared" ref="Q4:Q11" si="8">G17*((0.05/9)*2*R4^0.5)</f>
        <v>1.8661591836932796E-3</v>
      </c>
      <c r="R4" s="1">
        <f t="shared" si="5"/>
        <v>6.9999999999999993E-2</v>
      </c>
      <c r="S4" s="6">
        <f t="shared" ref="S4:S11" si="9">B28*(P4+R4*2+N4*3+(0.5/18)*5)</f>
        <v>1.0661582114381487E-4</v>
      </c>
      <c r="T4" s="2">
        <f t="shared" ref="T4:T11" si="10">C28*(R4+R4+N4*2+(0.05/18)*2)</f>
        <v>1.2939483901655885E-2</v>
      </c>
      <c r="U4" s="8">
        <f t="shared" ref="U4:U11" si="11">D28*(Q4+N4+(0.05/9)*3)</f>
        <v>9.9823837830270712E-4</v>
      </c>
      <c r="V4" s="9">
        <f t="shared" ref="V4:V11" si="12">F28*(2*(P4/100))</f>
        <v>0</v>
      </c>
      <c r="W4" s="9">
        <f t="shared" ref="W4:W11" si="13">E28*(Q4+(0.05/9)*2)</f>
        <v>5496.139571934822</v>
      </c>
    </row>
    <row r="5" spans="1:23" x14ac:dyDescent="0.25">
      <c r="A5" s="1">
        <f t="shared" si="6"/>
        <v>4</v>
      </c>
      <c r="B5" s="1">
        <v>625</v>
      </c>
      <c r="C5" s="1">
        <v>2</v>
      </c>
      <c r="D5" s="1">
        <v>0.5</v>
      </c>
      <c r="E5" s="1">
        <f t="shared" si="2"/>
        <v>7.8125E-2</v>
      </c>
      <c r="F5" s="2">
        <f t="shared" si="0"/>
        <v>8.8899999999999986E-3</v>
      </c>
      <c r="G5" s="2">
        <f t="shared" si="1"/>
        <v>2.5400000000000002E-3</v>
      </c>
      <c r="K5" s="10" t="s">
        <v>18</v>
      </c>
      <c r="L5" s="1">
        <v>1000</v>
      </c>
      <c r="N5" s="8">
        <f t="shared" si="3"/>
        <v>2.7427317608337906E-4</v>
      </c>
      <c r="O5" s="2">
        <f t="shared" si="4"/>
        <v>1.2820512820512822E-2</v>
      </c>
      <c r="P5" s="2">
        <f t="shared" si="7"/>
        <v>2.3275000000000001E-2</v>
      </c>
      <c r="Q5" s="8">
        <f t="shared" si="8"/>
        <v>5.094624807284274E-3</v>
      </c>
      <c r="R5" s="1">
        <f t="shared" si="5"/>
        <v>0.1925</v>
      </c>
      <c r="S5" s="6">
        <f t="shared" si="9"/>
        <v>1.9225704352349431E-4</v>
      </c>
      <c r="T5" s="2">
        <f t="shared" si="10"/>
        <v>4.1468827384014181E-2</v>
      </c>
      <c r="U5" s="8">
        <f t="shared" si="11"/>
        <v>1.2622040817131862E-3</v>
      </c>
      <c r="V5" s="9">
        <f t="shared" si="12"/>
        <v>0</v>
      </c>
      <c r="W5" s="9">
        <f t="shared" si="13"/>
        <v>11299.008433154251</v>
      </c>
    </row>
    <row r="6" spans="1:23" x14ac:dyDescent="0.25">
      <c r="A6" s="1">
        <f t="shared" si="6"/>
        <v>5</v>
      </c>
      <c r="B6" s="1">
        <v>1227</v>
      </c>
      <c r="C6" s="1">
        <v>2</v>
      </c>
      <c r="D6" s="1">
        <v>1.6</v>
      </c>
      <c r="E6" s="1">
        <f t="shared" si="2"/>
        <v>0.49080000000000007</v>
      </c>
      <c r="F6" s="2">
        <f t="shared" si="0"/>
        <v>3.9370000000000002E-2</v>
      </c>
      <c r="G6" s="2">
        <f t="shared" si="1"/>
        <v>1.2699999999999999E-2</v>
      </c>
      <c r="K6" s="11" t="s">
        <v>14</v>
      </c>
      <c r="L6" s="1">
        <f>1.983*10^-5</f>
        <v>1.9830000000000002E-5</v>
      </c>
      <c r="N6" s="8">
        <f t="shared" si="3"/>
        <v>8.0000000000000004E-4</v>
      </c>
      <c r="O6" s="2">
        <f t="shared" si="4"/>
        <v>0.1</v>
      </c>
      <c r="P6" s="2">
        <f t="shared" si="7"/>
        <v>7.8750000000000001E-3</v>
      </c>
      <c r="Q6" s="8">
        <f t="shared" si="8"/>
        <v>4.7597054098993171E-4</v>
      </c>
      <c r="R6" s="1">
        <f t="shared" si="5"/>
        <v>1.7499999999999998E-2</v>
      </c>
      <c r="S6" s="6">
        <f t="shared" si="9"/>
        <v>7.0475053133234187E-5</v>
      </c>
      <c r="T6" s="2">
        <f t="shared" si="10"/>
        <v>3.4570432960352106E-3</v>
      </c>
      <c r="U6" s="8">
        <f t="shared" si="11"/>
        <v>9.2888625075618803E-4</v>
      </c>
      <c r="V6" s="7">
        <f t="shared" si="12"/>
        <v>2.1813870269840695E-5</v>
      </c>
      <c r="W6" s="9">
        <f t="shared" si="13"/>
        <v>2503.2824416451367</v>
      </c>
    </row>
    <row r="7" spans="1:23" x14ac:dyDescent="0.25">
      <c r="A7" s="1">
        <f t="shared" si="6"/>
        <v>6</v>
      </c>
      <c r="B7" s="1">
        <v>1809</v>
      </c>
      <c r="C7" s="1">
        <v>2</v>
      </c>
      <c r="D7" s="1">
        <v>3.6</v>
      </c>
      <c r="E7" s="1">
        <f t="shared" si="2"/>
        <v>1.6280999999999999</v>
      </c>
      <c r="F7" s="2">
        <f t="shared" si="0"/>
        <v>9.9059999999999995E-2</v>
      </c>
      <c r="G7" s="2">
        <f t="shared" si="1"/>
        <v>3.3020000000000001E-2</v>
      </c>
      <c r="K7" s="11" t="s">
        <v>21</v>
      </c>
      <c r="L7" s="3">
        <f>((PI()*9^2)/4)*0.00064516</f>
        <v>4.1043305806897315E-2</v>
      </c>
      <c r="N7" s="8">
        <f t="shared" si="3"/>
        <v>4.0749796251018743E-4</v>
      </c>
      <c r="O7" s="2">
        <f t="shared" si="4"/>
        <v>3.125E-2</v>
      </c>
      <c r="P7" s="2">
        <f t="shared" si="7"/>
        <v>1.5537500000000003E-2</v>
      </c>
      <c r="Q7" s="8">
        <f t="shared" si="8"/>
        <v>2.0661048105175598E-3</v>
      </c>
      <c r="R7" s="1">
        <f t="shared" si="5"/>
        <v>7.7500000000000013E-2</v>
      </c>
      <c r="S7" s="6">
        <f t="shared" si="9"/>
        <v>9.8701014916653093E-5</v>
      </c>
      <c r="T7" s="2">
        <f t="shared" si="10"/>
        <v>1.5205785079515881E-2</v>
      </c>
      <c r="U7" s="8">
        <f t="shared" si="11"/>
        <v>1.0411186069387885E-3</v>
      </c>
      <c r="V7" s="7">
        <f t="shared" si="12"/>
        <v>7.0657657264220735E-5</v>
      </c>
      <c r="W7" s="9">
        <f t="shared" si="13"/>
        <v>5872.1872552389832</v>
      </c>
    </row>
    <row r="8" spans="1:23" x14ac:dyDescent="0.25">
      <c r="A8" s="1">
        <f t="shared" si="6"/>
        <v>7</v>
      </c>
      <c r="B8" s="1">
        <v>625</v>
      </c>
      <c r="C8" s="1">
        <v>1</v>
      </c>
      <c r="D8" s="1">
        <v>0.1</v>
      </c>
      <c r="E8" s="1">
        <f t="shared" si="2"/>
        <v>1.5625E-2</v>
      </c>
      <c r="F8" s="2">
        <f t="shared" si="0"/>
        <v>8.8899999999999986E-3</v>
      </c>
      <c r="G8" s="2">
        <f t="shared" si="1"/>
        <v>5.0800000000000003E-3</v>
      </c>
      <c r="K8" s="11" t="s">
        <v>10</v>
      </c>
      <c r="L8" s="1">
        <v>0.5</v>
      </c>
      <c r="N8" s="8">
        <f t="shared" si="3"/>
        <v>2.7639579878385847E-4</v>
      </c>
      <c r="O8" s="2">
        <f t="shared" si="4"/>
        <v>1.388888888888889E-2</v>
      </c>
      <c r="P8" s="2">
        <f t="shared" si="7"/>
        <v>2.30625E-2</v>
      </c>
      <c r="Q8" s="8">
        <f t="shared" si="8"/>
        <v>5.1607887658204326E-3</v>
      </c>
      <c r="R8" s="1">
        <f t="shared" si="5"/>
        <v>0.19500000000000001</v>
      </c>
      <c r="S8" s="6">
        <f t="shared" si="9"/>
        <v>1.818021883592993E-4</v>
      </c>
      <c r="T8" s="2">
        <f t="shared" si="10"/>
        <v>4.3205940135360291E-2</v>
      </c>
      <c r="U8" s="8">
        <f t="shared" si="11"/>
        <v>1.2841725612871707E-3</v>
      </c>
      <c r="V8" s="7">
        <f t="shared" si="12"/>
        <v>1.2944300354412672E-4</v>
      </c>
      <c r="W8" s="9">
        <f t="shared" si="13"/>
        <v>11418.571542935591</v>
      </c>
    </row>
    <row r="9" spans="1:23" x14ac:dyDescent="0.25">
      <c r="A9" s="1">
        <f t="shared" si="6"/>
        <v>8</v>
      </c>
      <c r="B9" s="1">
        <v>1286</v>
      </c>
      <c r="C9" s="1">
        <v>1</v>
      </c>
      <c r="D9" s="1">
        <v>1.3</v>
      </c>
      <c r="E9" s="1">
        <f t="shared" si="2"/>
        <v>0.41795000000000004</v>
      </c>
      <c r="F9" s="2">
        <f t="shared" si="0"/>
        <v>4.3179999999999996E-2</v>
      </c>
      <c r="G9" s="2">
        <f t="shared" si="1"/>
        <v>2.0320000000000001E-2</v>
      </c>
      <c r="K9" s="11" t="s">
        <v>11</v>
      </c>
      <c r="L9" s="9">
        <v>210000</v>
      </c>
      <c r="N9" s="8">
        <f t="shared" si="3"/>
        <v>8.0000000000000004E-4</v>
      </c>
      <c r="O9" s="2">
        <f t="shared" si="4"/>
        <v>0.5</v>
      </c>
      <c r="P9" s="2">
        <f t="shared" si="7"/>
        <v>7.8250000000000004E-3</v>
      </c>
      <c r="Q9" s="8">
        <f t="shared" si="8"/>
        <v>4.7597054098993171E-4</v>
      </c>
      <c r="R9" s="1">
        <f t="shared" si="5"/>
        <v>1.7499999999999998E-2</v>
      </c>
      <c r="S9" s="6">
        <f t="shared" si="9"/>
        <v>1.4091183869210377E-5</v>
      </c>
      <c r="T9" s="2">
        <f t="shared" si="10"/>
        <v>3.4570432960352106E-3</v>
      </c>
      <c r="U9" s="8">
        <f t="shared" si="11"/>
        <v>9.2888625075618803E-4</v>
      </c>
      <c r="V9" s="7">
        <f t="shared" si="12"/>
        <v>2.1675369506222661E-4</v>
      </c>
      <c r="W9" s="9">
        <f t="shared" si="13"/>
        <v>2503.2824416451367</v>
      </c>
    </row>
    <row r="10" spans="1:23" x14ac:dyDescent="0.25">
      <c r="A10" s="1">
        <f t="shared" si="6"/>
        <v>9</v>
      </c>
      <c r="B10" s="1">
        <v>1812</v>
      </c>
      <c r="C10" s="1">
        <v>1</v>
      </c>
      <c r="D10" s="1">
        <v>2.5</v>
      </c>
      <c r="E10" s="1">
        <f t="shared" si="2"/>
        <v>1.1325000000000001</v>
      </c>
      <c r="F10" s="2">
        <f t="shared" si="0"/>
        <v>9.1439999999999994E-2</v>
      </c>
      <c r="G10" s="2">
        <f t="shared" si="1"/>
        <v>4.1909999999999996E-2</v>
      </c>
      <c r="K10" s="11" t="s">
        <v>27</v>
      </c>
      <c r="L10" s="1">
        <v>430000</v>
      </c>
      <c r="N10" s="8">
        <f t="shared" si="3"/>
        <v>3.8880248833592535E-4</v>
      </c>
      <c r="O10" s="2">
        <f t="shared" si="4"/>
        <v>3.8461538461538464E-2</v>
      </c>
      <c r="P10" s="2">
        <f t="shared" si="7"/>
        <v>1.6237500000000002E-2</v>
      </c>
      <c r="Q10" s="8">
        <f t="shared" si="8"/>
        <v>2.2660504373418402E-3</v>
      </c>
      <c r="R10" s="1">
        <f t="shared" si="5"/>
        <v>8.5000000000000006E-2</v>
      </c>
      <c r="S10" s="6">
        <f t="shared" si="9"/>
        <v>7.6681370483344923E-5</v>
      </c>
      <c r="T10" s="2">
        <f t="shared" si="10"/>
        <v>1.6589869425897085E-2</v>
      </c>
      <c r="U10" s="8">
        <f t="shared" si="11"/>
        <v>1.0501604216321394E-3</v>
      </c>
      <c r="V10" s="7">
        <f t="shared" si="12"/>
        <v>1.4529680850872408E-4</v>
      </c>
      <c r="W10" s="9">
        <f t="shared" si="13"/>
        <v>6243.078808693991</v>
      </c>
    </row>
    <row r="11" spans="1:23" x14ac:dyDescent="0.25">
      <c r="K11" s="11" t="s">
        <v>28</v>
      </c>
      <c r="L11" s="1">
        <v>690000</v>
      </c>
      <c r="N11" s="8">
        <f t="shared" si="3"/>
        <v>2.7593818984547461E-4</v>
      </c>
      <c r="O11" s="2">
        <f t="shared" si="4"/>
        <v>0.02</v>
      </c>
      <c r="P11" s="2">
        <f t="shared" si="7"/>
        <v>2.2962500000000004E-2</v>
      </c>
      <c r="Q11" s="8">
        <f t="shared" si="8"/>
        <v>4.7638050146034767E-3</v>
      </c>
      <c r="R11" s="1">
        <f t="shared" si="5"/>
        <v>0.18000000000000002</v>
      </c>
      <c r="S11" s="6">
        <f t="shared" si="9"/>
        <v>1.1898160081301375E-4</v>
      </c>
      <c r="T11" s="2">
        <f t="shared" si="10"/>
        <v>3.6739788433641771E-2</v>
      </c>
      <c r="U11" s="8">
        <f t="shared" si="11"/>
        <v>1.2096027261638183E-3</v>
      </c>
      <c r="V11" s="7">
        <f t="shared" si="12"/>
        <v>2.2594033678937224E-4</v>
      </c>
      <c r="W11" s="9">
        <f t="shared" si="13"/>
        <v>10702.959948447857</v>
      </c>
    </row>
    <row r="12" spans="1:23" x14ac:dyDescent="0.25">
      <c r="K12" s="10" t="s">
        <v>8</v>
      </c>
      <c r="L12" s="3">
        <f>0.5959+0.0312*beta^2.1-0.184*beta^8+0.029*beta^2.5*(10^6/Re)+(0.09*1*beta^4/(1-beta^5))-0.037*0.5*beta^3</f>
        <v>0.63036487877356873</v>
      </c>
    </row>
    <row r="13" spans="1:23" x14ac:dyDescent="0.25">
      <c r="K13" s="10" t="s">
        <v>29</v>
      </c>
      <c r="L13" s="3">
        <f>0.5959+0.0312*beta^2.1-0.184*beta^8+0.029*beta^2.5*(10^6/Re2_)+(0.09*1*beta^4/(1-beta^5))-0.037*0.5*beta^3</f>
        <v>0.61787500816457053</v>
      </c>
    </row>
    <row r="14" spans="1:23" x14ac:dyDescent="0.25">
      <c r="K14" s="10" t="s">
        <v>30</v>
      </c>
      <c r="L14" s="3">
        <f>0.5959+0.0312*beta^2.1-0.184*beta^8+0.029*beta^2.5*(10^6/Re3_)+(0.09*1*beta^4/(1-beta^5))-0.037*0.5*beta^3</f>
        <v>0.61338260411153156</v>
      </c>
      <c r="O14">
        <v>5</v>
      </c>
      <c r="P14">
        <f>0.05/9</f>
        <v>5.5555555555555558E-3</v>
      </c>
      <c r="R14" s="12" t="s">
        <v>48</v>
      </c>
      <c r="S14" s="12" t="s">
        <v>47</v>
      </c>
    </row>
    <row r="15" spans="1:23" x14ac:dyDescent="0.25">
      <c r="A15" s="10" t="s">
        <v>0</v>
      </c>
      <c r="B15" s="10" t="s">
        <v>4</v>
      </c>
      <c r="C15" s="10" t="s">
        <v>7</v>
      </c>
      <c r="D15" s="10" t="s">
        <v>16</v>
      </c>
      <c r="E15" s="10" t="s">
        <v>22</v>
      </c>
      <c r="F15" s="10" t="s">
        <v>23</v>
      </c>
      <c r="G15" s="10" t="s">
        <v>17</v>
      </c>
      <c r="H15" s="10" t="s">
        <v>15</v>
      </c>
      <c r="R15" s="1" t="s">
        <v>49</v>
      </c>
      <c r="S15" s="6">
        <f>AVERAGE(S$3:S$11)</f>
        <v>1.031962262877235E-4</v>
      </c>
    </row>
    <row r="16" spans="1:23" x14ac:dyDescent="0.25">
      <c r="A16" s="1">
        <v>1</v>
      </c>
      <c r="B16" s="1">
        <v>7.8875000000000001E-2</v>
      </c>
      <c r="C16" s="5">
        <f>B16*550</f>
        <v>43.381250000000001</v>
      </c>
      <c r="D16" s="4">
        <f>C16*1.355818</f>
        <v>58.817079612500002</v>
      </c>
      <c r="E16" s="5">
        <f t="shared" ref="E16:F24" si="14">9.81*F2*density_w</f>
        <v>87.210899999999995</v>
      </c>
      <c r="F16" s="5">
        <f t="shared" si="14"/>
        <v>0</v>
      </c>
      <c r="G16" s="4">
        <f>Cd*Area2*SQRT((2*E16)/density)*SQRT(1/(1-beta^4))</f>
        <v>0.3238199184477174</v>
      </c>
      <c r="H16" s="1">
        <f>G16*F16</f>
        <v>0</v>
      </c>
      <c r="K16" s="1" t="s">
        <v>5</v>
      </c>
      <c r="L16" s="1" t="s">
        <v>6</v>
      </c>
      <c r="R16" s="1" t="s">
        <v>50</v>
      </c>
      <c r="S16" s="2">
        <f>AVERAGE(T3:T11)</f>
        <v>1.9606018744212268E-2</v>
      </c>
    </row>
    <row r="17" spans="1:19" x14ac:dyDescent="0.25">
      <c r="A17" s="1">
        <f>A16+1</f>
        <v>2</v>
      </c>
      <c r="B17" s="1">
        <v>0.52674999999999994</v>
      </c>
      <c r="C17" s="5">
        <f t="shared" ref="C17:C24" si="15">B17*550</f>
        <v>289.71249999999998</v>
      </c>
      <c r="D17" s="4">
        <f t="shared" ref="D17:D24" si="16">C17*1.355818</f>
        <v>392.79742232499996</v>
      </c>
      <c r="E17" s="5">
        <f t="shared" si="14"/>
        <v>348.84359999999998</v>
      </c>
      <c r="F17" s="5">
        <f t="shared" si="14"/>
        <v>0</v>
      </c>
      <c r="G17" s="4">
        <f>Cd2_*Area2*SQRT((2*E17)/density)*SQRT(1/(1-beta^4))</f>
        <v>0.63480768517436414</v>
      </c>
      <c r="H17" s="1">
        <f t="shared" ref="H17:H24" si="17">G17*F17</f>
        <v>0</v>
      </c>
      <c r="K17" s="1">
        <v>0.35</v>
      </c>
      <c r="L17" s="1">
        <v>0</v>
      </c>
      <c r="R17" s="1" t="s">
        <v>51</v>
      </c>
      <c r="S17" s="8">
        <f>AVERAGE(U3:U11)</f>
        <v>1.0692147717582656E-3</v>
      </c>
    </row>
    <row r="18" spans="1:19" x14ac:dyDescent="0.25">
      <c r="A18" s="1">
        <f t="shared" ref="A18:A24" si="18">A17+1</f>
        <v>3</v>
      </c>
      <c r="B18" s="1">
        <v>1.7774249999999998</v>
      </c>
      <c r="C18" s="5">
        <f t="shared" si="15"/>
        <v>977.5837499999999</v>
      </c>
      <c r="D18" s="4">
        <f t="shared" si="16"/>
        <v>1325.4256447574999</v>
      </c>
      <c r="E18" s="5">
        <f t="shared" si="14"/>
        <v>959.31990000000008</v>
      </c>
      <c r="F18" s="5">
        <f t="shared" si="14"/>
        <v>0</v>
      </c>
      <c r="G18" s="4">
        <f>Cd3_*Area2*SQRT((2*E18)/density)*SQRT(1/(1-beta^4))</f>
        <v>1.0450554837906378</v>
      </c>
      <c r="H18" s="1">
        <f t="shared" si="17"/>
        <v>0</v>
      </c>
      <c r="K18" s="1">
        <v>1.4</v>
      </c>
      <c r="L18" s="1">
        <v>0</v>
      </c>
      <c r="R18" s="1" t="s">
        <v>52</v>
      </c>
      <c r="S18" s="7">
        <f>AVERAGE(V3:V11)</f>
        <v>8.9989485715390118E-5</v>
      </c>
    </row>
    <row r="19" spans="1:19" x14ac:dyDescent="0.25">
      <c r="A19" s="1">
        <f t="shared" si="18"/>
        <v>4</v>
      </c>
      <c r="B19" s="1">
        <v>7.8125E-2</v>
      </c>
      <c r="C19" s="5">
        <f t="shared" si="15"/>
        <v>42.96875</v>
      </c>
      <c r="D19" s="4">
        <f t="shared" si="16"/>
        <v>58.257804687499998</v>
      </c>
      <c r="E19" s="5">
        <f t="shared" si="14"/>
        <v>87.210899999999995</v>
      </c>
      <c r="F19" s="5">
        <f t="shared" si="14"/>
        <v>24.917400000000004</v>
      </c>
      <c r="G19" s="4">
        <f>Cd*Area2*SQRT((2*E19)/density)*SQRT(1/(1-beta^4))</f>
        <v>0.3238199184477174</v>
      </c>
      <c r="H19" s="5">
        <f t="shared" si="17"/>
        <v>8.0687504359291555</v>
      </c>
      <c r="K19" s="1">
        <v>3.85</v>
      </c>
      <c r="L19" s="1">
        <v>0</v>
      </c>
      <c r="R19" s="1" t="s">
        <v>53</v>
      </c>
      <c r="S19" s="9">
        <f>AVERAGE(W3:W11)</f>
        <v>6504.6436539267679</v>
      </c>
    </row>
    <row r="20" spans="1:19" x14ac:dyDescent="0.25">
      <c r="A20" s="1">
        <f t="shared" si="18"/>
        <v>5</v>
      </c>
      <c r="B20" s="1">
        <v>0.49080000000000007</v>
      </c>
      <c r="C20" s="5">
        <f t="shared" si="15"/>
        <v>269.94000000000005</v>
      </c>
      <c r="D20" s="4">
        <f t="shared" si="16"/>
        <v>365.98951092000004</v>
      </c>
      <c r="E20" s="5">
        <f t="shared" si="14"/>
        <v>386.21970000000005</v>
      </c>
      <c r="F20" s="5">
        <f t="shared" si="14"/>
        <v>124.587</v>
      </c>
      <c r="G20" s="4">
        <f>Cd2_*Area2*SQRT((2*E20)/density)*SQRT(1/(1-beta^4))</f>
        <v>0.66795008132156197</v>
      </c>
      <c r="H20" s="5">
        <f t="shared" si="17"/>
        <v>83.21789678160944</v>
      </c>
      <c r="K20" s="1">
        <v>0.35</v>
      </c>
      <c r="L20" s="1">
        <v>0.1</v>
      </c>
    </row>
    <row r="21" spans="1:19" x14ac:dyDescent="0.25">
      <c r="A21" s="1">
        <f t="shared" si="18"/>
        <v>6</v>
      </c>
      <c r="B21" s="1">
        <v>1.6280999999999999</v>
      </c>
      <c r="C21" s="5">
        <f t="shared" si="15"/>
        <v>895.45499999999993</v>
      </c>
      <c r="D21" s="4">
        <f t="shared" si="16"/>
        <v>1214.07400719</v>
      </c>
      <c r="E21" s="5">
        <f t="shared" si="14"/>
        <v>971.7786000000001</v>
      </c>
      <c r="F21" s="5">
        <f t="shared" si="14"/>
        <v>323.92619999999999</v>
      </c>
      <c r="G21" s="4">
        <f>Cd3_*Area2*SQRT((2*E21)/density)*SQRT(1/(1-beta^4))</f>
        <v>1.0518196675697835</v>
      </c>
      <c r="H21" s="5">
        <f t="shared" si="17"/>
        <v>340.71194800114318</v>
      </c>
      <c r="K21" s="1">
        <v>1.55</v>
      </c>
      <c r="L21" s="1">
        <v>0.5</v>
      </c>
    </row>
    <row r="22" spans="1:19" x14ac:dyDescent="0.25">
      <c r="A22" s="1">
        <f t="shared" si="18"/>
        <v>7</v>
      </c>
      <c r="B22" s="1">
        <v>1.5625E-2</v>
      </c>
      <c r="C22" s="5">
        <f t="shared" si="15"/>
        <v>8.59375</v>
      </c>
      <c r="D22" s="4">
        <f t="shared" si="16"/>
        <v>11.651560937499999</v>
      </c>
      <c r="E22" s="5">
        <f t="shared" si="14"/>
        <v>87.210899999999995</v>
      </c>
      <c r="F22" s="5">
        <f t="shared" si="14"/>
        <v>49.834800000000008</v>
      </c>
      <c r="G22" s="4">
        <f>Cd*Area2*SQRT((2*E22)/density)*SQRT(1/(1-beta^4))</f>
        <v>0.3238199184477174</v>
      </c>
      <c r="H22" s="5">
        <f t="shared" si="17"/>
        <v>16.137500871858311</v>
      </c>
      <c r="K22" s="1">
        <v>3.9</v>
      </c>
      <c r="L22" s="1">
        <v>1.3</v>
      </c>
    </row>
    <row r="23" spans="1:19" x14ac:dyDescent="0.25">
      <c r="A23" s="1">
        <f t="shared" si="18"/>
        <v>8</v>
      </c>
      <c r="B23" s="1">
        <v>0.41795000000000004</v>
      </c>
      <c r="C23" s="5">
        <f t="shared" si="15"/>
        <v>229.87250000000003</v>
      </c>
      <c r="D23" s="4">
        <f t="shared" si="16"/>
        <v>311.66527320500006</v>
      </c>
      <c r="E23" s="5">
        <f t="shared" si="14"/>
        <v>423.59579999999994</v>
      </c>
      <c r="F23" s="5">
        <f t="shared" si="14"/>
        <v>199.33920000000003</v>
      </c>
      <c r="G23" s="4">
        <f>Cd2_*Area2*SQRT((2*E23)/density)*SQRT(1/(1-beta^4))</f>
        <v>0.69952399895824002</v>
      </c>
      <c r="H23" s="5">
        <f t="shared" si="17"/>
        <v>139.44255433313643</v>
      </c>
      <c r="K23" s="1">
        <v>0.35</v>
      </c>
      <c r="L23" s="1">
        <v>0.2</v>
      </c>
    </row>
    <row r="24" spans="1:19" x14ac:dyDescent="0.25">
      <c r="A24" s="1">
        <f t="shared" si="18"/>
        <v>9</v>
      </c>
      <c r="B24" s="1">
        <v>1.1325000000000001</v>
      </c>
      <c r="C24" s="5">
        <f t="shared" si="15"/>
        <v>622.875</v>
      </c>
      <c r="D24" s="4">
        <f t="shared" si="16"/>
        <v>844.50513675000002</v>
      </c>
      <c r="E24" s="5">
        <f t="shared" si="14"/>
        <v>897.02639999999997</v>
      </c>
      <c r="F24" s="5">
        <f t="shared" si="14"/>
        <v>411.13709999999998</v>
      </c>
      <c r="G24" s="4">
        <f>Cd3_*Area2*SQRT((2*E24)/density)*SQRT(1/(1-beta^4))</f>
        <v>1.0105556490229795</v>
      </c>
      <c r="H24" s="5">
        <f t="shared" si="17"/>
        <v>415.47691892792557</v>
      </c>
      <c r="K24" s="1">
        <v>1.7</v>
      </c>
      <c r="L24" s="1">
        <v>0.8</v>
      </c>
    </row>
    <row r="25" spans="1:19" x14ac:dyDescent="0.25">
      <c r="K25" s="1">
        <v>3.6</v>
      </c>
      <c r="L25" s="1">
        <v>1.65</v>
      </c>
    </row>
    <row r="26" spans="1:19" x14ac:dyDescent="0.25">
      <c r="A26" s="10" t="s">
        <v>0</v>
      </c>
      <c r="B26" s="10" t="s">
        <v>25</v>
      </c>
      <c r="C26" s="10" t="s">
        <v>24</v>
      </c>
      <c r="D26" s="10" t="s">
        <v>26</v>
      </c>
      <c r="E26" s="10" t="s">
        <v>11</v>
      </c>
      <c r="F26" s="10" t="s">
        <v>31</v>
      </c>
    </row>
    <row r="27" spans="1:19" x14ac:dyDescent="0.25">
      <c r="A27" s="1">
        <v>1</v>
      </c>
      <c r="B27" s="7">
        <f t="shared" ref="B27:B35" si="19">D16/(density*((2*PI()*B2)/60)^3*(18*0.0254))</f>
        <v>3.7543283335532624E-4</v>
      </c>
      <c r="C27" s="2">
        <f t="shared" ref="C27:C35" si="20">E16/(density*((2*PI()*B2)/60)^2*(18*0.0254)^2)</f>
        <v>8.0454681102905851E-2</v>
      </c>
      <c r="D27" s="3">
        <f>G16/(((2*PI()*B2)/60)*(18*0.0254)^3)</f>
        <v>5.1277508665700813E-2</v>
      </c>
      <c r="E27" s="9">
        <f t="shared" ref="E27:E35" si="21">(density*(G16/Area2)*(18*0.0254))/mu</f>
        <v>216040.80447566588</v>
      </c>
      <c r="F27" s="1">
        <f>H16/D16</f>
        <v>0</v>
      </c>
      <c r="K27" s="10">
        <v>3</v>
      </c>
      <c r="L27" s="10" t="s">
        <v>47</v>
      </c>
    </row>
    <row r="28" spans="1:19" x14ac:dyDescent="0.25">
      <c r="A28" s="1">
        <f>A27+1</f>
        <v>2</v>
      </c>
      <c r="B28" s="7">
        <f t="shared" si="19"/>
        <v>3.6091592067524444E-4</v>
      </c>
      <c r="C28" s="2">
        <f t="shared" si="20"/>
        <v>8.8392833088525802E-2</v>
      </c>
      <c r="D28" s="3">
        <f t="shared" ref="D28:D35" si="22">G17/(((2*PI()*B3)/60)*(18*0.0254)^3)</f>
        <v>5.268274624216409E-2</v>
      </c>
      <c r="E28" s="9">
        <f t="shared" si="21"/>
        <v>423520.4667144267</v>
      </c>
      <c r="F28" s="1">
        <f t="shared" ref="F28:F35" si="23">H17/D17</f>
        <v>0</v>
      </c>
      <c r="K28" s="1" t="s">
        <v>42</v>
      </c>
      <c r="L28" s="1">
        <v>0.5</v>
      </c>
    </row>
    <row r="29" spans="1:19" x14ac:dyDescent="0.25">
      <c r="A29" s="1">
        <f t="shared" ref="A29:A35" si="24">A28+1</f>
        <v>3</v>
      </c>
      <c r="B29" s="7">
        <f t="shared" si="19"/>
        <v>3.508425306132502E-4</v>
      </c>
      <c r="C29" s="2">
        <f t="shared" si="20"/>
        <v>0.1060301520279079</v>
      </c>
      <c r="D29" s="3">
        <f t="shared" si="22"/>
        <v>5.7280314880028292E-2</v>
      </c>
      <c r="E29" s="9">
        <f t="shared" si="21"/>
        <v>697222.79136540589</v>
      </c>
      <c r="F29" s="1">
        <f t="shared" si="23"/>
        <v>0</v>
      </c>
      <c r="K29" s="1" t="s">
        <v>43</v>
      </c>
      <c r="L29" s="1">
        <v>0.05</v>
      </c>
    </row>
    <row r="30" spans="1:19" x14ac:dyDescent="0.25">
      <c r="A30" s="1">
        <f t="shared" si="24"/>
        <v>4</v>
      </c>
      <c r="B30" s="7">
        <f t="shared" si="19"/>
        <v>3.8267574364567045E-4</v>
      </c>
      <c r="C30" s="2">
        <f t="shared" si="20"/>
        <v>8.2006825683492088E-2</v>
      </c>
      <c r="D30" s="3">
        <f t="shared" si="22"/>
        <v>5.1769772748891545E-2</v>
      </c>
      <c r="E30" s="9">
        <f t="shared" si="21"/>
        <v>216040.80447566588</v>
      </c>
      <c r="F30" s="3">
        <f t="shared" si="23"/>
        <v>0.13850076361803615</v>
      </c>
      <c r="K30" s="1" t="s">
        <v>44</v>
      </c>
      <c r="L30" s="1">
        <v>0.05</v>
      </c>
    </row>
    <row r="31" spans="1:19" x14ac:dyDescent="0.25">
      <c r="A31" s="1">
        <f t="shared" si="24"/>
        <v>5</v>
      </c>
      <c r="B31" s="7">
        <f t="shared" si="19"/>
        <v>3.1772531751768856E-4</v>
      </c>
      <c r="C31" s="2">
        <f t="shared" si="20"/>
        <v>9.4228996183025299E-2</v>
      </c>
      <c r="D31" s="3">
        <f t="shared" si="22"/>
        <v>5.4394145820102442E-2</v>
      </c>
      <c r="E31" s="9">
        <f t="shared" si="21"/>
        <v>445631.8610974992</v>
      </c>
      <c r="F31" s="3">
        <f t="shared" si="23"/>
        <v>0.22737781903208601</v>
      </c>
      <c r="K31" s="1" t="s">
        <v>45</v>
      </c>
      <c r="L31" s="1">
        <v>0.05</v>
      </c>
    </row>
    <row r="32" spans="1:19" x14ac:dyDescent="0.25">
      <c r="A32" s="1">
        <f t="shared" si="24"/>
        <v>6</v>
      </c>
      <c r="B32" s="7">
        <f t="shared" si="19"/>
        <v>3.2888671592087111E-4</v>
      </c>
      <c r="C32" s="2">
        <f t="shared" si="20"/>
        <v>0.10907606579332753</v>
      </c>
      <c r="D32" s="3">
        <f t="shared" si="22"/>
        <v>5.8097231466633044E-2</v>
      </c>
      <c r="E32" s="9">
        <f t="shared" si="21"/>
        <v>701735.60735360405</v>
      </c>
      <c r="F32" s="3">
        <f t="shared" si="23"/>
        <v>0.28063523803604706</v>
      </c>
      <c r="K32" s="1" t="s">
        <v>46</v>
      </c>
      <c r="L32" s="1">
        <v>0.05</v>
      </c>
    </row>
    <row r="33" spans="1:6" x14ac:dyDescent="0.25">
      <c r="A33" s="1">
        <f t="shared" si="24"/>
        <v>7</v>
      </c>
      <c r="B33" s="7">
        <f t="shared" si="19"/>
        <v>7.6535148729134082E-5</v>
      </c>
      <c r="C33" s="2">
        <f t="shared" si="20"/>
        <v>8.2006825683492088E-2</v>
      </c>
      <c r="D33" s="3">
        <f t="shared" si="22"/>
        <v>5.1769772748891545E-2</v>
      </c>
      <c r="E33" s="9">
        <f t="shared" si="21"/>
        <v>216040.80447566588</v>
      </c>
      <c r="F33" s="3">
        <f>H22/D22</f>
        <v>1.3850076361803616</v>
      </c>
    </row>
    <row r="34" spans="1:6" x14ac:dyDescent="0.25">
      <c r="A34" s="1">
        <f t="shared" si="24"/>
        <v>8</v>
      </c>
      <c r="B34" s="7">
        <f t="shared" si="19"/>
        <v>2.3500785595087558E-4</v>
      </c>
      <c r="C34" s="2">
        <f t="shared" si="20"/>
        <v>9.4082527505454927E-2</v>
      </c>
      <c r="D34" s="3">
        <f t="shared" si="22"/>
        <v>5.4351854501559688E-2</v>
      </c>
      <c r="E34" s="9">
        <f t="shared" si="21"/>
        <v>466696.82399223128</v>
      </c>
      <c r="F34" s="3">
        <f t="shared" si="23"/>
        <v>0.44741126561577843</v>
      </c>
    </row>
    <row r="35" spans="1:6" x14ac:dyDescent="0.25">
      <c r="A35" s="1">
        <f t="shared" si="24"/>
        <v>9</v>
      </c>
      <c r="B35" s="7">
        <f t="shared" si="19"/>
        <v>2.2763790873205791E-4</v>
      </c>
      <c r="C35" s="2">
        <f t="shared" si="20"/>
        <v>0.10035247916010605</v>
      </c>
      <c r="D35" s="3">
        <f t="shared" si="22"/>
        <v>5.5725600564348408E-2</v>
      </c>
      <c r="E35" s="9">
        <f t="shared" si="21"/>
        <v>674205.7635889448</v>
      </c>
      <c r="F35" s="3">
        <f t="shared" si="23"/>
        <v>0.49197678125067434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Sheet1</vt:lpstr>
      <vt:lpstr>Sheet2</vt:lpstr>
      <vt:lpstr>Sheet3</vt:lpstr>
      <vt:lpstr>Efficiency vs Re</vt:lpstr>
      <vt:lpstr>Power Coefficient vs Re</vt:lpstr>
      <vt:lpstr>Pressure Coefficient vs Re</vt:lpstr>
      <vt:lpstr>Flow Coefficient vs Re</vt:lpstr>
      <vt:lpstr>Area2</vt:lpstr>
      <vt:lpstr>beta</vt:lpstr>
      <vt:lpstr>Cd</vt:lpstr>
      <vt:lpstr>Cd2_</vt:lpstr>
      <vt:lpstr>Cd3_</vt:lpstr>
      <vt:lpstr>density</vt:lpstr>
      <vt:lpstr>density_w</vt:lpstr>
      <vt:lpstr>mu</vt:lpstr>
      <vt:lpstr>N_error</vt:lpstr>
      <vt:lpstr>P_static</vt:lpstr>
      <vt:lpstr>Pressure_error</vt:lpstr>
      <vt:lpstr>Re</vt:lpstr>
      <vt:lpstr>Re2_</vt:lpstr>
      <vt:lpstr>Re3_</vt:lpstr>
      <vt:lpstr>Scale_error</vt:lpstr>
      <vt:lpstr>temp</vt:lpstr>
    </vt:vector>
  </TitlesOfParts>
  <Company>LearnQuest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Tom A. Moline</cp:lastModifiedBy>
  <dcterms:created xsi:type="dcterms:W3CDTF">2013-09-26T14:11:10Z</dcterms:created>
  <dcterms:modified xsi:type="dcterms:W3CDTF">2013-10-03T05:54:22Z</dcterms:modified>
</cp:coreProperties>
</file>