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-30" windowWidth="10575" windowHeight="1185"/>
  </bookViews>
  <sheets>
    <sheet name="Synthesis" sheetId="1" r:id="rId1"/>
    <sheet name="Available biomass" sheetId="2" r:id="rId2"/>
    <sheet name="FT process" sheetId="6" r:id="rId3"/>
    <sheet name="AtJ process" sheetId="8" r:id="rId4"/>
    <sheet name="HEFA process" sheetId="7" r:id="rId5"/>
    <sheet name="Emission factors" sheetId="4" r:id="rId6"/>
    <sheet name="Selectivity" sheetId="5" r:id="rId7"/>
    <sheet name="References" sheetId="3" r:id="rId8"/>
  </sheets>
  <calcPr calcId="145621"/>
</workbook>
</file>

<file path=xl/calcChain.xml><?xml version="1.0" encoding="utf-8"?>
<calcChain xmlns="http://schemas.openxmlformats.org/spreadsheetml/2006/main">
  <c r="G18" i="6" l="1"/>
  <c r="F18" i="6"/>
  <c r="G17" i="6"/>
  <c r="F17" i="6"/>
  <c r="E28" i="6"/>
  <c r="E29" i="6"/>
  <c r="E27" i="6"/>
  <c r="B19" i="6"/>
  <c r="B18" i="6"/>
  <c r="B17" i="6"/>
  <c r="B16" i="6"/>
  <c r="G23" i="6"/>
  <c r="G22" i="6"/>
  <c r="B21" i="6" l="1"/>
  <c r="B22" i="6"/>
  <c r="I103" i="7"/>
  <c r="I91" i="7"/>
  <c r="I93" i="7"/>
  <c r="I98" i="7"/>
  <c r="I97" i="7"/>
  <c r="I96" i="7"/>
  <c r="I95" i="7"/>
  <c r="I94" i="7"/>
  <c r="I92" i="7"/>
  <c r="I100" i="7"/>
  <c r="J69" i="7"/>
  <c r="K69" i="7"/>
  <c r="K75" i="7" s="1"/>
  <c r="I69" i="7"/>
  <c r="J68" i="7"/>
  <c r="K68" i="7"/>
  <c r="I68" i="7"/>
  <c r="J72" i="7"/>
  <c r="K72" i="7"/>
  <c r="I72" i="7"/>
  <c r="J71" i="7"/>
  <c r="K71" i="7"/>
  <c r="I71" i="7"/>
  <c r="J70" i="7"/>
  <c r="K70" i="7"/>
  <c r="I70" i="7"/>
  <c r="J67" i="7"/>
  <c r="K67" i="7"/>
  <c r="I67" i="7"/>
  <c r="J66" i="7"/>
  <c r="K66" i="7"/>
  <c r="I66" i="7"/>
  <c r="I77" i="7" s="1"/>
  <c r="D32" i="7"/>
  <c r="D63" i="7"/>
  <c r="D61" i="7"/>
  <c r="D53" i="7"/>
  <c r="K53" i="7"/>
  <c r="L53" i="7"/>
  <c r="M53" i="7"/>
  <c r="N53" i="7"/>
  <c r="J53" i="7"/>
  <c r="K52" i="7"/>
  <c r="L52" i="7"/>
  <c r="M52" i="7"/>
  <c r="N52" i="7"/>
  <c r="J52" i="7"/>
  <c r="K51" i="7"/>
  <c r="L51" i="7"/>
  <c r="M51" i="7"/>
  <c r="N51" i="7"/>
  <c r="J51" i="7"/>
  <c r="K50" i="7"/>
  <c r="L50" i="7"/>
  <c r="M50" i="7"/>
  <c r="N50" i="7"/>
  <c r="J50" i="7"/>
  <c r="K48" i="7"/>
  <c r="L48" i="7"/>
  <c r="M48" i="7"/>
  <c r="N48" i="7"/>
  <c r="J48" i="7"/>
  <c r="K47" i="7"/>
  <c r="L47" i="7"/>
  <c r="M47" i="7"/>
  <c r="N47" i="7"/>
  <c r="J47" i="7"/>
  <c r="K45" i="7"/>
  <c r="L45" i="7"/>
  <c r="M45" i="7"/>
  <c r="N45" i="7"/>
  <c r="J45" i="7"/>
  <c r="K44" i="7"/>
  <c r="L44" i="7"/>
  <c r="M44" i="7"/>
  <c r="N44" i="7"/>
  <c r="J44" i="7"/>
  <c r="K46" i="7"/>
  <c r="L46" i="7"/>
  <c r="M46" i="7"/>
  <c r="N46" i="7"/>
  <c r="J46" i="7"/>
  <c r="I102" i="7" l="1"/>
  <c r="I101" i="7"/>
  <c r="K76" i="7"/>
  <c r="J76" i="7"/>
  <c r="K77" i="7"/>
  <c r="K74" i="7"/>
  <c r="J77" i="7"/>
  <c r="J75" i="7"/>
  <c r="J74" i="7"/>
  <c r="I75" i="7"/>
  <c r="I76" i="7"/>
  <c r="I74" i="7"/>
  <c r="M30" i="7"/>
  <c r="M16" i="7"/>
  <c r="M20" i="7"/>
  <c r="M21" i="7"/>
  <c r="M22" i="7"/>
  <c r="M23" i="7"/>
  <c r="M24" i="7"/>
  <c r="L16" i="7"/>
  <c r="L20" i="7"/>
  <c r="L21" i="7"/>
  <c r="L22" i="7"/>
  <c r="L23" i="7"/>
  <c r="L24" i="7"/>
  <c r="K15" i="7"/>
  <c r="M15" i="7" s="1"/>
  <c r="C61" i="7"/>
  <c r="C19" i="7"/>
  <c r="D19" i="7"/>
  <c r="E19" i="7"/>
  <c r="F19" i="7"/>
  <c r="B19" i="7"/>
  <c r="C20" i="7"/>
  <c r="D20" i="7"/>
  <c r="E20" i="7"/>
  <c r="F20" i="7"/>
  <c r="B20" i="7"/>
  <c r="D71" i="7"/>
  <c r="D70" i="7"/>
  <c r="D69" i="7"/>
  <c r="E69" i="7" s="1"/>
  <c r="C63" i="7"/>
  <c r="C55" i="7"/>
  <c r="C41" i="7"/>
  <c r="D41" i="7" s="1"/>
  <c r="C27" i="7"/>
  <c r="D27" i="7" s="1"/>
  <c r="C53" i="7"/>
  <c r="C70" i="7" s="1"/>
  <c r="E70" i="7" s="1"/>
  <c r="C39" i="7"/>
  <c r="C71" i="7" s="1"/>
  <c r="C25" i="7"/>
  <c r="C69" i="7" s="1"/>
  <c r="D42" i="7"/>
  <c r="D45" i="7"/>
  <c r="D44" i="7"/>
  <c r="B55" i="7"/>
  <c r="B63" i="7"/>
  <c r="D28" i="7"/>
  <c r="D31" i="7"/>
  <c r="D30" i="7"/>
  <c r="C51" i="8"/>
  <c r="D51" i="8"/>
  <c r="E51" i="8"/>
  <c r="E59" i="8" s="1"/>
  <c r="F51" i="8"/>
  <c r="G51" i="8"/>
  <c r="H51" i="8"/>
  <c r="I51" i="8"/>
  <c r="I59" i="8" s="1"/>
  <c r="J51" i="8"/>
  <c r="B51" i="8"/>
  <c r="C52" i="8"/>
  <c r="D52" i="8"/>
  <c r="E52" i="8"/>
  <c r="F52" i="8"/>
  <c r="G52" i="8"/>
  <c r="H52" i="8"/>
  <c r="I52" i="8"/>
  <c r="J52" i="8"/>
  <c r="B52" i="8"/>
  <c r="C39" i="8"/>
  <c r="D39" i="8"/>
  <c r="E39" i="8"/>
  <c r="F39" i="8"/>
  <c r="G39" i="8"/>
  <c r="H39" i="8"/>
  <c r="I39" i="8"/>
  <c r="J39" i="8"/>
  <c r="B39" i="8"/>
  <c r="C40" i="8"/>
  <c r="D40" i="8"/>
  <c r="E40" i="8"/>
  <c r="F40" i="8"/>
  <c r="G40" i="8"/>
  <c r="H40" i="8"/>
  <c r="I40" i="8"/>
  <c r="J40" i="8"/>
  <c r="B40" i="8"/>
  <c r="C57" i="8"/>
  <c r="D57" i="8"/>
  <c r="E57" i="8"/>
  <c r="F57" i="8"/>
  <c r="G57" i="8"/>
  <c r="H57" i="8"/>
  <c r="I57" i="8"/>
  <c r="J57" i="8"/>
  <c r="C56" i="8"/>
  <c r="D56" i="8"/>
  <c r="E56" i="8"/>
  <c r="F56" i="8"/>
  <c r="G56" i="8"/>
  <c r="H56" i="8"/>
  <c r="I56" i="8"/>
  <c r="J56" i="8"/>
  <c r="C55" i="8"/>
  <c r="D55" i="8"/>
  <c r="E55" i="8"/>
  <c r="F55" i="8"/>
  <c r="G55" i="8"/>
  <c r="H55" i="8"/>
  <c r="I55" i="8"/>
  <c r="J55" i="8"/>
  <c r="C54" i="8"/>
  <c r="D54" i="8"/>
  <c r="E54" i="8"/>
  <c r="F54" i="8"/>
  <c r="G54" i="8"/>
  <c r="H54" i="8"/>
  <c r="I54" i="8"/>
  <c r="J54" i="8"/>
  <c r="B57" i="8"/>
  <c r="B56" i="8"/>
  <c r="B54" i="8"/>
  <c r="B55" i="8"/>
  <c r="C53" i="8"/>
  <c r="D53" i="8"/>
  <c r="E53" i="8"/>
  <c r="F53" i="8"/>
  <c r="F60" i="8" s="1"/>
  <c r="G53" i="8"/>
  <c r="H53" i="8"/>
  <c r="I53" i="8"/>
  <c r="I60" i="8" s="1"/>
  <c r="J53" i="8"/>
  <c r="J60" i="8" s="1"/>
  <c r="B53" i="8"/>
  <c r="B60" i="8" s="1"/>
  <c r="J41" i="8"/>
  <c r="I41" i="8"/>
  <c r="H41" i="8"/>
  <c r="G41" i="8"/>
  <c r="F41" i="8"/>
  <c r="E41" i="8"/>
  <c r="D41" i="8"/>
  <c r="C41" i="8"/>
  <c r="B41" i="8"/>
  <c r="F21" i="8"/>
  <c r="F22" i="8"/>
  <c r="F23" i="8"/>
  <c r="F24" i="8"/>
  <c r="F25" i="8"/>
  <c r="F26" i="8"/>
  <c r="F27" i="8"/>
  <c r="F28" i="8"/>
  <c r="F20" i="8"/>
  <c r="C16" i="8"/>
  <c r="G9" i="8"/>
  <c r="G10" i="8"/>
  <c r="G11" i="8"/>
  <c r="G12" i="8"/>
  <c r="G8" i="8"/>
  <c r="L15" i="7" l="1"/>
  <c r="L27" i="7"/>
  <c r="I31" i="7"/>
  <c r="J31" i="7" s="1"/>
  <c r="L26" i="7"/>
  <c r="E71" i="7"/>
  <c r="M27" i="7"/>
  <c r="M26" i="7"/>
  <c r="D48" i="7"/>
  <c r="D65" i="7"/>
  <c r="D55" i="7"/>
  <c r="D39" i="7"/>
  <c r="D49" i="7" s="1"/>
  <c r="D25" i="7"/>
  <c r="D36" i="7" s="1"/>
  <c r="C60" i="8"/>
  <c r="D59" i="8"/>
  <c r="B59" i="8"/>
  <c r="C59" i="8"/>
  <c r="H60" i="8"/>
  <c r="J59" i="8"/>
  <c r="G60" i="8"/>
  <c r="B3" i="8" s="1"/>
  <c r="H59" i="8"/>
  <c r="E60" i="8"/>
  <c r="G59" i="8"/>
  <c r="D60" i="8"/>
  <c r="F59" i="8"/>
  <c r="B3" i="2"/>
  <c r="C8" i="2"/>
  <c r="G8" i="2"/>
  <c r="J8" i="2"/>
  <c r="I3" i="2"/>
  <c r="I4" i="2"/>
  <c r="I5" i="2"/>
  <c r="I6" i="2"/>
  <c r="I7" i="2"/>
  <c r="H7" i="2"/>
  <c r="B7" i="2"/>
  <c r="H6" i="2"/>
  <c r="B6" i="2"/>
  <c r="H5" i="2"/>
  <c r="B5" i="2"/>
  <c r="H4" i="2"/>
  <c r="B4" i="2"/>
  <c r="H3" i="2"/>
  <c r="D8" i="2"/>
  <c r="E7" i="2"/>
  <c r="E6" i="2"/>
  <c r="E5" i="2"/>
  <c r="E4" i="2"/>
  <c r="E3" i="2"/>
  <c r="D35" i="7" l="1"/>
  <c r="D57" i="7"/>
  <c r="D34" i="7"/>
  <c r="D47" i="7"/>
  <c r="I8" i="2"/>
  <c r="F8" i="2"/>
  <c r="H8" i="2"/>
  <c r="E8" i="2"/>
  <c r="B8" i="2"/>
</calcChain>
</file>

<file path=xl/sharedStrings.xml><?xml version="1.0" encoding="utf-8"?>
<sst xmlns="http://schemas.openxmlformats.org/spreadsheetml/2006/main" count="1070" uniqueCount="461">
  <si>
    <t>Forest residues</t>
  </si>
  <si>
    <t>Agricultural residues</t>
  </si>
  <si>
    <t>Algae</t>
  </si>
  <si>
    <t>9-10-12-20-27</t>
  </si>
  <si>
    <t>8-37-63-109-217</t>
  </si>
  <si>
    <t>10-30-57-103-204</t>
  </si>
  <si>
    <t>5-8-15-31-50</t>
  </si>
  <si>
    <t>FT</t>
  </si>
  <si>
    <t>HEFA</t>
  </si>
  <si>
    <t>-</t>
  </si>
  <si>
    <t>AtJ</t>
  </si>
  <si>
    <t>HEFA - Oil/Fuel</t>
  </si>
  <si>
    <t>HEFA - Biomass/Oil</t>
  </si>
  <si>
    <t>FT - MSW</t>
  </si>
  <si>
    <t>HEFA - FOG</t>
  </si>
  <si>
    <t>42,1-61-73,9</t>
  </si>
  <si>
    <t>Categories</t>
  </si>
  <si>
    <t>Corresponding processes</t>
  </si>
  <si>
    <t>Processes distribution</t>
  </si>
  <si>
    <t>Processes</t>
  </si>
  <si>
    <t>Available biomass in 2050</t>
  </si>
  <si>
    <t>Values in 2020 (%) with Q1-Med-Q3</t>
  </si>
  <si>
    <t>Values in 2050 (%) with Q1-Med-Q3</t>
  </si>
  <si>
    <t>Process efficiencies (MJ_fuel/MJ_biomass)</t>
  </si>
  <si>
    <t>Values (%) with Q1-Med-Q3</t>
  </si>
  <si>
    <t>Values in 2020 (gCO2-eq/MJ) with Q1-Med-Q3</t>
  </si>
  <si>
    <t>Values in 2050 (gCO2-eq/MJ) with Q1-Med-Q3</t>
  </si>
  <si>
    <t>Waste (MSW and FOG)</t>
  </si>
  <si>
    <t>FT (MSW) - HEFA (FOG)</t>
  </si>
  <si>
    <t>Emission factors for different process and resources</t>
  </si>
  <si>
    <t>FT - Others</t>
  </si>
  <si>
    <t>HEFA - Others</t>
  </si>
  <si>
    <t>MSW</t>
  </si>
  <si>
    <t>FOG</t>
  </si>
  <si>
    <t>Energy crops</t>
  </si>
  <si>
    <t>Q1</t>
  </si>
  <si>
    <t>Med</t>
  </si>
  <si>
    <t>Q3</t>
  </si>
  <si>
    <t>Fischer-Tropsch</t>
  </si>
  <si>
    <t>Hydroprocessed Esters and Fatty Acids</t>
  </si>
  <si>
    <t>Alcool-to-Jet</t>
  </si>
  <si>
    <t>Municipal Solid Waste</t>
  </si>
  <si>
    <t>Fats, Oils, Greases</t>
  </si>
  <si>
    <t>Fisrt Quartile</t>
  </si>
  <si>
    <t>Third Quartile</t>
  </si>
  <si>
    <t>LF</t>
  </si>
  <si>
    <t>Lower Fence</t>
  </si>
  <si>
    <t>Upper Fence</t>
  </si>
  <si>
    <t>UF</t>
  </si>
  <si>
    <t>Values (EJ) with LF-Q-Med-Q3-UF</t>
  </si>
  <si>
    <t>Median</t>
  </si>
  <si>
    <t>1 EJ for FOG</t>
  </si>
  <si>
    <t>FT (lignocellulosic) - HEFA (oil) - AtJ (sugary/starchy)</t>
  </si>
  <si>
    <t>Resources</t>
  </si>
  <si>
    <t>Waste (MSW + FOG)</t>
  </si>
  <si>
    <t>Article</t>
  </si>
  <si>
    <t>[1]</t>
  </si>
  <si>
    <t>CORSIA: The first internationally adopted approach to calculate life-cycle GHG emissions for aviation fuels</t>
  </si>
  <si>
    <t>Renewable and Sustainable Energy Reviews</t>
  </si>
  <si>
    <t>[2]</t>
  </si>
  <si>
    <t>Estimating induced land use change emissions for sustainable aviation biofuel pathways</t>
  </si>
  <si>
    <t>Science of the Total Environment</t>
  </si>
  <si>
    <t>[3]</t>
  </si>
  <si>
    <t>Aviation CO2 emissions reductions from the use of alternative jet fuels</t>
  </si>
  <si>
    <t>Energy Policy</t>
  </si>
  <si>
    <t>[4]</t>
  </si>
  <si>
    <t>A techno-economic review of hydroprocessed renewable esters and fatty acids for jet fuel production</t>
  </si>
  <si>
    <t>Biofuels, Bioprod. Bioref</t>
  </si>
  <si>
    <t>[5]</t>
  </si>
  <si>
    <t>Nature Energy</t>
  </si>
  <si>
    <t>[6]</t>
  </si>
  <si>
    <t>[7]</t>
  </si>
  <si>
    <t>Biojet fuels and emissions mitigation in aviation: An integrated assessment modeling analysis</t>
  </si>
  <si>
    <t>Transportation Research Part D: Transport and Environment</t>
  </si>
  <si>
    <t>[8]</t>
  </si>
  <si>
    <t>Life Cycle Greenhouse Gas Emissions From Alternative Jet Fuels</t>
  </si>
  <si>
    <t>PARTNER Project 28 Report Version 1.2</t>
  </si>
  <si>
    <t>[9]</t>
  </si>
  <si>
    <t>Fueling net zero</t>
  </si>
  <si>
    <t>ATAG</t>
  </si>
  <si>
    <t>[10]</t>
  </si>
  <si>
    <t>Fischer-Tropsch Fuels from Coal and Biomass</t>
  </si>
  <si>
    <t>[11]</t>
  </si>
  <si>
    <t>Life-cycle analysis of bio-based aviation fuels</t>
  </si>
  <si>
    <t>Bioresource Technology</t>
  </si>
  <si>
    <t>[12]</t>
  </si>
  <si>
    <t>Lifecycle greenhouse gas footprint and minimum selling price of renewable diesel and jet fuel from fermentation and advanced fermentation production technologies</t>
  </si>
  <si>
    <t>Energy Environ. Sci.</t>
  </si>
  <si>
    <t>[13]</t>
  </si>
  <si>
    <t>Innovation Outlook - Advanced liquid biofuels</t>
  </si>
  <si>
    <t>IRENA</t>
  </si>
  <si>
    <t>[14]</t>
  </si>
  <si>
    <t>Estimating sustainable aviation fuel feedstock availability to meet growing European Union demand</t>
  </si>
  <si>
    <t>ICCT</t>
  </si>
  <si>
    <t>[15]</t>
  </si>
  <si>
    <t>The feasibility of short-term production strategies for renewable jet fuels – a comprehensive techno-economic comparison</t>
  </si>
  <si>
    <t>[16]</t>
  </si>
  <si>
    <t>Year</t>
  </si>
  <si>
    <t>GREET database</t>
  </si>
  <si>
    <t>Reference number</t>
  </si>
  <si>
    <t>Authors</t>
  </si>
  <si>
    <t>Revue</t>
  </si>
  <si>
    <t>Algaes</t>
  </si>
  <si>
    <t>TOTAL</t>
  </si>
  <si>
    <t>Waste</t>
  </si>
  <si>
    <t>Number of values</t>
  </si>
  <si>
    <t>Lignocellulosic</t>
  </si>
  <si>
    <t>Total Crops</t>
  </si>
  <si>
    <t>Reference</t>
  </si>
  <si>
    <t>Sugary/Starchy</t>
  </si>
  <si>
    <t>Vegetable oil</t>
  </si>
  <si>
    <t>63%-9%-28%</t>
  </si>
  <si>
    <t>Nomenclature</t>
  </si>
  <si>
    <t>Fuel selectivity</t>
  </si>
  <si>
    <t>Value (%) optimizing jet fuel production</t>
  </si>
  <si>
    <t>Value (%) optimizing energy produced</t>
  </si>
  <si>
    <t>HEFA - Fuel/Oil</t>
  </si>
  <si>
    <t>HEFA - Oil/Biomass</t>
  </si>
  <si>
    <t>5-15-17-39-59</t>
  </si>
  <si>
    <t>Min (EJ)</t>
  </si>
  <si>
    <t>Data on available biomass using Figure 4 of [13]</t>
  </si>
  <si>
    <t>Data and analysis for FOG quantity in "Waste"</t>
  </si>
  <si>
    <t>Data and analysis for distribution of "Energy crops" category</t>
  </si>
  <si>
    <t>Tallow</t>
  </si>
  <si>
    <t>UCO</t>
  </si>
  <si>
    <t>PFAD</t>
  </si>
  <si>
    <t>MSW (0% NBC)</t>
  </si>
  <si>
    <t>MSW (40% NBC)</t>
  </si>
  <si>
    <t>Vegetable oil energy crops</t>
  </si>
  <si>
    <t>corn oil</t>
  </si>
  <si>
    <t>soybean oil</t>
  </si>
  <si>
    <t>rapeseed oil</t>
  </si>
  <si>
    <t>camelina</t>
  </si>
  <si>
    <t>palm oil (open pond)</t>
  </si>
  <si>
    <t>palm oil (closed pond)</t>
  </si>
  <si>
    <t>brassica carinata</t>
  </si>
  <si>
    <t>soy oil US</t>
  </si>
  <si>
    <t>soy oil Brazil</t>
  </si>
  <si>
    <t>rapeseed oil EU</t>
  </si>
  <si>
    <t>palm oil M&amp;I</t>
  </si>
  <si>
    <t>soybean</t>
  </si>
  <si>
    <t>rapeseed</t>
  </si>
  <si>
    <t>jatropha</t>
  </si>
  <si>
    <t>oil palm</t>
  </si>
  <si>
    <t>alga oil</t>
  </si>
  <si>
    <t>corn stover</t>
  </si>
  <si>
    <t>agricultural residues</t>
  </si>
  <si>
    <t>ETJ</t>
  </si>
  <si>
    <t>Lignocellulosic energy crops</t>
  </si>
  <si>
    <t>switchgrass</t>
  </si>
  <si>
    <t>poplar US</t>
  </si>
  <si>
    <t>switchgrass US</t>
  </si>
  <si>
    <t>miscanthus US</t>
  </si>
  <si>
    <t>miscanthus EU</t>
  </si>
  <si>
    <t>sugar cane</t>
  </si>
  <si>
    <t>AF</t>
  </si>
  <si>
    <t>corn grain</t>
  </si>
  <si>
    <t>Maize grain</t>
  </si>
  <si>
    <t>Sugarcane</t>
  </si>
  <si>
    <t>Corn USA</t>
  </si>
  <si>
    <t>ATJ</t>
  </si>
  <si>
    <t>Sugarcane Brazil</t>
  </si>
  <si>
    <t>Corn stover USA</t>
  </si>
  <si>
    <t>Sorghum USA</t>
  </si>
  <si>
    <t>Switchgrass</t>
  </si>
  <si>
    <t>Switchgrass USA</t>
  </si>
  <si>
    <t>Mischanthus USA</t>
  </si>
  <si>
    <t>Mischantus Europe</t>
  </si>
  <si>
    <t>Poplar USA</t>
  </si>
  <si>
    <t>palm oil</t>
  </si>
  <si>
    <t>algae</t>
  </si>
  <si>
    <t>salicornia</t>
  </si>
  <si>
    <t>Process</t>
  </si>
  <si>
    <t>Category</t>
  </si>
  <si>
    <t>Waste FOG</t>
  </si>
  <si>
    <t>Waste MSW</t>
  </si>
  <si>
    <t>Data for emission factors for different resources and processes</t>
  </si>
  <si>
    <t>Resource</t>
  </si>
  <si>
    <t>Sugary and starchy energy crops</t>
  </si>
  <si>
    <t>Yellow grease</t>
  </si>
  <si>
    <t>Prussi et al.</t>
  </si>
  <si>
    <t>Zhao et al.</t>
  </si>
  <si>
    <t>Staples et al.</t>
  </si>
  <si>
    <t>Pearlson et al.</t>
  </si>
  <si>
    <t>Wise et al.</t>
  </si>
  <si>
    <t>Stratton et al.</t>
  </si>
  <si>
    <t>Kreutz et al.</t>
  </si>
  <si>
    <t>Han et al.</t>
  </si>
  <si>
    <t>O'Malley et al.</t>
  </si>
  <si>
    <t>de Jong et al.</t>
  </si>
  <si>
    <t>Sornkade et al.</t>
  </si>
  <si>
    <t>Link</t>
  </si>
  <si>
    <t>Enhancement of Cassava Rhizome Gasification Using Mono - Metallic Cobalt Catalysts</t>
  </si>
  <si>
    <t>Global bioenergy resources</t>
  </si>
  <si>
    <t>Slade et al.</t>
  </si>
  <si>
    <t>[17]</t>
  </si>
  <si>
    <t>Nature Climate Change</t>
  </si>
  <si>
    <t>Q1 (gCO2-eq/MJ)</t>
  </si>
  <si>
    <t>Median (gCO2-eq/MJ)</t>
  </si>
  <si>
    <t>Q3 (gCO2-eq/MJ)</t>
  </si>
  <si>
    <t>Note that AtJ processes for lignocellulosic energy crops are not studied here even if some data are available</t>
  </si>
  <si>
    <t>Analysis for emission factors for different resources and processes</t>
  </si>
  <si>
    <t>Waste - MSW</t>
  </si>
  <si>
    <t>Lignocellulosic energy crops - Forestry residues - Agricultural residues</t>
  </si>
  <si>
    <t>Waste - FOG</t>
  </si>
  <si>
    <t>Vegetable oil energy crops - Algae</t>
  </si>
  <si>
    <t>The results have been grouped into categories and processes that give comparable emission factors</t>
  </si>
  <si>
    <t>When the number of data is too small, only the median is given</t>
  </si>
  <si>
    <t>0,3-7,7-12,6</t>
  </si>
  <si>
    <t>33,7-52,2-68,4</t>
  </si>
  <si>
    <t>Explanations on the use of the data file These values have been calculated using a specific Python module. Quartile values can differ according to the calculation methods NB: For lower and upper fence, TO COMPLETE</t>
  </si>
  <si>
    <t>Results are consistent with the review article [17] which concludes estimates below 300 as plausible</t>
  </si>
  <si>
    <t>https://www.nature.com/articles/nclimate2097</t>
  </si>
  <si>
    <t>The limits of bioenergy for mitigating global lifecycle greenhouse gas emissions from fossil fuels</t>
  </si>
  <si>
    <t>Energy Procedia</t>
  </si>
  <si>
    <t>25h annual international Pittsburgh coal conference</t>
  </si>
  <si>
    <t>http://web.mit.edu/aeroastro/partner/reports/proj28/partner-proj28-2010-001.pdf</t>
  </si>
  <si>
    <t>Corn stover</t>
  </si>
  <si>
    <t>Input</t>
  </si>
  <si>
    <t>Soybean</t>
  </si>
  <si>
    <t>Output</t>
  </si>
  <si>
    <t>Soybean oil</t>
  </si>
  <si>
    <t>Soybean meal</t>
  </si>
  <si>
    <t>N-hexane</t>
  </si>
  <si>
    <t>Palm FFB</t>
  </si>
  <si>
    <t>Oil</t>
  </si>
  <si>
    <t>Expeller</t>
  </si>
  <si>
    <t>Feedstock</t>
  </si>
  <si>
    <t>Feedstock/Fuel [MJ/MJ]</t>
  </si>
  <si>
    <t>Starchy</t>
  </si>
  <si>
    <t>MJ(jet)/kg(grain)</t>
  </si>
  <si>
    <t>MJ(jet)/kg(cassava)</t>
  </si>
  <si>
    <t>Sugary</t>
  </si>
  <si>
    <t>Sugarcane (50% mst. content)</t>
  </si>
  <si>
    <t>MJ(jet)/kg(sugarcane)</t>
  </si>
  <si>
    <t>Sugarbeet (75% mst. content)</t>
  </si>
  <si>
    <t>MJ(jet)/kg(sugarbeet)</t>
  </si>
  <si>
    <t>INPUTS</t>
  </si>
  <si>
    <t>OUTPUTS</t>
  </si>
  <si>
    <t>Data 1: Table 12 from [3]</t>
  </si>
  <si>
    <t>Data 2: Table 1 from [7]</t>
  </si>
  <si>
    <t>Assumption F1 (jet with energy allocation)</t>
  </si>
  <si>
    <t>Unit</t>
  </si>
  <si>
    <t>Maize grain (15,5% mst. content)</t>
  </si>
  <si>
    <t>Sorghum grain (12,4% mst. content)</t>
  </si>
  <si>
    <t>Cassava (59,6% mst. content)</t>
  </si>
  <si>
    <t>Reference for LHV</t>
  </si>
  <si>
    <t>https://www.researchgate.net/publication/271103654_Enhancement_of_Cassava_Rhizome_Gasification_Using_Mono-Metallic_Cobalt_Catalysts</t>
  </si>
  <si>
    <t>https://www.gembloux.ulg.ac.be/phytotechnie-temperee/LIVREBLANC/LBfev2006/PB/Grains%20et%20paille%20combustible.pdf</t>
  </si>
  <si>
    <t>https://www.sciencedirect.com/science/article/pii/S2666789420300052</t>
  </si>
  <si>
    <t>Type</t>
  </si>
  <si>
    <t>Scenario</t>
  </si>
  <si>
    <t>Data 4: Table S3 from [12]</t>
  </si>
  <si>
    <t>Data 3: Table S2 from [12]</t>
  </si>
  <si>
    <t>Biomass to fuel (including allocation factor) (kg[rawfeed]/MJ[fuel])</t>
  </si>
  <si>
    <t>Sugar cane</t>
  </si>
  <si>
    <t>Corn grain</t>
  </si>
  <si>
    <t>EFFICIENCIES</t>
  </si>
  <si>
    <t>Water [m3]</t>
  </si>
  <si>
    <t>Electricity [GWh]</t>
  </si>
  <si>
    <t>Natural gas [TJ]</t>
  </si>
  <si>
    <t>Feedstock [kt]</t>
  </si>
  <si>
    <t>DDGS [kt]</t>
  </si>
  <si>
    <t>Heavy oil [10^3 m3]</t>
  </si>
  <si>
    <t>Light ends [10^3 m3]</t>
  </si>
  <si>
    <t>Naphta [10^3 m3]</t>
  </si>
  <si>
    <t>Jet [10^3 m3]</t>
  </si>
  <si>
    <t>Diesel [10^3 m3]</t>
  </si>
  <si>
    <t>Feedstock [MJ]</t>
  </si>
  <si>
    <t>Heavy oil [MJ]</t>
  </si>
  <si>
    <t>Light ends [MJ]</t>
  </si>
  <si>
    <t>Naphta [MJ]</t>
  </si>
  <si>
    <t>Jet [MJ]</t>
  </si>
  <si>
    <t>Diesel [MJ]</t>
  </si>
  <si>
    <t>LHV (MJ/kg)</t>
  </si>
  <si>
    <t>Density (kg/10^3 m3)</t>
  </si>
  <si>
    <t>Global parameters for energy products</t>
  </si>
  <si>
    <t>Natural gas [MJ]</t>
  </si>
  <si>
    <t>Electricity [MJ]</t>
  </si>
  <si>
    <t>Median (%)</t>
  </si>
  <si>
    <t>Q3 (%)</t>
  </si>
  <si>
    <t>Q1 (%)</t>
  </si>
  <si>
    <t>31-48-58</t>
  </si>
  <si>
    <t>Low</t>
  </si>
  <si>
    <t>Base</t>
  </si>
  <si>
    <t>High</t>
  </si>
  <si>
    <t>MJ_fuel/MJ_biomass</t>
  </si>
  <si>
    <t>Feedstock LHV [MJ/kg]</t>
  </si>
  <si>
    <t>Efficiency [MJ_jet/MJ_biomass]</t>
  </si>
  <si>
    <t>MJ_input/MJ_output</t>
  </si>
  <si>
    <t>DDGS [MJ]</t>
  </si>
  <si>
    <t>INPUTS - CONVERSION</t>
  </si>
  <si>
    <t>OUTPUTS - CONVERSION</t>
  </si>
  <si>
    <t>Emission factor     (gCO2-eq/MJ)</t>
  </si>
  <si>
    <t>Analysis of available biomass using data from [13]</t>
  </si>
  <si>
    <t>Availability [EJ]</t>
  </si>
  <si>
    <t xml:space="preserve">It is interesting to note that primary forestry is often excluded of estimates because studies consider </t>
  </si>
  <si>
    <t>that the risk of adverse impacts on biodiversity and carbon stocks is too great</t>
  </si>
  <si>
    <t>Quantity [EJ]</t>
  </si>
  <si>
    <t>Distribution [%]</t>
  </si>
  <si>
    <t>Median distribution [%]</t>
  </si>
  <si>
    <t>Median [EJ]</t>
  </si>
  <si>
    <t>Mean [EJ]</t>
  </si>
  <si>
    <t>Max [EJ]</t>
  </si>
  <si>
    <t>Upper fence [EJ]</t>
  </si>
  <si>
    <t>Q3 [EJ]</t>
  </si>
  <si>
    <t>Q1 [EJ]</t>
  </si>
  <si>
    <t>Lower fence [EJ]</t>
  </si>
  <si>
    <t>By default, similar values compared to 2020 are considered</t>
  </si>
  <si>
    <t>Hydrogen addition in the process in terms of energy percentage  (MJ_hydrogen/MJ_oil)</t>
  </si>
  <si>
    <t>Data 1: Table 1 from [11]</t>
  </si>
  <si>
    <t>Process energy</t>
  </si>
  <si>
    <t>Electricity</t>
  </si>
  <si>
    <t>Natural gas</t>
  </si>
  <si>
    <t>Efficiencies</t>
  </si>
  <si>
    <t>MJ_outputs/MJ_inputs</t>
  </si>
  <si>
    <t>LHV [MJ/kg]</t>
  </si>
  <si>
    <t>Data 2: Tables from [8]</t>
  </si>
  <si>
    <t>MJ_oil/MJ_biomass</t>
  </si>
  <si>
    <t>Diesel</t>
  </si>
  <si>
    <t>Palm (Table 55)</t>
  </si>
  <si>
    <t>[lb]</t>
  </si>
  <si>
    <t>[MJ]</t>
  </si>
  <si>
    <t>[btu]</t>
  </si>
  <si>
    <t>Rapeseed oil fraction</t>
  </si>
  <si>
    <t>Rapeseed (Table 65)</t>
  </si>
  <si>
    <t>Jatropha oil fraction</t>
  </si>
  <si>
    <t>Jatropha (Table 71)</t>
  </si>
  <si>
    <t>Jatropha seed</t>
  </si>
  <si>
    <t>Rapeseed seed</t>
  </si>
  <si>
    <t>Jatropha</t>
  </si>
  <si>
    <t>Palm</t>
  </si>
  <si>
    <t>Dry/Oil [lb/lb]</t>
  </si>
  <si>
    <t>Efficiencies (MJ_oil/MJ_biomass)</t>
  </si>
  <si>
    <t>Data 3: Values for oil extraction [6]</t>
  </si>
  <si>
    <t>Soybean (Table 48)</t>
  </si>
  <si>
    <t>Oil/Seed [kg/kg]</t>
  </si>
  <si>
    <t>Feedstock LHV [MJ/kg] [6 + https://www.eea.europa.eu/publications/eea_report_2006_7]</t>
  </si>
  <si>
    <t>Rapeseed</t>
  </si>
  <si>
    <t>Camelina</t>
  </si>
  <si>
    <t>Efficiencies calculations</t>
  </si>
  <si>
    <t>Data</t>
  </si>
  <si>
    <t>MJ_oil/MJ_feedstock</t>
  </si>
  <si>
    <t>Oil LHV [MJ/kg] [6]</t>
  </si>
  <si>
    <t>Oil LHV [MJ/kg]</t>
  </si>
  <si>
    <t>MJ_energy/MJ_feedstock</t>
  </si>
  <si>
    <t>Extraction energy use [MJ/t_oil]</t>
  </si>
  <si>
    <t>DATA: BIOMASS --&gt; OIL</t>
  </si>
  <si>
    <t>LPG</t>
  </si>
  <si>
    <t>Data 1: Table 1 from [4]</t>
  </si>
  <si>
    <t>Mass balance (100 kg of oil for reference)</t>
  </si>
  <si>
    <t>Hydrogen</t>
  </si>
  <si>
    <t>Inputs</t>
  </si>
  <si>
    <t>Outputs</t>
  </si>
  <si>
    <t>Max distillate</t>
  </si>
  <si>
    <t>Max jet</t>
  </si>
  <si>
    <t>DATA: OIL --&gt; FUEL &amp; HYDROGEN REQUIRED</t>
  </si>
  <si>
    <t>Converted energy balance [MJ]</t>
  </si>
  <si>
    <t>MJ_hydrogen/MJ_oil</t>
  </si>
  <si>
    <t>MJ_fuel/MJ_oil</t>
  </si>
  <si>
    <t>Water</t>
  </si>
  <si>
    <t>Carbon dioxide</t>
  </si>
  <si>
    <t>Propane</t>
  </si>
  <si>
    <t>Naphtha</t>
  </si>
  <si>
    <t>Jet</t>
  </si>
  <si>
    <t>Data 2: Table 12 from [3]</t>
  </si>
  <si>
    <t>MJ_jet/kg_oil</t>
  </si>
  <si>
    <t>Soybean oil LHV [MJ/kg]</t>
  </si>
  <si>
    <t>Efficiency (MJ_fuel/MJ_oil)</t>
  </si>
  <si>
    <t>Data 3: Table 1 from [15]</t>
  </si>
  <si>
    <t>Data 4: Table 1 from [11]</t>
  </si>
  <si>
    <t>Data 5: Table 43 from [8]</t>
  </si>
  <si>
    <t>Data 6: Table SM2 from [15]</t>
  </si>
  <si>
    <t>Calculation made for the median of the median of the 3 main resources</t>
  </si>
  <si>
    <t>(soybean, palm, jatropha) and validation with the others (rapeseed, camelina)</t>
  </si>
  <si>
    <t>Hydrogen use</t>
  </si>
  <si>
    <t>Natural gas use</t>
  </si>
  <si>
    <t>Electricity use</t>
  </si>
  <si>
    <t>Propane mix yield</t>
  </si>
  <si>
    <t>Naphtha yield</t>
  </si>
  <si>
    <t>Jet fuel yield</t>
  </si>
  <si>
    <t>Calculation (for 1 MJ of oil)</t>
  </si>
  <si>
    <t>MJ</t>
  </si>
  <si>
    <t>Jet fuel</t>
  </si>
  <si>
    <t>Propane mix</t>
  </si>
  <si>
    <t>ton[fuel]/ton[oil]</t>
  </si>
  <si>
    <t>MJ[H2]/ton[fuel]</t>
  </si>
  <si>
    <t>MJ[NG]/ton[fuel]</t>
  </si>
  <si>
    <t>kWh[elec]/ton[fuel]</t>
  </si>
  <si>
    <t>MJ[prop]/ton[fuel]</t>
  </si>
  <si>
    <t>MJ[naphtha]/ton[fuel]</t>
  </si>
  <si>
    <t>LHV [MJ/kh]</t>
  </si>
  <si>
    <t>MJ_natural_gas/MJ_oil</t>
  </si>
  <si>
    <t>Baseline</t>
  </si>
  <si>
    <t>Oil [lb]</t>
  </si>
  <si>
    <t>Hydrogen [lb]</t>
  </si>
  <si>
    <t>Electricity [btu]</t>
  </si>
  <si>
    <t>Natural gas [btu]</t>
  </si>
  <si>
    <t>Oil [MJ]</t>
  </si>
  <si>
    <t>Hydrogen [MJ]</t>
  </si>
  <si>
    <t>Fuel [MJ]</t>
  </si>
  <si>
    <t>Propane mix [MJ]</t>
  </si>
  <si>
    <t>Naphtha [MJ]</t>
  </si>
  <si>
    <t>Fuel [lb]</t>
  </si>
  <si>
    <t>Naphtha [lb]</t>
  </si>
  <si>
    <t>Propane mix [lb]</t>
  </si>
  <si>
    <t>m3[NG]/t[oil]</t>
  </si>
  <si>
    <t>t[H2]/t[oil]</t>
  </si>
  <si>
    <t>MWh[elec]/t[oil]</t>
  </si>
  <si>
    <t>t[jet]/t[oil]</t>
  </si>
  <si>
    <t>t[diesel]/t[oil]</t>
  </si>
  <si>
    <t>t[naphtha]/t[oil]</t>
  </si>
  <si>
    <t>t[LPG]/t[oil]</t>
  </si>
  <si>
    <t>t[propane]/t[oil]</t>
  </si>
  <si>
    <t>Jet fuel [MJ]</t>
  </si>
  <si>
    <t>LPG [MJ]</t>
  </si>
  <si>
    <t>Propane [MJ]</t>
  </si>
  <si>
    <t>8-9-11</t>
  </si>
  <si>
    <t>71-88-92</t>
  </si>
  <si>
    <t>42-66-85</t>
  </si>
  <si>
    <t>Calculation made for all the efficiencies named:</t>
  </si>
  <si>
    <t>Analysis for FT efficiencies (MJ_fuel/MJ_biomass)</t>
  </si>
  <si>
    <t>Analysis for AtJ efficiencies (MJ_fuel/MJ_biomass)</t>
  </si>
  <si>
    <t>Analysis for HEFA efficiencies (MJ_oil/MJ_biomass)</t>
  </si>
  <si>
    <t>Analysis for HEFA efficiencies (MJ_fuel/MJ_oil)</t>
  </si>
  <si>
    <t>Analysis for HEFA efficiencies (MJ_hydrogen/MJ_oil)</t>
  </si>
  <si>
    <t>Low value</t>
  </si>
  <si>
    <t>High value</t>
  </si>
  <si>
    <t>Efficiency (MJ_fuel/MJ_feedstock)</t>
  </si>
  <si>
    <t>Data 3: Table 1 from [7]</t>
  </si>
  <si>
    <t>Stock/Fuel (MJ_feedstock/MJ_fuel)</t>
  </si>
  <si>
    <t>t[diesel]/GJ[feed]</t>
  </si>
  <si>
    <t>t[naphtha]/GJ[feed]</t>
  </si>
  <si>
    <t>Calculation (for 1 MJ of feedstock)</t>
  </si>
  <si>
    <t>MWh[elec_in]/GJ[feed]</t>
  </si>
  <si>
    <t>MWh[elec_out]/GJ[feed]</t>
  </si>
  <si>
    <t>Input electricity [MJ]</t>
  </si>
  <si>
    <t>Output electricity [MJ]</t>
  </si>
  <si>
    <t>MJ_fuel/MJ_feedstock</t>
  </si>
  <si>
    <t>Miscanthus</t>
  </si>
  <si>
    <t>Reed canarygrass</t>
  </si>
  <si>
    <t>Other lignocellulosic feedstocks (wood, ag. and wood residues, MSW)</t>
  </si>
  <si>
    <t>Mass efficiency</t>
  </si>
  <si>
    <t>Energy efficiency</t>
  </si>
  <si>
    <t>MJ_fuel/kg_dry_biomass</t>
  </si>
  <si>
    <t>MJ_fuel/MJ_dry_biomass</t>
  </si>
  <si>
    <t>Biomass [MW]</t>
  </si>
  <si>
    <t>FT diesel [MW]</t>
  </si>
  <si>
    <t>FT gasoline [MW]</t>
  </si>
  <si>
    <t>Electricity consumption [MW]</t>
  </si>
  <si>
    <t>Electricity export to grid [MW]</t>
  </si>
  <si>
    <t>Data 1: Table SM2 from [14]</t>
  </si>
  <si>
    <t>Data 2: Table 7 from [10]</t>
  </si>
  <si>
    <t>Data 4: Table 12 from [3]</t>
  </si>
  <si>
    <t>Data 5: Table 1 from [15]</t>
  </si>
  <si>
    <t>Calculation made for all the efficiencies named: MJ_fuel/MJ_oil</t>
  </si>
  <si>
    <t>For reference 4, all the values are equal and only one value has been considered for the analysis</t>
  </si>
  <si>
    <t>40-46-49</t>
  </si>
  <si>
    <t>Min</t>
  </si>
  <si>
    <t>Max (%)</t>
  </si>
  <si>
    <t>Median without excluded values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</si>
</sst>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9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7" fillId="0" borderId="0" xfId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1" fillId="0" borderId="2" xfId="0" applyNumberFormat="1" applyFont="1" applyFill="1" applyBorder="1" applyAlignment="1">
      <alignment horizontal="center" vertical="center"/>
    </xf>
    <xf numFmtId="9" fontId="11" fillId="0" borderId="3" xfId="0" applyNumberFormat="1" applyFont="1" applyFill="1" applyBorder="1" applyAlignment="1">
      <alignment horizontal="center" vertical="center"/>
    </xf>
    <xf numFmtId="9" fontId="11" fillId="0" borderId="4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66678942030005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embloux.ulg.ac.be/phytotechnie-temperee/LIVREBLANC/LBfev2006/PB/Grains%20et%20paille%20combustible.pdf" TargetMode="External"/><Relationship Id="rId1" Type="http://schemas.openxmlformats.org/officeDocument/2006/relationships/hyperlink" Target="https://www.researchgate.net/publication/271103654_Enhancement_of_Cassava_Rhizome_Gasification_Using_Mono-Metallic_Cobalt_Catalysts" TargetMode="External"/><Relationship Id="rId6" Type="http://schemas.openxmlformats.org/officeDocument/2006/relationships/hyperlink" Target="https://www.gembloux.ulg.ac.be/phytotechnie-temperee/LIVREBLANC/LBfev2006/PB/Grains%20et%20paille%20combustible.pdf" TargetMode="External"/><Relationship Id="rId5" Type="http://schemas.openxmlformats.org/officeDocument/2006/relationships/hyperlink" Target="https://www.gembloux.ulg.ac.be/phytotechnie-temperee/LIVREBLANC/LBfev2006/PB/Grains%20et%20paille%20combustible.pdf" TargetMode="External"/><Relationship Id="rId4" Type="http://schemas.openxmlformats.org/officeDocument/2006/relationships/hyperlink" Target="https://www.gembloux.ulg.ac.be/phytotechnie-temperee/LIVREBLANC/LBfev2006/PB/Grains%20et%20paille%20combustibl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it.edu/aeroastro/partner/reports/proj28/partner-proj28-2010-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B31" sqref="B31:F31"/>
    </sheetView>
  </sheetViews>
  <sheetFormatPr baseColWidth="10" defaultRowHeight="15" x14ac:dyDescent="0.25"/>
  <cols>
    <col min="1" max="1" width="42.28515625" bestFit="1" customWidth="1"/>
    <col min="2" max="2" width="21.42578125" bestFit="1" customWidth="1"/>
    <col min="3" max="3" width="47.85546875" bestFit="1" customWidth="1"/>
    <col min="4" max="4" width="19.28515625" customWidth="1"/>
    <col min="5" max="5" width="20.42578125" bestFit="1" customWidth="1"/>
    <col min="6" max="6" width="15.5703125" bestFit="1" customWidth="1"/>
  </cols>
  <sheetData>
    <row r="1" spans="1:6" x14ac:dyDescent="0.25">
      <c r="A1" s="148" t="s">
        <v>210</v>
      </c>
      <c r="B1" s="148"/>
      <c r="D1" s="149" t="s">
        <v>112</v>
      </c>
      <c r="E1" s="149"/>
      <c r="F1" s="149"/>
    </row>
    <row r="2" spans="1:6" x14ac:dyDescent="0.25">
      <c r="A2" s="148"/>
      <c r="B2" s="148"/>
      <c r="D2" s="20" t="s">
        <v>7</v>
      </c>
      <c r="E2" s="147" t="s">
        <v>38</v>
      </c>
      <c r="F2" s="147"/>
    </row>
    <row r="3" spans="1:6" x14ac:dyDescent="0.25">
      <c r="A3" s="148"/>
      <c r="B3" s="148"/>
      <c r="D3" s="20" t="s">
        <v>10</v>
      </c>
      <c r="E3" s="147" t="s">
        <v>40</v>
      </c>
      <c r="F3" s="147"/>
    </row>
    <row r="4" spans="1:6" x14ac:dyDescent="0.25">
      <c r="A4" s="148"/>
      <c r="B4" s="148"/>
      <c r="D4" s="20" t="s">
        <v>8</v>
      </c>
      <c r="E4" s="147" t="s">
        <v>39</v>
      </c>
      <c r="F4" s="147"/>
    </row>
    <row r="5" spans="1:6" x14ac:dyDescent="0.25">
      <c r="A5" s="148"/>
      <c r="B5" s="148"/>
      <c r="D5" s="20" t="s">
        <v>32</v>
      </c>
      <c r="E5" s="147" t="s">
        <v>41</v>
      </c>
      <c r="F5" s="147"/>
    </row>
    <row r="6" spans="1:6" x14ac:dyDescent="0.25">
      <c r="A6" s="148"/>
      <c r="B6" s="148"/>
      <c r="D6" s="20" t="s">
        <v>33</v>
      </c>
      <c r="E6" s="147" t="s">
        <v>42</v>
      </c>
      <c r="F6" s="147"/>
    </row>
    <row r="7" spans="1:6" x14ac:dyDescent="0.25">
      <c r="A7" s="148"/>
      <c r="B7" s="148"/>
      <c r="D7" s="20" t="s">
        <v>45</v>
      </c>
      <c r="E7" s="147" t="s">
        <v>46</v>
      </c>
      <c r="F7" s="147"/>
    </row>
    <row r="8" spans="1:6" x14ac:dyDescent="0.25">
      <c r="A8" s="148"/>
      <c r="B8" s="148"/>
      <c r="D8" s="20" t="s">
        <v>35</v>
      </c>
      <c r="E8" s="147" t="s">
        <v>43</v>
      </c>
      <c r="F8" s="147"/>
    </row>
    <row r="9" spans="1:6" x14ac:dyDescent="0.25">
      <c r="A9" s="148"/>
      <c r="B9" s="148"/>
      <c r="D9" s="20" t="s">
        <v>36</v>
      </c>
      <c r="E9" s="147" t="s">
        <v>50</v>
      </c>
      <c r="F9" s="147"/>
    </row>
    <row r="10" spans="1:6" x14ac:dyDescent="0.25">
      <c r="A10" s="148"/>
      <c r="B10" s="148"/>
      <c r="D10" s="20" t="s">
        <v>37</v>
      </c>
      <c r="E10" s="147" t="s">
        <v>44</v>
      </c>
      <c r="F10" s="147"/>
    </row>
    <row r="11" spans="1:6" x14ac:dyDescent="0.25">
      <c r="A11" s="148"/>
      <c r="B11" s="148"/>
      <c r="D11" s="20" t="s">
        <v>48</v>
      </c>
      <c r="E11" s="147" t="s">
        <v>47</v>
      </c>
      <c r="F11" s="147"/>
    </row>
    <row r="12" spans="1:6" ht="14.45" x14ac:dyDescent="0.3">
      <c r="A12" s="2"/>
      <c r="B12" s="65"/>
      <c r="C12" s="65"/>
      <c r="D12" s="65"/>
      <c r="E12" s="65"/>
      <c r="F12" s="65"/>
    </row>
    <row r="13" spans="1:6" ht="14.45" x14ac:dyDescent="0.3">
      <c r="A13" s="138" t="s">
        <v>20</v>
      </c>
      <c r="B13" s="139"/>
      <c r="C13" s="139"/>
      <c r="D13" s="139"/>
      <c r="E13" s="139"/>
      <c r="F13" s="140"/>
    </row>
    <row r="14" spans="1:6" ht="14.45" x14ac:dyDescent="0.3">
      <c r="A14" s="11" t="s">
        <v>16</v>
      </c>
      <c r="B14" s="7" t="s">
        <v>27</v>
      </c>
      <c r="C14" s="7" t="s">
        <v>34</v>
      </c>
      <c r="D14" s="7" t="s">
        <v>0</v>
      </c>
      <c r="E14" s="7" t="s">
        <v>1</v>
      </c>
      <c r="F14" s="7" t="s">
        <v>2</v>
      </c>
    </row>
    <row r="15" spans="1:6" ht="14.45" x14ac:dyDescent="0.3">
      <c r="A15" s="11" t="s">
        <v>49</v>
      </c>
      <c r="B15" s="7" t="s">
        <v>3</v>
      </c>
      <c r="C15" s="7" t="s">
        <v>4</v>
      </c>
      <c r="D15" s="7" t="s">
        <v>118</v>
      </c>
      <c r="E15" s="7" t="s">
        <v>5</v>
      </c>
      <c r="F15" s="7" t="s">
        <v>6</v>
      </c>
    </row>
    <row r="16" spans="1:6" ht="14.45" x14ac:dyDescent="0.3">
      <c r="A16" s="11" t="s">
        <v>17</v>
      </c>
      <c r="B16" s="7" t="s">
        <v>28</v>
      </c>
      <c r="C16" s="7" t="s">
        <v>52</v>
      </c>
      <c r="D16" s="7" t="s">
        <v>7</v>
      </c>
      <c r="E16" s="7" t="s">
        <v>7</v>
      </c>
      <c r="F16" s="7" t="s">
        <v>8</v>
      </c>
    </row>
    <row r="17" spans="1:6" ht="14.45" x14ac:dyDescent="0.3">
      <c r="A17" s="11" t="s">
        <v>18</v>
      </c>
      <c r="B17" s="7" t="s">
        <v>51</v>
      </c>
      <c r="C17" s="7" t="s">
        <v>111</v>
      </c>
      <c r="D17" s="7" t="s">
        <v>9</v>
      </c>
      <c r="E17" s="7" t="s">
        <v>9</v>
      </c>
      <c r="F17" s="7" t="s">
        <v>9</v>
      </c>
    </row>
    <row r="18" spans="1:6" ht="14.45" x14ac:dyDescent="0.3">
      <c r="A18" s="5"/>
      <c r="B18" s="1"/>
      <c r="C18" s="1"/>
      <c r="D18" s="1"/>
      <c r="E18" s="1"/>
      <c r="F18" s="1"/>
    </row>
    <row r="19" spans="1:6" ht="14.45" x14ac:dyDescent="0.3">
      <c r="A19" s="141" t="s">
        <v>23</v>
      </c>
      <c r="B19" s="142"/>
      <c r="C19" s="142"/>
      <c r="D19" s="142"/>
      <c r="E19" s="143"/>
      <c r="F19" s="4"/>
    </row>
    <row r="20" spans="1:6" x14ac:dyDescent="0.25">
      <c r="A20" s="11" t="s">
        <v>19</v>
      </c>
      <c r="B20" s="6" t="s">
        <v>7</v>
      </c>
      <c r="C20" s="6" t="s">
        <v>10</v>
      </c>
      <c r="D20" s="79" t="s">
        <v>117</v>
      </c>
      <c r="E20" s="79" t="s">
        <v>116</v>
      </c>
      <c r="F20" s="4"/>
    </row>
    <row r="21" spans="1:6" x14ac:dyDescent="0.25">
      <c r="A21" s="11" t="s">
        <v>21</v>
      </c>
      <c r="B21" s="122" t="s">
        <v>457</v>
      </c>
      <c r="C21" s="6" t="s">
        <v>282</v>
      </c>
      <c r="D21" s="83" t="s">
        <v>419</v>
      </c>
      <c r="E21" s="83" t="s">
        <v>418</v>
      </c>
      <c r="F21" s="4"/>
    </row>
    <row r="22" spans="1:6" x14ac:dyDescent="0.25">
      <c r="A22" s="11" t="s">
        <v>22</v>
      </c>
      <c r="B22" s="144" t="s">
        <v>308</v>
      </c>
      <c r="C22" s="145"/>
      <c r="D22" s="145"/>
      <c r="E22" s="146"/>
      <c r="F22" s="1"/>
    </row>
    <row r="23" spans="1:6" ht="14.45" x14ac:dyDescent="0.3">
      <c r="A23" s="5"/>
      <c r="B23" s="3"/>
      <c r="C23" s="3"/>
      <c r="D23" s="4"/>
      <c r="E23" s="4"/>
      <c r="F23" s="1"/>
    </row>
    <row r="24" spans="1:6" ht="14.45" x14ac:dyDescent="0.3">
      <c r="A24" s="141" t="s">
        <v>309</v>
      </c>
      <c r="B24" s="142"/>
      <c r="C24" s="142"/>
      <c r="D24" s="142"/>
      <c r="E24" s="143"/>
      <c r="F24" s="1"/>
    </row>
    <row r="25" spans="1:6" x14ac:dyDescent="0.25">
      <c r="A25" s="11" t="s">
        <v>19</v>
      </c>
      <c r="B25" s="6" t="s">
        <v>7</v>
      </c>
      <c r="C25" s="6" t="s">
        <v>10</v>
      </c>
      <c r="D25" s="79" t="s">
        <v>12</v>
      </c>
      <c r="E25" s="79" t="s">
        <v>11</v>
      </c>
      <c r="F25" s="1"/>
    </row>
    <row r="26" spans="1:6" x14ac:dyDescent="0.25">
      <c r="A26" s="11" t="s">
        <v>24</v>
      </c>
      <c r="B26" s="79" t="s">
        <v>9</v>
      </c>
      <c r="C26" s="79" t="s">
        <v>9</v>
      </c>
      <c r="D26" s="83" t="s">
        <v>9</v>
      </c>
      <c r="E26" s="130" t="s">
        <v>417</v>
      </c>
      <c r="F26" s="4"/>
    </row>
    <row r="27" spans="1:6" ht="14.45" x14ac:dyDescent="0.3">
      <c r="A27" s="5"/>
      <c r="B27" s="3"/>
      <c r="C27" s="3"/>
      <c r="D27" s="4"/>
      <c r="E27" s="4"/>
      <c r="F27" s="4"/>
    </row>
    <row r="28" spans="1:6" ht="14.45" x14ac:dyDescent="0.3">
      <c r="A28" s="141" t="s">
        <v>29</v>
      </c>
      <c r="B28" s="142"/>
      <c r="C28" s="142"/>
      <c r="D28" s="142"/>
      <c r="E28" s="142"/>
      <c r="F28" s="143"/>
    </row>
    <row r="29" spans="1:6" ht="14.45" x14ac:dyDescent="0.3">
      <c r="A29" s="11" t="s">
        <v>19</v>
      </c>
      <c r="B29" s="6" t="s">
        <v>13</v>
      </c>
      <c r="C29" s="6" t="s">
        <v>30</v>
      </c>
      <c r="D29" s="6" t="s">
        <v>10</v>
      </c>
      <c r="E29" s="6" t="s">
        <v>14</v>
      </c>
      <c r="F29" s="6" t="s">
        <v>31</v>
      </c>
    </row>
    <row r="30" spans="1:6" ht="14.45" x14ac:dyDescent="0.3">
      <c r="A30" s="11" t="s">
        <v>25</v>
      </c>
      <c r="B30" s="6">
        <v>27.6</v>
      </c>
      <c r="C30" s="6" t="s">
        <v>208</v>
      </c>
      <c r="D30" s="6" t="s">
        <v>209</v>
      </c>
      <c r="E30" s="6">
        <v>20.7</v>
      </c>
      <c r="F30" s="6" t="s">
        <v>15</v>
      </c>
    </row>
    <row r="31" spans="1:6" ht="14.45" x14ac:dyDescent="0.3">
      <c r="A31" s="11" t="s">
        <v>26</v>
      </c>
      <c r="B31" s="8"/>
      <c r="C31" s="8"/>
      <c r="D31" s="8"/>
      <c r="E31" s="8"/>
      <c r="F31" s="8"/>
    </row>
    <row r="32" spans="1:6" ht="14.45" x14ac:dyDescent="0.3">
      <c r="A32" s="5"/>
      <c r="B32" s="9"/>
      <c r="C32" s="9"/>
      <c r="D32" s="9"/>
      <c r="E32" s="4"/>
      <c r="F32" s="4"/>
    </row>
    <row r="33" spans="1:6" ht="14.45" x14ac:dyDescent="0.3">
      <c r="A33" s="141" t="s">
        <v>113</v>
      </c>
      <c r="B33" s="142"/>
      <c r="C33" s="142"/>
      <c r="D33" s="143"/>
      <c r="E33" s="4"/>
      <c r="F33" s="4"/>
    </row>
    <row r="34" spans="1:6" ht="14.45" x14ac:dyDescent="0.3">
      <c r="A34" s="11" t="s">
        <v>19</v>
      </c>
      <c r="B34" s="6" t="s">
        <v>7</v>
      </c>
      <c r="C34" s="6" t="s">
        <v>10</v>
      </c>
      <c r="D34" s="6" t="s">
        <v>8</v>
      </c>
      <c r="E34" s="4"/>
      <c r="F34" s="4"/>
    </row>
    <row r="35" spans="1:6" ht="14.45" x14ac:dyDescent="0.3">
      <c r="A35" s="11" t="s">
        <v>114</v>
      </c>
      <c r="B35" s="8">
        <v>50</v>
      </c>
      <c r="C35" s="8">
        <v>75</v>
      </c>
      <c r="D35" s="8">
        <v>60</v>
      </c>
      <c r="E35" s="10"/>
      <c r="F35" s="10"/>
    </row>
    <row r="36" spans="1:6" ht="14.45" x14ac:dyDescent="0.3">
      <c r="A36" s="11" t="s">
        <v>115</v>
      </c>
      <c r="B36" s="66">
        <v>15</v>
      </c>
      <c r="C36" s="66">
        <v>15</v>
      </c>
      <c r="D36" s="66">
        <v>15</v>
      </c>
      <c r="E36" s="10"/>
      <c r="F36" s="10"/>
    </row>
    <row r="38" spans="1:6" ht="14.45" x14ac:dyDescent="0.3">
      <c r="C38" s="13"/>
      <c r="D38" s="13"/>
    </row>
  </sheetData>
  <mergeCells count="18">
    <mergeCell ref="E10:F10"/>
    <mergeCell ref="E11:F11"/>
    <mergeCell ref="A1:B11"/>
    <mergeCell ref="D1:F1"/>
    <mergeCell ref="E2:F2"/>
    <mergeCell ref="E3:F3"/>
    <mergeCell ref="E4:F4"/>
    <mergeCell ref="E5:F5"/>
    <mergeCell ref="E6:F6"/>
    <mergeCell ref="E7:F7"/>
    <mergeCell ref="E8:F8"/>
    <mergeCell ref="E9:F9"/>
    <mergeCell ref="A13:F13"/>
    <mergeCell ref="A19:E19"/>
    <mergeCell ref="A24:E24"/>
    <mergeCell ref="A28:F28"/>
    <mergeCell ref="A33:D33"/>
    <mergeCell ref="B22:E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selection activeCell="D31" sqref="D31"/>
    </sheetView>
  </sheetViews>
  <sheetFormatPr baseColWidth="10" defaultRowHeight="15" x14ac:dyDescent="0.25"/>
  <cols>
    <col min="1" max="1" width="26.7109375" customWidth="1"/>
    <col min="2" max="2" width="14.7109375" customWidth="1"/>
    <col min="3" max="3" width="17.42578125" customWidth="1"/>
    <col min="4" max="4" width="19.140625" bestFit="1" customWidth="1"/>
    <col min="7" max="7" width="16.42578125" customWidth="1"/>
    <col min="8" max="8" width="12.5703125" customWidth="1"/>
    <col min="10" max="10" width="19.85546875" customWidth="1"/>
    <col min="11" max="11" width="6.7109375" customWidth="1"/>
    <col min="18" max="18" width="14" customWidth="1"/>
  </cols>
  <sheetData>
    <row r="1" spans="1:18" ht="14.45" x14ac:dyDescent="0.3">
      <c r="A1" s="153" t="s">
        <v>294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8" ht="14.45" x14ac:dyDescent="0.3">
      <c r="A2" s="15" t="s">
        <v>53</v>
      </c>
      <c r="B2" s="15" t="s">
        <v>119</v>
      </c>
      <c r="C2" s="63" t="s">
        <v>307</v>
      </c>
      <c r="D2" s="46" t="s">
        <v>306</v>
      </c>
      <c r="E2" s="46" t="s">
        <v>301</v>
      </c>
      <c r="F2" s="46" t="s">
        <v>305</v>
      </c>
      <c r="G2" s="63" t="s">
        <v>304</v>
      </c>
      <c r="H2" s="15" t="s">
        <v>303</v>
      </c>
      <c r="I2" s="15" t="s">
        <v>302</v>
      </c>
      <c r="J2" s="16" t="s">
        <v>105</v>
      </c>
    </row>
    <row r="3" spans="1:18" thickBot="1" x14ac:dyDescent="0.35">
      <c r="A3" s="17" t="s">
        <v>104</v>
      </c>
      <c r="B3" s="22">
        <f>QUARTILE(B26:B29,0)</f>
        <v>9.48</v>
      </c>
      <c r="C3" s="24">
        <v>9.48</v>
      </c>
      <c r="D3" s="24">
        <v>10.199999999999999</v>
      </c>
      <c r="E3" s="24">
        <f>MEDIAN(B26:B29)</f>
        <v>11.55</v>
      </c>
      <c r="F3" s="24">
        <v>19.8</v>
      </c>
      <c r="G3" s="24">
        <v>27.3</v>
      </c>
      <c r="H3" s="22">
        <f>QUARTILE(B26:B29,4)</f>
        <v>27.29</v>
      </c>
      <c r="I3" s="22">
        <f>AVERAGE(B26:B29)</f>
        <v>14.967499999999999</v>
      </c>
      <c r="J3" s="18">
        <v>4</v>
      </c>
    </row>
    <row r="4" spans="1:18" ht="14.45" x14ac:dyDescent="0.3">
      <c r="A4" s="18" t="s">
        <v>1</v>
      </c>
      <c r="B4" s="22">
        <f>QUARTILE(B30:B55,0)</f>
        <v>9.9499999999999993</v>
      </c>
      <c r="C4" s="24">
        <v>10</v>
      </c>
      <c r="D4" s="24">
        <v>29.6</v>
      </c>
      <c r="E4" s="24">
        <f>MEDIAN(B30:B55)</f>
        <v>56.870000000000005</v>
      </c>
      <c r="F4" s="24">
        <v>102.9</v>
      </c>
      <c r="G4" s="24">
        <v>203.6</v>
      </c>
      <c r="H4" s="22">
        <f>QUARTILE(B30:B55,4)</f>
        <v>301.45</v>
      </c>
      <c r="I4" s="22">
        <f>AVERAGE(B30:B55)</f>
        <v>81.326538461538448</v>
      </c>
      <c r="J4" s="18">
        <v>26</v>
      </c>
      <c r="L4" s="154" t="s">
        <v>211</v>
      </c>
      <c r="M4" s="155"/>
      <c r="N4" s="155"/>
      <c r="O4" s="155"/>
      <c r="P4" s="155"/>
      <c r="Q4" s="155"/>
      <c r="R4" s="156"/>
    </row>
    <row r="5" spans="1:18" ht="14.45" x14ac:dyDescent="0.3">
      <c r="A5" s="18" t="s">
        <v>0</v>
      </c>
      <c r="B5" s="22">
        <f>QUARTILE(B56:B66,0)</f>
        <v>5.01</v>
      </c>
      <c r="C5" s="24">
        <v>5</v>
      </c>
      <c r="D5" s="24">
        <v>14.8</v>
      </c>
      <c r="E5" s="24">
        <f>MEDIAN(B56:B66)</f>
        <v>17.12</v>
      </c>
      <c r="F5" s="24">
        <v>39.1</v>
      </c>
      <c r="G5" s="24">
        <v>59.47</v>
      </c>
      <c r="H5" s="22">
        <f>QUARTILE(B56:B66,4)</f>
        <v>100.9</v>
      </c>
      <c r="I5" s="22">
        <f>AVERAGE(B56:B66)</f>
        <v>29.787272727272729</v>
      </c>
      <c r="J5" s="18">
        <v>11</v>
      </c>
      <c r="L5" s="157" t="s">
        <v>296</v>
      </c>
      <c r="M5" s="158"/>
      <c r="N5" s="158"/>
      <c r="O5" s="158"/>
      <c r="P5" s="158"/>
      <c r="Q5" s="158"/>
      <c r="R5" s="159"/>
    </row>
    <row r="6" spans="1:18" thickBot="1" x14ac:dyDescent="0.35">
      <c r="A6" s="18" t="s">
        <v>34</v>
      </c>
      <c r="B6" s="22">
        <f>QUARTILE(B67:B99,0)</f>
        <v>7.92</v>
      </c>
      <c r="C6" s="24">
        <v>7.9</v>
      </c>
      <c r="D6" s="24">
        <v>37.1</v>
      </c>
      <c r="E6" s="24">
        <f>MEDIAN(B67:B99)</f>
        <v>63.48</v>
      </c>
      <c r="F6" s="24">
        <v>109.1</v>
      </c>
      <c r="G6" s="24">
        <v>216.8</v>
      </c>
      <c r="H6" s="22">
        <f>QUARTILE(B67:B99,4)</f>
        <v>691.34</v>
      </c>
      <c r="I6" s="22">
        <f>AVERAGE(B67:B99)</f>
        <v>104.07666666666667</v>
      </c>
      <c r="J6" s="18">
        <v>33</v>
      </c>
      <c r="L6" s="160" t="s">
        <v>297</v>
      </c>
      <c r="M6" s="161"/>
      <c r="N6" s="161"/>
      <c r="O6" s="161"/>
      <c r="P6" s="161"/>
      <c r="Q6" s="161"/>
      <c r="R6" s="162"/>
    </row>
    <row r="7" spans="1:18" ht="14.45" x14ac:dyDescent="0.3">
      <c r="A7" s="18" t="s">
        <v>102</v>
      </c>
      <c r="B7" s="22">
        <f>QUARTILE(B100:B107,0)</f>
        <v>4.99</v>
      </c>
      <c r="C7" s="24">
        <v>5</v>
      </c>
      <c r="D7" s="24">
        <v>7.9</v>
      </c>
      <c r="E7" s="24">
        <f>MEDIAN(B100:B107)</f>
        <v>14.91</v>
      </c>
      <c r="F7" s="24">
        <v>31.1</v>
      </c>
      <c r="G7" s="24">
        <v>49.9</v>
      </c>
      <c r="H7" s="22">
        <f>QUARTILE(B100:B107,4)</f>
        <v>49.86</v>
      </c>
      <c r="I7" s="22">
        <f>AVERAGE(B100:B107)</f>
        <v>20.327500000000001</v>
      </c>
      <c r="J7" s="18">
        <v>8</v>
      </c>
    </row>
    <row r="8" spans="1:18" ht="14.45" x14ac:dyDescent="0.3">
      <c r="A8" s="18" t="s">
        <v>103</v>
      </c>
      <c r="B8" s="23">
        <f t="shared" ref="B8:D8" si="0">SUM(B3:B7)</f>
        <v>37.35</v>
      </c>
      <c r="C8" s="23">
        <f t="shared" si="0"/>
        <v>37.380000000000003</v>
      </c>
      <c r="D8" s="23">
        <f t="shared" si="0"/>
        <v>99.6</v>
      </c>
      <c r="E8" s="23">
        <f>SUM(E3:E7)</f>
        <v>163.93</v>
      </c>
      <c r="F8" s="23">
        <f t="shared" ref="F8:J8" si="1">SUM(F3:F7)</f>
        <v>302</v>
      </c>
      <c r="G8" s="23">
        <f t="shared" si="1"/>
        <v>557.07000000000005</v>
      </c>
      <c r="H8" s="23">
        <f t="shared" si="1"/>
        <v>1170.8399999999999</v>
      </c>
      <c r="I8" s="23">
        <f t="shared" si="1"/>
        <v>250.48547785547782</v>
      </c>
      <c r="J8" s="19">
        <f t="shared" si="1"/>
        <v>82</v>
      </c>
    </row>
    <row r="10" spans="1:18" ht="14.45" x14ac:dyDescent="0.3">
      <c r="A10" s="141" t="s">
        <v>122</v>
      </c>
      <c r="B10" s="142"/>
      <c r="C10" s="142"/>
      <c r="D10" s="142"/>
      <c r="E10" s="142"/>
      <c r="F10" s="143"/>
      <c r="H10" s="141" t="s">
        <v>121</v>
      </c>
      <c r="I10" s="142"/>
      <c r="J10" s="143"/>
    </row>
    <row r="11" spans="1:18" ht="14.45" x14ac:dyDescent="0.3">
      <c r="A11" s="42"/>
      <c r="B11" s="36" t="s">
        <v>110</v>
      </c>
      <c r="C11" s="15" t="s">
        <v>109</v>
      </c>
      <c r="D11" s="15" t="s">
        <v>106</v>
      </c>
      <c r="E11" s="36" t="s">
        <v>107</v>
      </c>
      <c r="F11" s="15" t="s">
        <v>108</v>
      </c>
      <c r="H11" s="44" t="s">
        <v>298</v>
      </c>
      <c r="I11" s="44" t="s">
        <v>108</v>
      </c>
      <c r="J11" s="46" t="s">
        <v>301</v>
      </c>
    </row>
    <row r="12" spans="1:18" x14ac:dyDescent="0.25">
      <c r="A12" s="48" t="s">
        <v>298</v>
      </c>
      <c r="B12" s="26">
        <v>12</v>
      </c>
      <c r="C12" s="31">
        <v>118</v>
      </c>
      <c r="D12" s="31">
        <v>193</v>
      </c>
      <c r="E12" s="26">
        <v>323</v>
      </c>
      <c r="F12" s="34" t="s">
        <v>62</v>
      </c>
      <c r="H12" s="53">
        <v>1</v>
      </c>
      <c r="I12" s="18" t="s">
        <v>62</v>
      </c>
      <c r="J12" s="150">
        <v>1</v>
      </c>
    </row>
    <row r="13" spans="1:18" x14ac:dyDescent="0.25">
      <c r="A13" s="49" t="s">
        <v>299</v>
      </c>
      <c r="B13" s="27">
        <v>3.7199999999999997E-2</v>
      </c>
      <c r="C13" s="32">
        <v>0.36530000000000001</v>
      </c>
      <c r="D13" s="32">
        <v>0.59750000000000003</v>
      </c>
      <c r="E13" s="28">
        <v>1</v>
      </c>
      <c r="F13" s="34"/>
      <c r="H13" s="53">
        <v>1</v>
      </c>
      <c r="I13" s="18" t="s">
        <v>62</v>
      </c>
      <c r="J13" s="151"/>
    </row>
    <row r="14" spans="1:18" x14ac:dyDescent="0.25">
      <c r="A14" s="48" t="s">
        <v>298</v>
      </c>
      <c r="B14" s="37">
        <v>8</v>
      </c>
      <c r="C14" s="38">
        <v>25</v>
      </c>
      <c r="D14" s="38">
        <v>55</v>
      </c>
      <c r="E14" s="39">
        <v>88</v>
      </c>
      <c r="F14" s="21" t="s">
        <v>62</v>
      </c>
      <c r="H14" s="53">
        <v>4</v>
      </c>
      <c r="I14" s="18" t="s">
        <v>62</v>
      </c>
      <c r="J14" s="151"/>
    </row>
    <row r="15" spans="1:18" x14ac:dyDescent="0.25">
      <c r="A15" s="49" t="s">
        <v>299</v>
      </c>
      <c r="B15" s="40">
        <v>9.0899999999999995E-2</v>
      </c>
      <c r="C15" s="33">
        <v>0.28410000000000002</v>
      </c>
      <c r="D15" s="33">
        <v>0.625</v>
      </c>
      <c r="E15" s="41">
        <v>1</v>
      </c>
      <c r="F15" s="25"/>
      <c r="H15" s="53">
        <v>1</v>
      </c>
      <c r="I15" s="18" t="s">
        <v>68</v>
      </c>
      <c r="J15" s="151"/>
    </row>
    <row r="16" spans="1:18" x14ac:dyDescent="0.25">
      <c r="A16" s="50" t="s">
        <v>298</v>
      </c>
      <c r="B16" s="37">
        <v>17</v>
      </c>
      <c r="C16" s="38">
        <v>33</v>
      </c>
      <c r="D16" s="38">
        <v>43</v>
      </c>
      <c r="E16" s="39">
        <v>93</v>
      </c>
      <c r="F16" s="21" t="s">
        <v>68</v>
      </c>
      <c r="H16" s="53">
        <v>1</v>
      </c>
      <c r="I16" s="18" t="s">
        <v>68</v>
      </c>
      <c r="J16" s="151"/>
    </row>
    <row r="17" spans="1:10" x14ac:dyDescent="0.25">
      <c r="A17" s="50" t="s">
        <v>299</v>
      </c>
      <c r="B17" s="40">
        <v>0.18279999999999999</v>
      </c>
      <c r="C17" s="33">
        <v>0.3548</v>
      </c>
      <c r="D17" s="33">
        <v>0.46239999999999998</v>
      </c>
      <c r="E17" s="41">
        <v>1</v>
      </c>
      <c r="F17" s="25"/>
      <c r="H17" s="53">
        <v>1</v>
      </c>
      <c r="I17" s="18" t="s">
        <v>68</v>
      </c>
      <c r="J17" s="152"/>
    </row>
    <row r="18" spans="1:10" ht="14.45" x14ac:dyDescent="0.3">
      <c r="A18" s="48" t="s">
        <v>298</v>
      </c>
      <c r="B18" s="37">
        <v>43</v>
      </c>
      <c r="C18" s="38">
        <v>60</v>
      </c>
      <c r="D18" s="38">
        <v>210</v>
      </c>
      <c r="E18" s="39">
        <v>313</v>
      </c>
      <c r="F18" s="21" t="s">
        <v>68</v>
      </c>
    </row>
    <row r="19" spans="1:10" ht="14.45" x14ac:dyDescent="0.3">
      <c r="A19" s="49" t="s">
        <v>299</v>
      </c>
      <c r="B19" s="40">
        <v>0.13739999999999999</v>
      </c>
      <c r="C19" s="33">
        <v>0.19170000000000001</v>
      </c>
      <c r="D19" s="33">
        <v>0.67090000000000005</v>
      </c>
      <c r="E19" s="41">
        <v>1</v>
      </c>
      <c r="F19" s="35"/>
    </row>
    <row r="20" spans="1:10" ht="14.45" x14ac:dyDescent="0.3">
      <c r="A20" s="48" t="s">
        <v>298</v>
      </c>
      <c r="B20" s="37">
        <v>32</v>
      </c>
      <c r="C20" s="38">
        <v>100</v>
      </c>
      <c r="D20" s="38">
        <v>561</v>
      </c>
      <c r="E20" s="39">
        <v>693</v>
      </c>
      <c r="F20" s="21" t="s">
        <v>68</v>
      </c>
    </row>
    <row r="21" spans="1:10" ht="14.45" x14ac:dyDescent="0.3">
      <c r="A21" s="49" t="s">
        <v>299</v>
      </c>
      <c r="B21" s="40">
        <v>4.6199999999999998E-2</v>
      </c>
      <c r="C21" s="33">
        <v>0.14430000000000001</v>
      </c>
      <c r="D21" s="33">
        <v>0.8095</v>
      </c>
      <c r="E21" s="41">
        <v>1</v>
      </c>
      <c r="F21" s="35"/>
    </row>
    <row r="22" spans="1:10" ht="14.45" x14ac:dyDescent="0.3">
      <c r="A22" s="43" t="s">
        <v>300</v>
      </c>
      <c r="B22" s="29">
        <v>0.09</v>
      </c>
      <c r="C22" s="29">
        <v>0.28000000000000003</v>
      </c>
      <c r="D22" s="29">
        <v>0.63</v>
      </c>
      <c r="E22" s="29">
        <v>1</v>
      </c>
      <c r="F22" s="30"/>
    </row>
    <row r="24" spans="1:10" ht="14.45" x14ac:dyDescent="0.3">
      <c r="A24" s="153" t="s">
        <v>120</v>
      </c>
      <c r="B24" s="153"/>
    </row>
    <row r="25" spans="1:10" ht="14.45" x14ac:dyDescent="0.3">
      <c r="A25" s="15" t="s">
        <v>53</v>
      </c>
      <c r="B25" s="15" t="s">
        <v>295</v>
      </c>
    </row>
    <row r="26" spans="1:10" ht="14.45" x14ac:dyDescent="0.3">
      <c r="A26" s="47" t="s">
        <v>54</v>
      </c>
      <c r="B26" s="47">
        <v>9.48</v>
      </c>
    </row>
    <row r="27" spans="1:10" ht="14.45" x14ac:dyDescent="0.3">
      <c r="A27" s="47" t="s">
        <v>54</v>
      </c>
      <c r="B27" s="47">
        <v>10.86</v>
      </c>
    </row>
    <row r="28" spans="1:10" ht="14.45" x14ac:dyDescent="0.3">
      <c r="A28" s="47" t="s">
        <v>54</v>
      </c>
      <c r="B28" s="47">
        <v>12.24</v>
      </c>
    </row>
    <row r="29" spans="1:10" ht="14.45" x14ac:dyDescent="0.3">
      <c r="A29" s="47" t="s">
        <v>54</v>
      </c>
      <c r="B29" s="47">
        <v>27.29</v>
      </c>
    </row>
    <row r="30" spans="1:10" ht="14.45" x14ac:dyDescent="0.3">
      <c r="A30" s="47" t="s">
        <v>1</v>
      </c>
      <c r="B30" s="47">
        <v>9.9499999999999993</v>
      </c>
    </row>
    <row r="31" spans="1:10" ht="14.45" x14ac:dyDescent="0.3">
      <c r="A31" s="47" t="s">
        <v>1</v>
      </c>
      <c r="B31" s="47">
        <v>14.98</v>
      </c>
    </row>
    <row r="32" spans="1:10" ht="14.45" x14ac:dyDescent="0.3">
      <c r="A32" s="47" t="s">
        <v>1</v>
      </c>
      <c r="B32" s="47">
        <v>16.88</v>
      </c>
    </row>
    <row r="33" spans="1:2" ht="14.45" x14ac:dyDescent="0.3">
      <c r="A33" s="47" t="s">
        <v>1</v>
      </c>
      <c r="B33" s="47">
        <v>20.02</v>
      </c>
    </row>
    <row r="34" spans="1:2" ht="14.45" x14ac:dyDescent="0.3">
      <c r="A34" s="47" t="s">
        <v>1</v>
      </c>
      <c r="B34" s="47">
        <v>27.68</v>
      </c>
    </row>
    <row r="35" spans="1:2" ht="14.45" x14ac:dyDescent="0.3">
      <c r="A35" s="47" t="s">
        <v>1</v>
      </c>
      <c r="B35" s="47">
        <v>28.16</v>
      </c>
    </row>
    <row r="36" spans="1:2" ht="14.45" x14ac:dyDescent="0.3">
      <c r="A36" s="47" t="s">
        <v>1</v>
      </c>
      <c r="B36" s="47">
        <v>29.63</v>
      </c>
    </row>
    <row r="37" spans="1:2" ht="14.45" x14ac:dyDescent="0.3">
      <c r="A37" s="47" t="s">
        <v>1</v>
      </c>
      <c r="B37" s="47">
        <v>30.66</v>
      </c>
    </row>
    <row r="38" spans="1:2" ht="14.45" x14ac:dyDescent="0.3">
      <c r="A38" s="47" t="s">
        <v>1</v>
      </c>
      <c r="B38" s="47">
        <v>32.270000000000003</v>
      </c>
    </row>
    <row r="39" spans="1:2" ht="14.45" x14ac:dyDescent="0.3">
      <c r="A39" s="47" t="s">
        <v>1</v>
      </c>
      <c r="B39" s="47">
        <v>40.28</v>
      </c>
    </row>
    <row r="40" spans="1:2" ht="14.45" x14ac:dyDescent="0.3">
      <c r="A40" s="47" t="s">
        <v>1</v>
      </c>
      <c r="B40" s="47">
        <v>48.6</v>
      </c>
    </row>
    <row r="41" spans="1:2" ht="14.45" x14ac:dyDescent="0.3">
      <c r="A41" s="47" t="s">
        <v>1</v>
      </c>
      <c r="B41" s="47">
        <v>49.43</v>
      </c>
    </row>
    <row r="42" spans="1:2" ht="14.45" x14ac:dyDescent="0.3">
      <c r="A42" s="47" t="s">
        <v>1</v>
      </c>
      <c r="B42" s="47">
        <v>52.03</v>
      </c>
    </row>
    <row r="43" spans="1:2" ht="14.45" x14ac:dyDescent="0.3">
      <c r="A43" s="47" t="s">
        <v>1</v>
      </c>
      <c r="B43" s="47">
        <v>61.71</v>
      </c>
    </row>
    <row r="44" spans="1:2" x14ac:dyDescent="0.25">
      <c r="A44" s="47" t="s">
        <v>1</v>
      </c>
      <c r="B44" s="47">
        <v>69.53</v>
      </c>
    </row>
    <row r="45" spans="1:2" x14ac:dyDescent="0.25">
      <c r="A45" s="47" t="s">
        <v>1</v>
      </c>
      <c r="B45" s="47">
        <v>71.94</v>
      </c>
    </row>
    <row r="46" spans="1:2" x14ac:dyDescent="0.25">
      <c r="A46" s="47" t="s">
        <v>1</v>
      </c>
      <c r="B46" s="47">
        <v>75.72</v>
      </c>
    </row>
    <row r="47" spans="1:2" x14ac:dyDescent="0.25">
      <c r="A47" s="47" t="s">
        <v>1</v>
      </c>
      <c r="B47" s="47">
        <v>96.14</v>
      </c>
    </row>
    <row r="48" spans="1:2" x14ac:dyDescent="0.25">
      <c r="A48" s="47" t="s">
        <v>1</v>
      </c>
      <c r="B48" s="47">
        <v>99.48</v>
      </c>
    </row>
    <row r="49" spans="1:2" x14ac:dyDescent="0.25">
      <c r="A49" s="47" t="s">
        <v>1</v>
      </c>
      <c r="B49" s="47">
        <v>102.93</v>
      </c>
    </row>
    <row r="50" spans="1:2" x14ac:dyDescent="0.25">
      <c r="A50" s="47" t="s">
        <v>1</v>
      </c>
      <c r="B50" s="47">
        <v>120.01</v>
      </c>
    </row>
    <row r="51" spans="1:2" x14ac:dyDescent="0.25">
      <c r="A51" s="47" t="s">
        <v>1</v>
      </c>
      <c r="B51" s="47">
        <v>152.38</v>
      </c>
    </row>
    <row r="52" spans="1:2" x14ac:dyDescent="0.25">
      <c r="A52" s="47" t="s">
        <v>1</v>
      </c>
      <c r="B52" s="47">
        <v>168.8</v>
      </c>
    </row>
    <row r="53" spans="1:2" x14ac:dyDescent="0.25">
      <c r="A53" s="47" t="s">
        <v>1</v>
      </c>
      <c r="B53" s="47">
        <v>190.2</v>
      </c>
    </row>
    <row r="54" spans="1:2" x14ac:dyDescent="0.25">
      <c r="A54" s="47" t="s">
        <v>1</v>
      </c>
      <c r="B54" s="47">
        <v>203.63</v>
      </c>
    </row>
    <row r="55" spans="1:2" x14ac:dyDescent="0.25">
      <c r="A55" s="47" t="s">
        <v>1</v>
      </c>
      <c r="B55" s="47">
        <v>301.45</v>
      </c>
    </row>
    <row r="56" spans="1:2" x14ac:dyDescent="0.25">
      <c r="A56" s="47" t="s">
        <v>0</v>
      </c>
      <c r="B56" s="47">
        <v>5.01</v>
      </c>
    </row>
    <row r="57" spans="1:2" x14ac:dyDescent="0.25">
      <c r="A57" s="47" t="s">
        <v>0</v>
      </c>
      <c r="B57" s="47">
        <v>7.05</v>
      </c>
    </row>
    <row r="58" spans="1:2" x14ac:dyDescent="0.25">
      <c r="A58" s="47" t="s">
        <v>0</v>
      </c>
      <c r="B58" s="47">
        <v>14.44</v>
      </c>
    </row>
    <row r="59" spans="1:2" x14ac:dyDescent="0.25">
      <c r="A59" s="47" t="s">
        <v>0</v>
      </c>
      <c r="B59" s="47">
        <v>15.72</v>
      </c>
    </row>
    <row r="60" spans="1:2" x14ac:dyDescent="0.25">
      <c r="A60" s="47" t="s">
        <v>0</v>
      </c>
      <c r="B60" s="47">
        <v>16.829999999999998</v>
      </c>
    </row>
    <row r="61" spans="1:2" x14ac:dyDescent="0.25">
      <c r="A61" s="47" t="s">
        <v>0</v>
      </c>
      <c r="B61" s="47">
        <v>17.12</v>
      </c>
    </row>
    <row r="62" spans="1:2" x14ac:dyDescent="0.25">
      <c r="A62" s="47" t="s">
        <v>0</v>
      </c>
      <c r="B62" s="47">
        <v>19.29</v>
      </c>
    </row>
    <row r="63" spans="1:2" x14ac:dyDescent="0.25">
      <c r="A63" s="47" t="s">
        <v>0</v>
      </c>
      <c r="B63" s="47">
        <v>29.55</v>
      </c>
    </row>
    <row r="64" spans="1:2" x14ac:dyDescent="0.25">
      <c r="A64" s="47" t="s">
        <v>0</v>
      </c>
      <c r="B64" s="47">
        <v>42.28</v>
      </c>
    </row>
    <row r="65" spans="1:2" x14ac:dyDescent="0.25">
      <c r="A65" s="47" t="s">
        <v>0</v>
      </c>
      <c r="B65" s="47">
        <v>59.47</v>
      </c>
    </row>
    <row r="66" spans="1:2" x14ac:dyDescent="0.25">
      <c r="A66" s="47" t="s">
        <v>0</v>
      </c>
      <c r="B66" s="47">
        <v>100.9</v>
      </c>
    </row>
    <row r="67" spans="1:2" x14ac:dyDescent="0.25">
      <c r="A67" s="47" t="s">
        <v>34</v>
      </c>
      <c r="B67" s="47">
        <v>7.92</v>
      </c>
    </row>
    <row r="68" spans="1:2" x14ac:dyDescent="0.25">
      <c r="A68" s="47" t="s">
        <v>34</v>
      </c>
      <c r="B68" s="47">
        <v>9.89</v>
      </c>
    </row>
    <row r="69" spans="1:2" x14ac:dyDescent="0.25">
      <c r="A69" s="47" t="s">
        <v>34</v>
      </c>
      <c r="B69" s="47">
        <v>15.95</v>
      </c>
    </row>
    <row r="70" spans="1:2" x14ac:dyDescent="0.25">
      <c r="A70" s="47" t="s">
        <v>34</v>
      </c>
      <c r="B70" s="47">
        <v>22.05</v>
      </c>
    </row>
    <row r="71" spans="1:2" x14ac:dyDescent="0.25">
      <c r="A71" s="47" t="s">
        <v>34</v>
      </c>
      <c r="B71" s="47">
        <v>26.15</v>
      </c>
    </row>
    <row r="72" spans="1:2" x14ac:dyDescent="0.25">
      <c r="A72" s="47" t="s">
        <v>34</v>
      </c>
      <c r="B72" s="47">
        <v>28</v>
      </c>
    </row>
    <row r="73" spans="1:2" x14ac:dyDescent="0.25">
      <c r="A73" s="47" t="s">
        <v>34</v>
      </c>
      <c r="B73" s="47">
        <v>33.770000000000003</v>
      </c>
    </row>
    <row r="74" spans="1:2" x14ac:dyDescent="0.25">
      <c r="A74" s="47" t="s">
        <v>34</v>
      </c>
      <c r="B74" s="47">
        <v>36.159999999999997</v>
      </c>
    </row>
    <row r="75" spans="1:2" x14ac:dyDescent="0.25">
      <c r="A75" s="47" t="s">
        <v>34</v>
      </c>
      <c r="B75" s="47">
        <v>37.409999999999997</v>
      </c>
    </row>
    <row r="76" spans="1:2" x14ac:dyDescent="0.25">
      <c r="A76" s="47" t="s">
        <v>34</v>
      </c>
      <c r="B76" s="47">
        <v>38.06</v>
      </c>
    </row>
    <row r="77" spans="1:2" x14ac:dyDescent="0.25">
      <c r="A77" s="47" t="s">
        <v>34</v>
      </c>
      <c r="B77" s="47">
        <v>40.049999999999997</v>
      </c>
    </row>
    <row r="78" spans="1:2" x14ac:dyDescent="0.25">
      <c r="A78" s="47" t="s">
        <v>34</v>
      </c>
      <c r="B78" s="47">
        <v>42.88</v>
      </c>
    </row>
    <row r="79" spans="1:2" x14ac:dyDescent="0.25">
      <c r="A79" s="47" t="s">
        <v>34</v>
      </c>
      <c r="B79" s="47">
        <v>43.62</v>
      </c>
    </row>
    <row r="80" spans="1:2" x14ac:dyDescent="0.25">
      <c r="A80" s="47" t="s">
        <v>34</v>
      </c>
      <c r="B80" s="47">
        <v>48.32</v>
      </c>
    </row>
    <row r="81" spans="1:2" x14ac:dyDescent="0.25">
      <c r="A81" s="47" t="s">
        <v>34</v>
      </c>
      <c r="B81" s="47">
        <v>59.3</v>
      </c>
    </row>
    <row r="82" spans="1:2" x14ac:dyDescent="0.25">
      <c r="A82" s="47" t="s">
        <v>34</v>
      </c>
      <c r="B82" s="47">
        <v>60.32</v>
      </c>
    </row>
    <row r="83" spans="1:2" x14ac:dyDescent="0.25">
      <c r="A83" s="47" t="s">
        <v>34</v>
      </c>
      <c r="B83" s="47">
        <v>63.48</v>
      </c>
    </row>
    <row r="84" spans="1:2" x14ac:dyDescent="0.25">
      <c r="A84" s="47" t="s">
        <v>34</v>
      </c>
      <c r="B84" s="47">
        <v>70.319999999999993</v>
      </c>
    </row>
    <row r="85" spans="1:2" x14ac:dyDescent="0.25">
      <c r="A85" s="47" t="s">
        <v>34</v>
      </c>
      <c r="B85" s="47">
        <v>75.290000000000006</v>
      </c>
    </row>
    <row r="86" spans="1:2" x14ac:dyDescent="0.25">
      <c r="A86" s="47" t="s">
        <v>34</v>
      </c>
      <c r="B86" s="47">
        <v>79.239999999999995</v>
      </c>
    </row>
    <row r="87" spans="1:2" x14ac:dyDescent="0.25">
      <c r="A87" s="47" t="s">
        <v>34</v>
      </c>
      <c r="B87" s="47">
        <v>80.599999999999994</v>
      </c>
    </row>
    <row r="88" spans="1:2" x14ac:dyDescent="0.25">
      <c r="A88" s="47" t="s">
        <v>34</v>
      </c>
      <c r="B88" s="47">
        <v>93.98</v>
      </c>
    </row>
    <row r="89" spans="1:2" x14ac:dyDescent="0.25">
      <c r="A89" s="47" t="s">
        <v>34</v>
      </c>
      <c r="B89" s="47">
        <v>97.24</v>
      </c>
    </row>
    <row r="90" spans="1:2" x14ac:dyDescent="0.25">
      <c r="A90" s="47" t="s">
        <v>34</v>
      </c>
      <c r="B90" s="47">
        <v>100.61</v>
      </c>
    </row>
    <row r="91" spans="1:2" x14ac:dyDescent="0.25">
      <c r="A91" s="47" t="s">
        <v>34</v>
      </c>
      <c r="B91" s="47">
        <v>107.72</v>
      </c>
    </row>
    <row r="92" spans="1:2" x14ac:dyDescent="0.25">
      <c r="A92" s="47" t="s">
        <v>34</v>
      </c>
      <c r="B92" s="47">
        <v>113.37</v>
      </c>
    </row>
    <row r="93" spans="1:2" x14ac:dyDescent="0.25">
      <c r="A93" s="47" t="s">
        <v>34</v>
      </c>
      <c r="B93" s="47">
        <v>119.32</v>
      </c>
    </row>
    <row r="94" spans="1:2" x14ac:dyDescent="0.25">
      <c r="A94" s="47" t="s">
        <v>34</v>
      </c>
      <c r="B94" s="47">
        <v>132.18</v>
      </c>
    </row>
    <row r="95" spans="1:2" x14ac:dyDescent="0.25">
      <c r="A95" s="47" t="s">
        <v>34</v>
      </c>
      <c r="B95" s="47">
        <v>199.04</v>
      </c>
    </row>
    <row r="96" spans="1:2" x14ac:dyDescent="0.25">
      <c r="A96" s="47" t="s">
        <v>34</v>
      </c>
      <c r="B96" s="47">
        <v>216.76</v>
      </c>
    </row>
    <row r="97" spans="1:2" x14ac:dyDescent="0.25">
      <c r="A97" s="47" t="s">
        <v>34</v>
      </c>
      <c r="B97" s="47">
        <v>257.08</v>
      </c>
    </row>
    <row r="98" spans="1:2" x14ac:dyDescent="0.25">
      <c r="A98" s="47" t="s">
        <v>34</v>
      </c>
      <c r="B98" s="47">
        <v>387.11</v>
      </c>
    </row>
    <row r="99" spans="1:2" x14ac:dyDescent="0.25">
      <c r="A99" s="47" t="s">
        <v>34</v>
      </c>
      <c r="B99" s="47">
        <v>691.34</v>
      </c>
    </row>
    <row r="100" spans="1:2" x14ac:dyDescent="0.25">
      <c r="A100" s="47" t="s">
        <v>2</v>
      </c>
      <c r="B100" s="47">
        <v>4.99</v>
      </c>
    </row>
    <row r="101" spans="1:2" x14ac:dyDescent="0.25">
      <c r="A101" s="47" t="s">
        <v>2</v>
      </c>
      <c r="B101" s="47">
        <v>5.91</v>
      </c>
    </row>
    <row r="102" spans="1:2" x14ac:dyDescent="0.25">
      <c r="A102" s="47" t="s">
        <v>2</v>
      </c>
      <c r="B102" s="47">
        <v>9.86</v>
      </c>
    </row>
    <row r="103" spans="1:2" x14ac:dyDescent="0.25">
      <c r="A103" s="47" t="s">
        <v>2</v>
      </c>
      <c r="B103" s="47">
        <v>11.9</v>
      </c>
    </row>
    <row r="104" spans="1:2" x14ac:dyDescent="0.25">
      <c r="A104" s="47" t="s">
        <v>2</v>
      </c>
      <c r="B104" s="47">
        <v>17.920000000000002</v>
      </c>
    </row>
    <row r="105" spans="1:2" x14ac:dyDescent="0.25">
      <c r="A105" s="47" t="s">
        <v>2</v>
      </c>
      <c r="B105" s="47">
        <v>27.92</v>
      </c>
    </row>
    <row r="106" spans="1:2" x14ac:dyDescent="0.25">
      <c r="A106" s="47" t="s">
        <v>2</v>
      </c>
      <c r="B106" s="47">
        <v>34.26</v>
      </c>
    </row>
    <row r="107" spans="1:2" x14ac:dyDescent="0.25">
      <c r="A107" s="47" t="s">
        <v>2</v>
      </c>
      <c r="B107" s="47">
        <v>49.86</v>
      </c>
    </row>
  </sheetData>
  <mergeCells count="8">
    <mergeCell ref="J12:J17"/>
    <mergeCell ref="A1:J1"/>
    <mergeCell ref="A24:B24"/>
    <mergeCell ref="L4:R4"/>
    <mergeCell ref="L5:R5"/>
    <mergeCell ref="L6:R6"/>
    <mergeCell ref="A10:F10"/>
    <mergeCell ref="H10:J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6" sqref="A6"/>
    </sheetView>
  </sheetViews>
  <sheetFormatPr baseColWidth="10" defaultRowHeight="15" x14ac:dyDescent="0.25"/>
  <cols>
    <col min="1" max="1" width="26.85546875" customWidth="1"/>
    <col min="2" max="2" width="34.5703125" customWidth="1"/>
    <col min="3" max="3" width="24.28515625" customWidth="1"/>
    <col min="4" max="4" width="12.7109375" customWidth="1"/>
    <col min="5" max="5" width="33" customWidth="1"/>
    <col min="6" max="6" width="27.42578125" customWidth="1"/>
    <col min="7" max="7" width="26.85546875" customWidth="1"/>
    <col min="8" max="8" width="12.28515625" customWidth="1"/>
    <col min="10" max="10" width="14.85546875" customWidth="1"/>
  </cols>
  <sheetData>
    <row r="1" spans="1:8" ht="15.75" thickBot="1" x14ac:dyDescent="0.3">
      <c r="A1" s="141" t="s">
        <v>421</v>
      </c>
      <c r="B1" s="142"/>
      <c r="C1" s="143"/>
    </row>
    <row r="2" spans="1:8" x14ac:dyDescent="0.25">
      <c r="A2" s="64" t="s">
        <v>281</v>
      </c>
      <c r="B2" s="64" t="s">
        <v>460</v>
      </c>
      <c r="C2" s="64" t="s">
        <v>280</v>
      </c>
      <c r="E2" s="163" t="s">
        <v>455</v>
      </c>
      <c r="F2" s="164"/>
      <c r="G2" s="165"/>
    </row>
    <row r="3" spans="1:8" ht="15.75" thickBot="1" x14ac:dyDescent="0.3">
      <c r="A3" s="87">
        <v>0.4</v>
      </c>
      <c r="B3" s="87">
        <v>0.46</v>
      </c>
      <c r="C3" s="87">
        <v>0.49</v>
      </c>
      <c r="E3" s="166" t="s">
        <v>456</v>
      </c>
      <c r="F3" s="167"/>
      <c r="G3" s="168"/>
    </row>
    <row r="4" spans="1:8" x14ac:dyDescent="0.25">
      <c r="A4" s="87" t="s">
        <v>458</v>
      </c>
      <c r="B4" s="87" t="s">
        <v>279</v>
      </c>
      <c r="C4" s="87" t="s">
        <v>459</v>
      </c>
      <c r="E4" s="137"/>
      <c r="F4" s="137"/>
      <c r="G4" s="137"/>
    </row>
    <row r="5" spans="1:8" x14ac:dyDescent="0.25">
      <c r="A5" s="87">
        <v>0.39</v>
      </c>
      <c r="B5" s="87">
        <v>0.49</v>
      </c>
      <c r="C5" s="87">
        <v>0.53</v>
      </c>
      <c r="E5" s="137"/>
      <c r="F5" s="137"/>
      <c r="G5" s="137"/>
    </row>
    <row r="6" spans="1:8" s="132" customFormat="1" x14ac:dyDescent="0.25">
      <c r="A6" s="136"/>
      <c r="B6" s="136"/>
      <c r="C6" s="136"/>
    </row>
    <row r="8" spans="1:8" x14ac:dyDescent="0.25">
      <c r="A8" s="177" t="s">
        <v>451</v>
      </c>
      <c r="B8" s="178"/>
      <c r="C8" s="179"/>
      <c r="E8" s="149" t="s">
        <v>452</v>
      </c>
      <c r="F8" s="149"/>
      <c r="G8" s="149"/>
    </row>
    <row r="9" spans="1:8" x14ac:dyDescent="0.25">
      <c r="A9" s="175" t="s">
        <v>341</v>
      </c>
      <c r="B9" s="176"/>
      <c r="C9" s="118"/>
      <c r="E9" s="119" t="s">
        <v>251</v>
      </c>
      <c r="F9" s="119">
        <v>1</v>
      </c>
      <c r="G9" s="119">
        <v>2</v>
      </c>
    </row>
    <row r="10" spans="1:8" x14ac:dyDescent="0.25">
      <c r="A10" s="123" t="s">
        <v>434</v>
      </c>
      <c r="B10" s="123">
        <v>0.01</v>
      </c>
      <c r="C10" s="118"/>
      <c r="E10" s="172" t="s">
        <v>341</v>
      </c>
      <c r="F10" s="172"/>
      <c r="G10" s="172"/>
    </row>
    <row r="11" spans="1:8" x14ac:dyDescent="0.25">
      <c r="A11" s="123" t="s">
        <v>435</v>
      </c>
      <c r="B11" s="123">
        <v>2.5000000000000001E-2</v>
      </c>
      <c r="C11" s="118"/>
      <c r="E11" s="122" t="s">
        <v>446</v>
      </c>
      <c r="F11" s="122">
        <v>601</v>
      </c>
      <c r="G11" s="122">
        <v>601</v>
      </c>
    </row>
    <row r="12" spans="1:8" x14ac:dyDescent="0.25">
      <c r="A12" s="123" t="s">
        <v>431</v>
      </c>
      <c r="B12" s="123">
        <v>6.7999999999999996E-3</v>
      </c>
      <c r="C12" s="118"/>
      <c r="E12" s="122" t="s">
        <v>449</v>
      </c>
      <c r="F12" s="122">
        <v>32</v>
      </c>
      <c r="G12" s="122">
        <v>42</v>
      </c>
    </row>
    <row r="13" spans="1:8" x14ac:dyDescent="0.25">
      <c r="A13" s="123" t="s">
        <v>432</v>
      </c>
      <c r="B13" s="123">
        <v>2E-3</v>
      </c>
      <c r="C13" s="118"/>
      <c r="E13" s="122" t="s">
        <v>447</v>
      </c>
      <c r="F13" s="122">
        <v>169</v>
      </c>
      <c r="G13" s="122">
        <v>169</v>
      </c>
    </row>
    <row r="14" spans="1:8" ht="15" customHeight="1" x14ac:dyDescent="0.25">
      <c r="A14" s="173" t="s">
        <v>433</v>
      </c>
      <c r="B14" s="174"/>
      <c r="C14" s="118" t="s">
        <v>316</v>
      </c>
      <c r="E14" s="122" t="s">
        <v>448</v>
      </c>
      <c r="F14" s="122">
        <v>109</v>
      </c>
      <c r="G14" s="122">
        <v>109</v>
      </c>
    </row>
    <row r="15" spans="1:8" x14ac:dyDescent="0.25">
      <c r="A15" s="122" t="s">
        <v>268</v>
      </c>
      <c r="B15" s="118">
        <v>1</v>
      </c>
      <c r="C15" s="118"/>
      <c r="E15" s="122" t="s">
        <v>450</v>
      </c>
      <c r="F15" s="122">
        <v>34</v>
      </c>
      <c r="G15" s="122">
        <v>24</v>
      </c>
      <c r="H15" s="111"/>
    </row>
    <row r="16" spans="1:8" x14ac:dyDescent="0.25">
      <c r="A16" s="122" t="s">
        <v>436</v>
      </c>
      <c r="B16" s="81">
        <f>B10*3600/1000*B15</f>
        <v>3.5999999999999997E-2</v>
      </c>
      <c r="C16" s="118"/>
      <c r="E16" s="172" t="s">
        <v>314</v>
      </c>
      <c r="F16" s="172"/>
      <c r="G16" s="172"/>
    </row>
    <row r="17" spans="1:7" x14ac:dyDescent="0.25">
      <c r="A17" s="122" t="s">
        <v>437</v>
      </c>
      <c r="B17" s="81">
        <f>B11*3600/1000*B15</f>
        <v>0.09</v>
      </c>
      <c r="C17" s="118"/>
      <c r="E17" s="122" t="s">
        <v>315</v>
      </c>
      <c r="F17" s="82">
        <f>SUM(F13:F15)/SUM(F11:F12)</f>
        <v>0.49289099526066349</v>
      </c>
      <c r="G17" s="82">
        <f>SUM(G13:G15)/SUM(G11:G12)</f>
        <v>0.46967340590979784</v>
      </c>
    </row>
    <row r="18" spans="1:7" x14ac:dyDescent="0.25">
      <c r="A18" s="122" t="s">
        <v>273</v>
      </c>
      <c r="B18" s="118">
        <f>C18*1000*B12*B15/1000</f>
        <v>0.29620799999999997</v>
      </c>
      <c r="C18" s="118">
        <v>43.56</v>
      </c>
      <c r="E18" s="122" t="s">
        <v>438</v>
      </c>
      <c r="F18" s="82">
        <f>(F14+F13)/F11</f>
        <v>0.46256239600665555</v>
      </c>
      <c r="G18" s="82">
        <f>(G14+G13)/G11</f>
        <v>0.46256239600665555</v>
      </c>
    </row>
    <row r="19" spans="1:7" ht="15" customHeight="1" x14ac:dyDescent="0.25">
      <c r="A19" s="122" t="s">
        <v>402</v>
      </c>
      <c r="B19" s="118">
        <f>C19*1000*B13*B15/1000</f>
        <v>8.8800000000000004E-2</v>
      </c>
      <c r="C19" s="118">
        <v>44.4</v>
      </c>
    </row>
    <row r="20" spans="1:7" x14ac:dyDescent="0.25">
      <c r="A20" s="172" t="s">
        <v>314</v>
      </c>
      <c r="B20" s="172"/>
      <c r="C20" s="118"/>
      <c r="E20" s="177" t="s">
        <v>429</v>
      </c>
      <c r="F20" s="178"/>
      <c r="G20" s="179"/>
    </row>
    <row r="21" spans="1:7" ht="30" x14ac:dyDescent="0.25">
      <c r="A21" s="122" t="s">
        <v>315</v>
      </c>
      <c r="B21" s="86">
        <f>SUM(B17:B19)/SUM(B15:B16)</f>
        <v>0.4585019305019305</v>
      </c>
      <c r="C21" s="118"/>
      <c r="E21" s="110" t="s">
        <v>251</v>
      </c>
      <c r="F21" s="110" t="s">
        <v>430</v>
      </c>
      <c r="G21" s="110" t="s">
        <v>428</v>
      </c>
    </row>
    <row r="22" spans="1:7" x14ac:dyDescent="0.25">
      <c r="A22" s="122" t="s">
        <v>438</v>
      </c>
      <c r="B22" s="86">
        <f>(B18+B19)/B15</f>
        <v>0.38500799999999996</v>
      </c>
      <c r="C22" s="118"/>
      <c r="E22" s="118" t="s">
        <v>427</v>
      </c>
      <c r="F22" s="133">
        <v>1.96</v>
      </c>
      <c r="G22" s="86">
        <f>1/F22</f>
        <v>0.51020408163265307</v>
      </c>
    </row>
    <row r="23" spans="1:7" x14ac:dyDescent="0.25">
      <c r="C23" s="1"/>
      <c r="E23" s="118" t="s">
        <v>426</v>
      </c>
      <c r="F23" s="133">
        <v>2.16</v>
      </c>
      <c r="G23" s="86">
        <f>1/F23</f>
        <v>0.46296296296296291</v>
      </c>
    </row>
    <row r="24" spans="1:7" x14ac:dyDescent="0.25">
      <c r="A24" s="74"/>
      <c r="B24" s="131"/>
      <c r="C24" s="131"/>
    </row>
    <row r="25" spans="1:7" x14ac:dyDescent="0.25">
      <c r="A25" s="180" t="s">
        <v>453</v>
      </c>
      <c r="B25" s="180"/>
      <c r="C25" s="180"/>
      <c r="D25" s="180"/>
      <c r="E25" s="180"/>
      <c r="F25" s="180"/>
    </row>
    <row r="26" spans="1:7" ht="30" x14ac:dyDescent="0.25">
      <c r="A26" s="119" t="s">
        <v>227</v>
      </c>
      <c r="B26" s="119" t="s">
        <v>442</v>
      </c>
      <c r="C26" s="119" t="s">
        <v>242</v>
      </c>
      <c r="D26" s="120" t="s">
        <v>287</v>
      </c>
      <c r="E26" s="119" t="s">
        <v>443</v>
      </c>
      <c r="F26" s="119" t="s">
        <v>242</v>
      </c>
    </row>
    <row r="27" spans="1:7" x14ac:dyDescent="0.25">
      <c r="A27" s="122" t="s">
        <v>164</v>
      </c>
      <c r="B27" s="122">
        <v>8.2100000000000009</v>
      </c>
      <c r="C27" s="169" t="s">
        <v>444</v>
      </c>
      <c r="D27" s="122">
        <v>16.809999999999999</v>
      </c>
      <c r="E27" s="82">
        <f>B27/D27</f>
        <v>0.48839976204640106</v>
      </c>
      <c r="F27" s="169" t="s">
        <v>445</v>
      </c>
    </row>
    <row r="28" spans="1:7" x14ac:dyDescent="0.25">
      <c r="A28" s="122" t="s">
        <v>439</v>
      </c>
      <c r="B28" s="122">
        <v>8.67</v>
      </c>
      <c r="C28" s="170"/>
      <c r="D28" s="122">
        <v>17.84</v>
      </c>
      <c r="E28" s="82">
        <f t="shared" ref="E28:E29" si="0">B28/D28</f>
        <v>0.48598654708520178</v>
      </c>
      <c r="F28" s="170"/>
    </row>
    <row r="29" spans="1:7" x14ac:dyDescent="0.25">
      <c r="A29" s="122" t="s">
        <v>440</v>
      </c>
      <c r="B29" s="122">
        <v>8.61</v>
      </c>
      <c r="C29" s="170"/>
      <c r="D29" s="122">
        <v>17.600000000000001</v>
      </c>
      <c r="E29" s="82">
        <f t="shared" si="0"/>
        <v>0.48920454545454539</v>
      </c>
      <c r="F29" s="170"/>
    </row>
    <row r="30" spans="1:7" ht="45" x14ac:dyDescent="0.25">
      <c r="A30" s="121" t="s">
        <v>441</v>
      </c>
      <c r="B30" s="122"/>
      <c r="C30" s="171"/>
      <c r="D30" s="122"/>
      <c r="E30" s="82">
        <v>0.49</v>
      </c>
      <c r="F30" s="171"/>
    </row>
    <row r="31" spans="1:7" x14ac:dyDescent="0.25">
      <c r="A31" s="132"/>
      <c r="B31" s="132"/>
      <c r="C31" s="132"/>
    </row>
    <row r="32" spans="1:7" x14ac:dyDescent="0.25">
      <c r="A32" s="180" t="s">
        <v>454</v>
      </c>
      <c r="B32" s="180"/>
    </row>
    <row r="33" spans="1:2" ht="30" x14ac:dyDescent="0.25">
      <c r="A33" s="110" t="s">
        <v>251</v>
      </c>
      <c r="B33" s="110" t="s">
        <v>428</v>
      </c>
    </row>
    <row r="34" spans="1:2" x14ac:dyDescent="0.25">
      <c r="A34" s="118" t="s">
        <v>426</v>
      </c>
      <c r="B34" s="86">
        <v>0.4</v>
      </c>
    </row>
    <row r="35" spans="1:2" x14ac:dyDescent="0.25">
      <c r="A35" s="118" t="s">
        <v>427</v>
      </c>
      <c r="B35" s="86">
        <v>0.53</v>
      </c>
    </row>
  </sheetData>
  <sortState ref="J13:J23">
    <sortCondition ref="J13"/>
  </sortState>
  <mergeCells count="15">
    <mergeCell ref="A1:C1"/>
    <mergeCell ref="E8:G8"/>
    <mergeCell ref="A32:B32"/>
    <mergeCell ref="A14:B14"/>
    <mergeCell ref="A9:B9"/>
    <mergeCell ref="E20:G20"/>
    <mergeCell ref="A8:C8"/>
    <mergeCell ref="A20:B20"/>
    <mergeCell ref="E2:G2"/>
    <mergeCell ref="E3:G3"/>
    <mergeCell ref="C27:C30"/>
    <mergeCell ref="F27:F30"/>
    <mergeCell ref="E10:G10"/>
    <mergeCell ref="E16:G16"/>
    <mergeCell ref="A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selection activeCell="E3" sqref="E3"/>
    </sheetView>
  </sheetViews>
  <sheetFormatPr baseColWidth="10" defaultRowHeight="15" x14ac:dyDescent="0.25"/>
  <cols>
    <col min="1" max="1" width="22.42578125" customWidth="1"/>
    <col min="2" max="2" width="30.28515625" bestFit="1" customWidth="1"/>
    <col min="3" max="3" width="30.5703125" customWidth="1"/>
    <col min="4" max="4" width="18.5703125" bestFit="1" customWidth="1"/>
    <col min="5" max="5" width="14" customWidth="1"/>
    <col min="6" max="6" width="19.7109375" customWidth="1"/>
    <col min="7" max="7" width="20.140625" customWidth="1"/>
    <col min="8" max="10" width="12" bestFit="1" customWidth="1"/>
    <col min="11" max="11" width="19.42578125" customWidth="1"/>
    <col min="12" max="12" width="13.5703125" customWidth="1"/>
  </cols>
  <sheetData>
    <row r="1" spans="1:10" ht="14.45" x14ac:dyDescent="0.3">
      <c r="A1" s="141" t="s">
        <v>422</v>
      </c>
      <c r="B1" s="142"/>
      <c r="C1" s="143"/>
      <c r="D1" s="13"/>
      <c r="E1" s="13"/>
    </row>
    <row r="2" spans="1:10" ht="14.45" x14ac:dyDescent="0.3">
      <c r="A2" s="64" t="s">
        <v>281</v>
      </c>
      <c r="B2" s="64" t="s">
        <v>279</v>
      </c>
      <c r="C2" s="64" t="s">
        <v>280</v>
      </c>
    </row>
    <row r="3" spans="1:10" ht="14.45" x14ac:dyDescent="0.3">
      <c r="A3" s="88">
        <v>0.31</v>
      </c>
      <c r="B3" s="87">
        <f>MEDIAN(G8:G12,C16,F20:F28,B60:J60)</f>
        <v>0.48005174614741908</v>
      </c>
      <c r="C3" s="88">
        <v>0.57999999999999996</v>
      </c>
    </row>
    <row r="4" spans="1:10" s="132" customFormat="1" x14ac:dyDescent="0.25">
      <c r="A4" s="136"/>
      <c r="B4" s="136"/>
      <c r="C4" s="136"/>
    </row>
    <row r="6" spans="1:10" ht="14.45" x14ac:dyDescent="0.3">
      <c r="A6" s="153" t="s">
        <v>239</v>
      </c>
      <c r="B6" s="153"/>
      <c r="C6" s="153"/>
      <c r="D6" s="153"/>
      <c r="E6" s="153"/>
      <c r="F6" s="153"/>
      <c r="G6" s="153"/>
      <c r="I6" s="76"/>
      <c r="J6" s="76"/>
    </row>
    <row r="7" spans="1:10" ht="28.9" x14ac:dyDescent="0.3">
      <c r="A7" s="44" t="s">
        <v>173</v>
      </c>
      <c r="B7" s="44" t="s">
        <v>227</v>
      </c>
      <c r="C7" s="59" t="s">
        <v>241</v>
      </c>
      <c r="D7" s="44" t="s">
        <v>242</v>
      </c>
      <c r="E7" s="59" t="s">
        <v>287</v>
      </c>
      <c r="F7" s="59" t="s">
        <v>246</v>
      </c>
      <c r="G7" s="59" t="s">
        <v>288</v>
      </c>
      <c r="H7" s="2"/>
      <c r="I7" s="76"/>
      <c r="J7" s="76"/>
    </row>
    <row r="8" spans="1:10" x14ac:dyDescent="0.25">
      <c r="A8" s="185" t="s">
        <v>229</v>
      </c>
      <c r="B8" s="6" t="s">
        <v>243</v>
      </c>
      <c r="C8" s="6">
        <v>9.9600000000000009</v>
      </c>
      <c r="D8" s="6" t="s">
        <v>230</v>
      </c>
      <c r="E8" s="81">
        <v>14.6</v>
      </c>
      <c r="F8" s="69" t="s">
        <v>248</v>
      </c>
      <c r="G8" s="80">
        <f>C8/E8</f>
        <v>0.68219178082191789</v>
      </c>
      <c r="H8" s="2"/>
      <c r="I8" s="76"/>
      <c r="J8" s="76"/>
    </row>
    <row r="9" spans="1:10" x14ac:dyDescent="0.25">
      <c r="A9" s="185"/>
      <c r="B9" s="6" t="s">
        <v>244</v>
      </c>
      <c r="C9" s="6">
        <v>9.9600000000000009</v>
      </c>
      <c r="D9" s="6" t="s">
        <v>230</v>
      </c>
      <c r="E9" s="81">
        <v>27.2</v>
      </c>
      <c r="F9" s="56" t="s">
        <v>70</v>
      </c>
      <c r="G9" s="80">
        <f>C9/E9</f>
        <v>0.36617647058823533</v>
      </c>
      <c r="H9" s="74"/>
      <c r="I9" s="76"/>
      <c r="J9" s="76"/>
    </row>
    <row r="10" spans="1:10" x14ac:dyDescent="0.25">
      <c r="A10" s="185"/>
      <c r="B10" s="6" t="s">
        <v>245</v>
      </c>
      <c r="C10" s="6">
        <v>3.56</v>
      </c>
      <c r="D10" s="6" t="s">
        <v>231</v>
      </c>
      <c r="E10" s="81">
        <v>15.37</v>
      </c>
      <c r="F10" s="69" t="s">
        <v>247</v>
      </c>
      <c r="G10" s="80">
        <f>C10/E10</f>
        <v>0.23162003903708525</v>
      </c>
      <c r="H10" s="74"/>
      <c r="I10" s="76"/>
      <c r="J10" s="76"/>
    </row>
    <row r="11" spans="1:10" x14ac:dyDescent="0.25">
      <c r="A11" s="185" t="s">
        <v>232</v>
      </c>
      <c r="B11" s="6" t="s">
        <v>233</v>
      </c>
      <c r="C11" s="6">
        <v>2.88</v>
      </c>
      <c r="D11" s="6" t="s">
        <v>234</v>
      </c>
      <c r="E11" s="81">
        <v>3.64</v>
      </c>
      <c r="F11" s="56" t="s">
        <v>70</v>
      </c>
      <c r="G11" s="80">
        <f>C11/E11</f>
        <v>0.79120879120879117</v>
      </c>
      <c r="H11" s="76"/>
      <c r="I11" s="76"/>
      <c r="J11" s="76"/>
    </row>
    <row r="12" spans="1:10" x14ac:dyDescent="0.25">
      <c r="A12" s="185"/>
      <c r="B12" s="6" t="s">
        <v>235</v>
      </c>
      <c r="C12" s="6">
        <v>4.04</v>
      </c>
      <c r="D12" s="6" t="s">
        <v>236</v>
      </c>
      <c r="E12" s="81">
        <v>16.899999999999999</v>
      </c>
      <c r="F12" s="69" t="s">
        <v>249</v>
      </c>
      <c r="G12" s="80">
        <f>C12/E12</f>
        <v>0.23905325443786984</v>
      </c>
      <c r="H12" s="76"/>
      <c r="I12" s="76"/>
      <c r="J12" s="76"/>
    </row>
    <row r="13" spans="1:10" ht="14.45" x14ac:dyDescent="0.3">
      <c r="A13" s="3"/>
      <c r="B13" s="74"/>
      <c r="C13" s="1"/>
      <c r="D13" s="1"/>
      <c r="E13" s="75"/>
      <c r="F13" s="76"/>
      <c r="G13" s="74"/>
      <c r="H13" s="76"/>
      <c r="I13" s="76"/>
      <c r="J13" s="76"/>
    </row>
    <row r="14" spans="1:10" ht="14.45" x14ac:dyDescent="0.3">
      <c r="A14" s="149" t="s">
        <v>240</v>
      </c>
      <c r="B14" s="149"/>
      <c r="C14" s="149"/>
      <c r="D14" s="1"/>
      <c r="E14" s="75"/>
      <c r="F14" s="76"/>
      <c r="G14" s="74"/>
      <c r="H14" s="76"/>
      <c r="I14" s="76"/>
      <c r="J14" s="76"/>
    </row>
    <row r="15" spans="1:10" ht="14.45" x14ac:dyDescent="0.3">
      <c r="A15" s="44" t="s">
        <v>250</v>
      </c>
      <c r="B15" s="44" t="s">
        <v>228</v>
      </c>
      <c r="C15" s="44" t="s">
        <v>288</v>
      </c>
      <c r="D15" s="1"/>
      <c r="E15" s="75"/>
      <c r="F15" s="76"/>
      <c r="G15" s="74"/>
      <c r="H15" s="76"/>
      <c r="I15" s="76"/>
      <c r="J15" s="76"/>
    </row>
    <row r="16" spans="1:10" ht="14.45" x14ac:dyDescent="0.3">
      <c r="A16" s="6" t="s">
        <v>147</v>
      </c>
      <c r="B16" s="6">
        <v>1.58</v>
      </c>
      <c r="C16" s="82">
        <f>1/B16</f>
        <v>0.63291139240506322</v>
      </c>
      <c r="D16" s="1"/>
      <c r="E16" s="75"/>
      <c r="F16" s="76"/>
      <c r="G16" s="74"/>
      <c r="H16" s="76"/>
      <c r="I16" s="76"/>
      <c r="J16" s="76"/>
    </row>
    <row r="17" spans="1:10" ht="14.45" x14ac:dyDescent="0.3">
      <c r="A17" s="3"/>
      <c r="B17" s="74"/>
      <c r="C17" s="1"/>
      <c r="D17" s="1"/>
      <c r="E17" s="75"/>
      <c r="F17" s="76"/>
      <c r="G17" s="74"/>
      <c r="H17" s="76"/>
      <c r="I17" s="76"/>
      <c r="J17" s="76"/>
    </row>
    <row r="18" spans="1:10" ht="14.45" x14ac:dyDescent="0.3">
      <c r="A18" s="149" t="s">
        <v>253</v>
      </c>
      <c r="B18" s="149"/>
      <c r="C18" s="149"/>
      <c r="D18" s="149"/>
      <c r="E18" s="149"/>
      <c r="F18" s="149"/>
      <c r="G18" s="76"/>
      <c r="H18" s="76"/>
      <c r="I18" s="76"/>
      <c r="J18" s="76"/>
    </row>
    <row r="19" spans="1:10" ht="46.9" customHeight="1" x14ac:dyDescent="0.3">
      <c r="A19" s="44" t="s">
        <v>227</v>
      </c>
      <c r="B19" s="44" t="s">
        <v>251</v>
      </c>
      <c r="C19" s="59" t="s">
        <v>254</v>
      </c>
      <c r="D19" s="59" t="s">
        <v>287</v>
      </c>
      <c r="E19" s="59" t="s">
        <v>246</v>
      </c>
      <c r="F19" s="59" t="s">
        <v>288</v>
      </c>
      <c r="G19" s="76"/>
      <c r="H19" s="76"/>
      <c r="I19" s="76"/>
      <c r="J19" s="76"/>
    </row>
    <row r="20" spans="1:10" x14ac:dyDescent="0.25">
      <c r="A20" s="184" t="s">
        <v>255</v>
      </c>
      <c r="B20" s="6" t="s">
        <v>283</v>
      </c>
      <c r="C20" s="6">
        <v>0.31</v>
      </c>
      <c r="D20" s="78">
        <v>3.64</v>
      </c>
      <c r="E20" s="56" t="s">
        <v>70</v>
      </c>
      <c r="F20" s="80">
        <f>1/C20/D20</f>
        <v>0.88621056362991846</v>
      </c>
      <c r="G20" s="76"/>
      <c r="H20" s="76"/>
      <c r="I20" s="76"/>
      <c r="J20" s="76"/>
    </row>
    <row r="21" spans="1:10" x14ac:dyDescent="0.25">
      <c r="A21" s="184"/>
      <c r="B21" s="6" t="s">
        <v>284</v>
      </c>
      <c r="C21" s="6">
        <v>0.49</v>
      </c>
      <c r="D21" s="78">
        <v>3.64</v>
      </c>
      <c r="E21" s="56" t="s">
        <v>70</v>
      </c>
      <c r="F21" s="80">
        <f t="shared" ref="F21:F28" si="0">1/C21/D21</f>
        <v>0.56066382596994846</v>
      </c>
      <c r="G21" s="76"/>
      <c r="H21" s="76"/>
      <c r="I21" s="76"/>
      <c r="J21" s="76"/>
    </row>
    <row r="22" spans="1:10" x14ac:dyDescent="0.25">
      <c r="A22" s="184"/>
      <c r="B22" s="6" t="s">
        <v>285</v>
      </c>
      <c r="C22" s="6">
        <v>0.57999999999999996</v>
      </c>
      <c r="D22" s="78">
        <v>3.64</v>
      </c>
      <c r="E22" s="56" t="s">
        <v>70</v>
      </c>
      <c r="F22" s="80">
        <f t="shared" si="0"/>
        <v>0.47366426676771506</v>
      </c>
      <c r="G22" s="76"/>
      <c r="H22" s="76"/>
      <c r="I22" s="76"/>
      <c r="J22" s="76"/>
    </row>
    <row r="23" spans="1:10" x14ac:dyDescent="0.25">
      <c r="A23" s="184" t="s">
        <v>256</v>
      </c>
      <c r="B23" s="6" t="s">
        <v>283</v>
      </c>
      <c r="C23" s="6">
        <v>0.1</v>
      </c>
      <c r="D23" s="84">
        <v>17.3</v>
      </c>
      <c r="E23" s="69" t="s">
        <v>248</v>
      </c>
      <c r="F23" s="80">
        <f t="shared" si="0"/>
        <v>0.57803468208092479</v>
      </c>
      <c r="G23" s="76"/>
      <c r="H23" s="76"/>
      <c r="I23" s="76"/>
      <c r="J23" s="76"/>
    </row>
    <row r="24" spans="1:10" x14ac:dyDescent="0.25">
      <c r="A24" s="184"/>
      <c r="B24" s="6" t="s">
        <v>284</v>
      </c>
      <c r="C24" s="6">
        <v>0.11</v>
      </c>
      <c r="D24" s="84">
        <v>17.3</v>
      </c>
      <c r="E24" s="69" t="s">
        <v>248</v>
      </c>
      <c r="F24" s="80">
        <f t="shared" si="0"/>
        <v>0.52548607461902264</v>
      </c>
      <c r="G24" s="76"/>
      <c r="H24" s="76"/>
      <c r="I24" s="76"/>
      <c r="J24" s="76"/>
    </row>
    <row r="25" spans="1:10" x14ac:dyDescent="0.25">
      <c r="A25" s="184"/>
      <c r="B25" s="6" t="s">
        <v>285</v>
      </c>
      <c r="C25" s="6">
        <v>0.17</v>
      </c>
      <c r="D25" s="84">
        <v>17.3</v>
      </c>
      <c r="E25" s="69" t="s">
        <v>248</v>
      </c>
      <c r="F25" s="80">
        <f t="shared" si="0"/>
        <v>0.3400204012240734</v>
      </c>
      <c r="G25" s="76"/>
      <c r="H25" s="76"/>
      <c r="I25" s="76"/>
      <c r="J25" s="76"/>
    </row>
    <row r="26" spans="1:10" x14ac:dyDescent="0.25">
      <c r="A26" s="184" t="s">
        <v>164</v>
      </c>
      <c r="B26" s="6" t="s">
        <v>283</v>
      </c>
      <c r="C26" s="6">
        <v>0.12</v>
      </c>
      <c r="D26" s="78">
        <v>16.8</v>
      </c>
      <c r="E26" s="56" t="s">
        <v>70</v>
      </c>
      <c r="F26" s="80">
        <f t="shared" si="0"/>
        <v>0.49603174603174605</v>
      </c>
      <c r="G26" s="76"/>
      <c r="H26" s="76"/>
      <c r="I26" s="76"/>
      <c r="J26" s="76"/>
    </row>
    <row r="27" spans="1:10" x14ac:dyDescent="0.25">
      <c r="A27" s="184"/>
      <c r="B27" s="6" t="s">
        <v>284</v>
      </c>
      <c r="C27" s="6">
        <v>0.19</v>
      </c>
      <c r="D27" s="78">
        <v>16.8</v>
      </c>
      <c r="E27" s="56" t="s">
        <v>70</v>
      </c>
      <c r="F27" s="80">
        <f t="shared" si="0"/>
        <v>0.31328320802005011</v>
      </c>
      <c r="G27" s="76"/>
      <c r="H27" s="76"/>
      <c r="I27" s="76"/>
      <c r="J27" s="76"/>
    </row>
    <row r="28" spans="1:10" x14ac:dyDescent="0.25">
      <c r="A28" s="184"/>
      <c r="B28" s="6" t="s">
        <v>285</v>
      </c>
      <c r="C28" s="6">
        <v>0.43</v>
      </c>
      <c r="D28" s="78">
        <v>16.8</v>
      </c>
      <c r="E28" s="56" t="s">
        <v>70</v>
      </c>
      <c r="F28" s="80">
        <f t="shared" si="0"/>
        <v>0.13842746400885936</v>
      </c>
      <c r="G28" s="76"/>
      <c r="H28" s="76"/>
      <c r="I28" s="76"/>
      <c r="J28" s="76"/>
    </row>
    <row r="29" spans="1:10" ht="14.45" x14ac:dyDescent="0.3">
      <c r="A29" s="76"/>
      <c r="B29" s="76"/>
      <c r="C29" s="76"/>
      <c r="D29" s="76"/>
      <c r="E29" s="76"/>
      <c r="F29" s="76"/>
      <c r="G29" s="76"/>
      <c r="H29" s="76"/>
      <c r="I29" s="76"/>
      <c r="J29" s="76"/>
    </row>
    <row r="30" spans="1:10" ht="14.45" x14ac:dyDescent="0.3">
      <c r="A30" s="141" t="s">
        <v>252</v>
      </c>
      <c r="B30" s="142"/>
      <c r="C30" s="142"/>
      <c r="D30" s="142"/>
      <c r="E30" s="142"/>
      <c r="F30" s="142"/>
      <c r="G30" s="142"/>
      <c r="H30" s="142"/>
      <c r="I30" s="142"/>
      <c r="J30" s="143"/>
    </row>
    <row r="31" spans="1:10" ht="14.45" x14ac:dyDescent="0.3">
      <c r="A31" s="44" t="s">
        <v>227</v>
      </c>
      <c r="B31" s="185" t="s">
        <v>255</v>
      </c>
      <c r="C31" s="185"/>
      <c r="D31" s="185"/>
      <c r="E31" s="185" t="s">
        <v>256</v>
      </c>
      <c r="F31" s="185"/>
      <c r="G31" s="185"/>
      <c r="H31" s="185" t="s">
        <v>164</v>
      </c>
      <c r="I31" s="185"/>
      <c r="J31" s="185"/>
    </row>
    <row r="32" spans="1:10" ht="14.45" x14ac:dyDescent="0.3">
      <c r="A32" s="44" t="s">
        <v>251</v>
      </c>
      <c r="B32" s="6" t="s">
        <v>283</v>
      </c>
      <c r="C32" s="6" t="s">
        <v>284</v>
      </c>
      <c r="D32" s="6" t="s">
        <v>285</v>
      </c>
      <c r="E32" s="6" t="s">
        <v>283</v>
      </c>
      <c r="F32" s="6" t="s">
        <v>284</v>
      </c>
      <c r="G32" s="6" t="s">
        <v>285</v>
      </c>
      <c r="H32" s="6" t="s">
        <v>283</v>
      </c>
      <c r="I32" s="6" t="s">
        <v>284</v>
      </c>
      <c r="J32" s="6" t="s">
        <v>285</v>
      </c>
    </row>
    <row r="33" spans="1:12" ht="14.45" x14ac:dyDescent="0.3">
      <c r="A33" s="172" t="s">
        <v>237</v>
      </c>
      <c r="B33" s="172"/>
      <c r="C33" s="172"/>
      <c r="D33" s="172"/>
      <c r="E33" s="172"/>
      <c r="F33" s="172"/>
      <c r="G33" s="172"/>
      <c r="H33" s="172"/>
      <c r="I33" s="172"/>
      <c r="J33" s="172"/>
    </row>
    <row r="34" spans="1:12" ht="14.45" x14ac:dyDescent="0.3">
      <c r="A34" s="44" t="s">
        <v>258</v>
      </c>
      <c r="B34" s="6">
        <v>2641</v>
      </c>
      <c r="C34" s="6">
        <v>2275</v>
      </c>
      <c r="D34" s="6">
        <v>1619</v>
      </c>
      <c r="E34" s="6">
        <v>643</v>
      </c>
      <c r="F34" s="6">
        <v>941</v>
      </c>
      <c r="G34" s="6">
        <v>966</v>
      </c>
      <c r="H34" s="6">
        <v>1679</v>
      </c>
      <c r="I34" s="6">
        <v>1051</v>
      </c>
      <c r="J34" s="6">
        <v>1067</v>
      </c>
    </row>
    <row r="35" spans="1:12" ht="14.45" x14ac:dyDescent="0.3">
      <c r="A35" s="44" t="s">
        <v>259</v>
      </c>
      <c r="B35" s="6">
        <v>0</v>
      </c>
      <c r="C35" s="6">
        <v>0</v>
      </c>
      <c r="D35" s="6">
        <v>0</v>
      </c>
      <c r="E35" s="6">
        <v>189</v>
      </c>
      <c r="F35" s="6">
        <v>137</v>
      </c>
      <c r="G35" s="6">
        <v>139</v>
      </c>
      <c r="H35" s="6">
        <v>0</v>
      </c>
      <c r="I35" s="6">
        <v>125</v>
      </c>
      <c r="J35" s="6">
        <v>233</v>
      </c>
    </row>
    <row r="36" spans="1:12" ht="14.45" x14ac:dyDescent="0.3">
      <c r="A36" s="44" t="s">
        <v>260</v>
      </c>
      <c r="B36" s="6">
        <v>443</v>
      </c>
      <c r="C36" s="6">
        <v>673</v>
      </c>
      <c r="D36" s="6">
        <v>632</v>
      </c>
      <c r="E36" s="6">
        <v>2254</v>
      </c>
      <c r="F36" s="6">
        <v>2529</v>
      </c>
      <c r="G36" s="6">
        <v>2666</v>
      </c>
      <c r="H36" s="6">
        <v>774</v>
      </c>
      <c r="I36" s="6">
        <v>673</v>
      </c>
      <c r="J36" s="6">
        <v>253</v>
      </c>
    </row>
    <row r="37" spans="1:12" ht="14.45" x14ac:dyDescent="0.3">
      <c r="A37" s="44" t="s">
        <v>261</v>
      </c>
      <c r="B37" s="6">
        <v>4379</v>
      </c>
      <c r="C37" s="6">
        <v>3979</v>
      </c>
      <c r="D37" s="6">
        <v>2264</v>
      </c>
      <c r="E37" s="6">
        <v>1603</v>
      </c>
      <c r="F37" s="6">
        <v>1074</v>
      </c>
      <c r="G37" s="6">
        <v>789</v>
      </c>
      <c r="H37" s="6">
        <v>1538</v>
      </c>
      <c r="I37" s="6">
        <v>1455</v>
      </c>
      <c r="J37" s="6">
        <v>1662</v>
      </c>
    </row>
    <row r="38" spans="1:12" ht="14.45" x14ac:dyDescent="0.3">
      <c r="A38" s="173" t="s">
        <v>291</v>
      </c>
      <c r="B38" s="182"/>
      <c r="C38" s="182"/>
      <c r="D38" s="182"/>
      <c r="E38" s="182"/>
      <c r="F38" s="182"/>
      <c r="G38" s="182"/>
      <c r="H38" s="182"/>
      <c r="I38" s="182"/>
      <c r="J38" s="174"/>
    </row>
    <row r="39" spans="1:12" ht="14.45" x14ac:dyDescent="0.3">
      <c r="A39" s="44" t="s">
        <v>278</v>
      </c>
      <c r="B39" s="78">
        <f t="shared" ref="B39:J39" si="1">B35*3.6*1000000</f>
        <v>0</v>
      </c>
      <c r="C39" s="78">
        <f t="shared" si="1"/>
        <v>0</v>
      </c>
      <c r="D39" s="78">
        <f t="shared" si="1"/>
        <v>0</v>
      </c>
      <c r="E39" s="78">
        <f t="shared" si="1"/>
        <v>680400000</v>
      </c>
      <c r="F39" s="78">
        <f t="shared" si="1"/>
        <v>493200000</v>
      </c>
      <c r="G39" s="78">
        <f t="shared" si="1"/>
        <v>500400000.00000006</v>
      </c>
      <c r="H39" s="78">
        <f t="shared" si="1"/>
        <v>0</v>
      </c>
      <c r="I39" s="78">
        <f t="shared" si="1"/>
        <v>450000000</v>
      </c>
      <c r="J39" s="78">
        <f t="shared" si="1"/>
        <v>838800000.00000012</v>
      </c>
    </row>
    <row r="40" spans="1:12" x14ac:dyDescent="0.25">
      <c r="A40" s="44" t="s">
        <v>277</v>
      </c>
      <c r="B40" s="78">
        <f t="shared" ref="B40:J40" si="2">B36*1000000</f>
        <v>443000000</v>
      </c>
      <c r="C40" s="78">
        <f t="shared" si="2"/>
        <v>673000000</v>
      </c>
      <c r="D40" s="78">
        <f t="shared" si="2"/>
        <v>632000000</v>
      </c>
      <c r="E40" s="78">
        <f t="shared" si="2"/>
        <v>2254000000</v>
      </c>
      <c r="F40" s="78">
        <f t="shared" si="2"/>
        <v>2529000000</v>
      </c>
      <c r="G40" s="78">
        <f t="shared" si="2"/>
        <v>2666000000</v>
      </c>
      <c r="H40" s="78">
        <f t="shared" si="2"/>
        <v>774000000</v>
      </c>
      <c r="I40" s="78">
        <f t="shared" si="2"/>
        <v>673000000</v>
      </c>
      <c r="J40" s="78">
        <f t="shared" si="2"/>
        <v>253000000</v>
      </c>
    </row>
    <row r="41" spans="1:12" x14ac:dyDescent="0.25">
      <c r="A41" s="44" t="s">
        <v>268</v>
      </c>
      <c r="B41" s="6">
        <f>B37*10^6*D20</f>
        <v>15939560000</v>
      </c>
      <c r="C41" s="6">
        <f>C37*10^6*D21</f>
        <v>14483560000</v>
      </c>
      <c r="D41" s="6">
        <f>D37*10^6*D22</f>
        <v>8240960000</v>
      </c>
      <c r="E41" s="6">
        <f>E37*10^6*D23</f>
        <v>27731900000</v>
      </c>
      <c r="F41" s="6">
        <f>F37*10^6*D24</f>
        <v>18580200000</v>
      </c>
      <c r="G41" s="6">
        <f>G37*10^6*D25</f>
        <v>13649700000</v>
      </c>
      <c r="H41" s="6">
        <f>H37*10^6*D26</f>
        <v>25838400000</v>
      </c>
      <c r="I41" s="6">
        <f>I37*10^6*D27</f>
        <v>24444000000</v>
      </c>
      <c r="J41" s="6">
        <f>J37*10^6*D28</f>
        <v>27921600000</v>
      </c>
    </row>
    <row r="42" spans="1:12" x14ac:dyDescent="0.25">
      <c r="A42" s="172" t="s">
        <v>238</v>
      </c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2" x14ac:dyDescent="0.25">
      <c r="A43" s="44" t="s">
        <v>262</v>
      </c>
      <c r="B43" s="6">
        <v>0</v>
      </c>
      <c r="C43" s="6">
        <v>0</v>
      </c>
      <c r="D43" s="6">
        <v>0</v>
      </c>
      <c r="E43" s="6">
        <v>519</v>
      </c>
      <c r="F43" s="6">
        <v>348</v>
      </c>
      <c r="G43" s="6">
        <v>256</v>
      </c>
      <c r="H43" s="6">
        <v>0</v>
      </c>
      <c r="I43" s="6">
        <v>0</v>
      </c>
      <c r="J43" s="6">
        <v>0</v>
      </c>
      <c r="K43" s="181" t="s">
        <v>276</v>
      </c>
      <c r="L43" s="181"/>
    </row>
    <row r="44" spans="1:12" x14ac:dyDescent="0.25">
      <c r="A44" s="44" t="s">
        <v>259</v>
      </c>
      <c r="B44" s="6">
        <v>644</v>
      </c>
      <c r="C44" s="6">
        <v>205</v>
      </c>
      <c r="D44" s="6">
        <v>99</v>
      </c>
      <c r="E44" s="6">
        <v>0</v>
      </c>
      <c r="F44" s="6">
        <v>0</v>
      </c>
      <c r="G44" s="6">
        <v>0</v>
      </c>
      <c r="H44" s="6">
        <v>111</v>
      </c>
      <c r="I44" s="6">
        <v>0</v>
      </c>
      <c r="J44" s="6">
        <v>0</v>
      </c>
      <c r="K44" s="6" t="s">
        <v>275</v>
      </c>
      <c r="L44" s="6" t="s">
        <v>274</v>
      </c>
    </row>
    <row r="45" spans="1:12" x14ac:dyDescent="0.25">
      <c r="A45" s="44" t="s">
        <v>263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5</v>
      </c>
      <c r="H45" s="6">
        <v>0</v>
      </c>
      <c r="I45" s="6">
        <v>0</v>
      </c>
      <c r="J45" s="6">
        <v>5</v>
      </c>
      <c r="K45" s="45">
        <v>900000</v>
      </c>
      <c r="L45" s="81">
        <v>45</v>
      </c>
    </row>
    <row r="46" spans="1:12" x14ac:dyDescent="0.25">
      <c r="A46" s="44" t="s">
        <v>264</v>
      </c>
      <c r="B46" s="6">
        <v>0</v>
      </c>
      <c r="C46" s="6">
        <v>23</v>
      </c>
      <c r="D46" s="6">
        <v>19</v>
      </c>
      <c r="E46" s="6">
        <v>0</v>
      </c>
      <c r="F46" s="6">
        <v>23</v>
      </c>
      <c r="G46" s="6">
        <v>0</v>
      </c>
      <c r="H46" s="6">
        <v>0</v>
      </c>
      <c r="I46" s="6">
        <v>23</v>
      </c>
      <c r="J46" s="6">
        <v>0</v>
      </c>
      <c r="K46" s="45">
        <v>600000</v>
      </c>
      <c r="L46" s="81">
        <v>45</v>
      </c>
    </row>
    <row r="47" spans="1:12" x14ac:dyDescent="0.25">
      <c r="A47" s="44" t="s">
        <v>265</v>
      </c>
      <c r="B47" s="6">
        <v>0</v>
      </c>
      <c r="C47" s="6">
        <v>5</v>
      </c>
      <c r="D47" s="6">
        <v>10</v>
      </c>
      <c r="E47" s="6">
        <v>0</v>
      </c>
      <c r="F47" s="6">
        <v>5</v>
      </c>
      <c r="G47" s="6">
        <v>21</v>
      </c>
      <c r="H47" s="6">
        <v>0</v>
      </c>
      <c r="I47" s="6">
        <v>5</v>
      </c>
      <c r="J47" s="6">
        <v>21</v>
      </c>
      <c r="K47" s="45">
        <v>739000</v>
      </c>
      <c r="L47" s="45">
        <v>44.9</v>
      </c>
    </row>
    <row r="48" spans="1:12" x14ac:dyDescent="0.25">
      <c r="A48" s="44" t="s">
        <v>266</v>
      </c>
      <c r="B48" s="6">
        <v>378</v>
      </c>
      <c r="C48" s="6">
        <v>33</v>
      </c>
      <c r="D48" s="6">
        <v>60</v>
      </c>
      <c r="E48" s="6">
        <v>378</v>
      </c>
      <c r="F48" s="6">
        <v>33</v>
      </c>
      <c r="G48" s="6">
        <v>73</v>
      </c>
      <c r="H48" s="6">
        <v>378</v>
      </c>
      <c r="I48" s="6">
        <v>33</v>
      </c>
      <c r="J48" s="6">
        <v>73</v>
      </c>
      <c r="K48" s="45">
        <v>800000</v>
      </c>
      <c r="L48" s="45">
        <v>43.3</v>
      </c>
    </row>
    <row r="49" spans="1:12" x14ac:dyDescent="0.25">
      <c r="A49" s="44" t="s">
        <v>267</v>
      </c>
      <c r="B49" s="6">
        <v>0</v>
      </c>
      <c r="C49" s="6">
        <v>171</v>
      </c>
      <c r="D49" s="6">
        <v>28</v>
      </c>
      <c r="E49" s="6">
        <v>0</v>
      </c>
      <c r="F49" s="6">
        <v>171</v>
      </c>
      <c r="G49" s="6">
        <v>18</v>
      </c>
      <c r="H49" s="6">
        <v>0</v>
      </c>
      <c r="I49" s="6">
        <v>171</v>
      </c>
      <c r="J49" s="6">
        <v>18</v>
      </c>
      <c r="K49" s="45">
        <v>890000</v>
      </c>
      <c r="L49" s="45">
        <v>43.56</v>
      </c>
    </row>
    <row r="50" spans="1:12" x14ac:dyDescent="0.25">
      <c r="A50" s="183" t="s">
        <v>292</v>
      </c>
      <c r="B50" s="183"/>
      <c r="C50" s="183"/>
      <c r="D50" s="183"/>
      <c r="E50" s="183"/>
      <c r="F50" s="183"/>
      <c r="G50" s="183"/>
      <c r="H50" s="183"/>
      <c r="I50" s="183"/>
      <c r="J50" s="183"/>
    </row>
    <row r="51" spans="1:12" x14ac:dyDescent="0.25">
      <c r="A51" s="44" t="s">
        <v>290</v>
      </c>
      <c r="B51" s="6">
        <f>B43*10^6*20.4</f>
        <v>0</v>
      </c>
      <c r="C51" s="6">
        <f t="shared" ref="C51:J51" si="3">C43*10^6*20.4</f>
        <v>0</v>
      </c>
      <c r="D51" s="6">
        <f t="shared" si="3"/>
        <v>0</v>
      </c>
      <c r="E51" s="6">
        <f t="shared" si="3"/>
        <v>10587600000</v>
      </c>
      <c r="F51" s="6">
        <f t="shared" si="3"/>
        <v>7099199999.999999</v>
      </c>
      <c r="G51" s="6">
        <f t="shared" si="3"/>
        <v>5222400000</v>
      </c>
      <c r="H51" s="6">
        <f t="shared" si="3"/>
        <v>0</v>
      </c>
      <c r="I51" s="6">
        <f t="shared" si="3"/>
        <v>0</v>
      </c>
      <c r="J51" s="6">
        <f t="shared" si="3"/>
        <v>0</v>
      </c>
    </row>
    <row r="52" spans="1:12" x14ac:dyDescent="0.25">
      <c r="A52" s="44" t="s">
        <v>278</v>
      </c>
      <c r="B52" s="6">
        <f>B44*3.6*1000000</f>
        <v>2318400000</v>
      </c>
      <c r="C52" s="6">
        <f t="shared" ref="C52:J52" si="4">C44*3.6*1000000</f>
        <v>738000000</v>
      </c>
      <c r="D52" s="6">
        <f t="shared" si="4"/>
        <v>356400000.00000006</v>
      </c>
      <c r="E52" s="6">
        <f t="shared" si="4"/>
        <v>0</v>
      </c>
      <c r="F52" s="6">
        <f t="shared" si="4"/>
        <v>0</v>
      </c>
      <c r="G52" s="6">
        <f t="shared" si="4"/>
        <v>0</v>
      </c>
      <c r="H52" s="6">
        <f t="shared" si="4"/>
        <v>399600000</v>
      </c>
      <c r="I52" s="6">
        <f t="shared" si="4"/>
        <v>0</v>
      </c>
      <c r="J52" s="6">
        <f t="shared" si="4"/>
        <v>0</v>
      </c>
    </row>
    <row r="53" spans="1:12" x14ac:dyDescent="0.25">
      <c r="A53" s="44" t="s">
        <v>269</v>
      </c>
      <c r="B53" s="6">
        <f>B45*$K$45*$L$45</f>
        <v>0</v>
      </c>
      <c r="C53" s="6">
        <f t="shared" ref="C53:J53" si="5">C45*$K$45*$L$45</f>
        <v>0</v>
      </c>
      <c r="D53" s="6">
        <f t="shared" si="5"/>
        <v>0</v>
      </c>
      <c r="E53" s="6">
        <f t="shared" si="5"/>
        <v>0</v>
      </c>
      <c r="F53" s="6">
        <f t="shared" si="5"/>
        <v>0</v>
      </c>
      <c r="G53" s="6">
        <f t="shared" si="5"/>
        <v>202500000</v>
      </c>
      <c r="H53" s="6">
        <f t="shared" si="5"/>
        <v>0</v>
      </c>
      <c r="I53" s="6">
        <f t="shared" si="5"/>
        <v>0</v>
      </c>
      <c r="J53" s="6">
        <f t="shared" si="5"/>
        <v>202500000</v>
      </c>
    </row>
    <row r="54" spans="1:12" x14ac:dyDescent="0.25">
      <c r="A54" s="44" t="s">
        <v>270</v>
      </c>
      <c r="B54" s="6">
        <f>B46*$K$46*$L$46</f>
        <v>0</v>
      </c>
      <c r="C54" s="6">
        <f t="shared" ref="C54:J54" si="6">C46*$K$46*$L$46</f>
        <v>621000000</v>
      </c>
      <c r="D54" s="6">
        <f t="shared" si="6"/>
        <v>513000000</v>
      </c>
      <c r="E54" s="6">
        <f t="shared" si="6"/>
        <v>0</v>
      </c>
      <c r="F54" s="6">
        <f t="shared" si="6"/>
        <v>621000000</v>
      </c>
      <c r="G54" s="6">
        <f t="shared" si="6"/>
        <v>0</v>
      </c>
      <c r="H54" s="6">
        <f t="shared" si="6"/>
        <v>0</v>
      </c>
      <c r="I54" s="6">
        <f t="shared" si="6"/>
        <v>621000000</v>
      </c>
      <c r="J54" s="6">
        <f t="shared" si="6"/>
        <v>0</v>
      </c>
    </row>
    <row r="55" spans="1:12" x14ac:dyDescent="0.25">
      <c r="A55" s="44" t="s">
        <v>271</v>
      </c>
      <c r="B55" s="6">
        <f>B47*$K$47*$L$47</f>
        <v>0</v>
      </c>
      <c r="C55" s="6">
        <f t="shared" ref="C55:J55" si="7">C47*$K$47*$L$47</f>
        <v>165905500</v>
      </c>
      <c r="D55" s="6">
        <f t="shared" si="7"/>
        <v>331811000</v>
      </c>
      <c r="E55" s="6">
        <f t="shared" si="7"/>
        <v>0</v>
      </c>
      <c r="F55" s="6">
        <f t="shared" si="7"/>
        <v>165905500</v>
      </c>
      <c r="G55" s="6">
        <f t="shared" si="7"/>
        <v>696803100</v>
      </c>
      <c r="H55" s="6">
        <f t="shared" si="7"/>
        <v>0</v>
      </c>
      <c r="I55" s="6">
        <f t="shared" si="7"/>
        <v>165905500</v>
      </c>
      <c r="J55" s="6">
        <f t="shared" si="7"/>
        <v>696803100</v>
      </c>
    </row>
    <row r="56" spans="1:12" x14ac:dyDescent="0.25">
      <c r="A56" s="44" t="s">
        <v>272</v>
      </c>
      <c r="B56" s="6">
        <f>B48*$K$48*$L$48</f>
        <v>13093920000</v>
      </c>
      <c r="C56" s="6">
        <f t="shared" ref="C56:J56" si="8">C48*$K$48*$L$48</f>
        <v>1143120000</v>
      </c>
      <c r="D56" s="6">
        <f t="shared" si="8"/>
        <v>2078399999.9999998</v>
      </c>
      <c r="E56" s="6">
        <f t="shared" si="8"/>
        <v>13093920000</v>
      </c>
      <c r="F56" s="6">
        <f t="shared" si="8"/>
        <v>1143120000</v>
      </c>
      <c r="G56" s="6">
        <f t="shared" si="8"/>
        <v>2528720000</v>
      </c>
      <c r="H56" s="6">
        <f t="shared" si="8"/>
        <v>13093920000</v>
      </c>
      <c r="I56" s="6">
        <f t="shared" si="8"/>
        <v>1143120000</v>
      </c>
      <c r="J56" s="6">
        <f t="shared" si="8"/>
        <v>2528720000</v>
      </c>
    </row>
    <row r="57" spans="1:12" x14ac:dyDescent="0.25">
      <c r="A57" s="44" t="s">
        <v>273</v>
      </c>
      <c r="B57" s="6">
        <f>B49*$K$49*$L$49</f>
        <v>0</v>
      </c>
      <c r="C57" s="6">
        <f t="shared" ref="C57:J57" si="9">C49*$K$49*$L$49</f>
        <v>6629396400</v>
      </c>
      <c r="D57" s="6">
        <f t="shared" si="9"/>
        <v>1085515200</v>
      </c>
      <c r="E57" s="6">
        <f t="shared" si="9"/>
        <v>0</v>
      </c>
      <c r="F57" s="6">
        <f t="shared" si="9"/>
        <v>6629396400</v>
      </c>
      <c r="G57" s="6">
        <f t="shared" si="9"/>
        <v>697831200</v>
      </c>
      <c r="H57" s="6">
        <f t="shared" si="9"/>
        <v>0</v>
      </c>
      <c r="I57" s="6">
        <f t="shared" si="9"/>
        <v>6629396400</v>
      </c>
      <c r="J57" s="6">
        <f t="shared" si="9"/>
        <v>697831200</v>
      </c>
    </row>
    <row r="58" spans="1:12" x14ac:dyDescent="0.25">
      <c r="A58" s="183" t="s">
        <v>257</v>
      </c>
      <c r="B58" s="183"/>
      <c r="C58" s="183"/>
      <c r="D58" s="183"/>
      <c r="E58" s="183"/>
      <c r="F58" s="183"/>
      <c r="G58" s="183"/>
      <c r="H58" s="183"/>
      <c r="I58" s="183"/>
      <c r="J58" s="183"/>
    </row>
    <row r="59" spans="1:12" x14ac:dyDescent="0.25">
      <c r="A59" s="59" t="s">
        <v>289</v>
      </c>
      <c r="B59" s="80">
        <f t="shared" ref="B59:J59" si="10">SUM(B51:B57)/SUM(B39:B41)</f>
        <v>0.94077604476955978</v>
      </c>
      <c r="C59" s="80">
        <f t="shared" si="10"/>
        <v>0.61342559921248618</v>
      </c>
      <c r="D59" s="80">
        <f t="shared" si="10"/>
        <v>0.49195828674985576</v>
      </c>
      <c r="E59" s="80">
        <f t="shared" si="10"/>
        <v>0.77223271147807204</v>
      </c>
      <c r="F59" s="80">
        <f t="shared" si="10"/>
        <v>0.72485565955634557</v>
      </c>
      <c r="G59" s="80">
        <f t="shared" si="10"/>
        <v>0.55591096032968401</v>
      </c>
      <c r="H59" s="80">
        <f t="shared" si="10"/>
        <v>0.50703882400685396</v>
      </c>
      <c r="I59" s="80">
        <f t="shared" si="10"/>
        <v>0.33478397543708688</v>
      </c>
      <c r="J59" s="80">
        <f t="shared" si="10"/>
        <v>0.14220512935402263</v>
      </c>
    </row>
    <row r="60" spans="1:12" x14ac:dyDescent="0.25">
      <c r="A60" s="44" t="s">
        <v>286</v>
      </c>
      <c r="B60" s="82">
        <f t="shared" ref="B60:J60" si="11">SUM(B53:B57)/B41</f>
        <v>0.82147311469074424</v>
      </c>
      <c r="C60" s="82">
        <f t="shared" si="11"/>
        <v>0.59097500200227016</v>
      </c>
      <c r="D60" s="82">
        <f t="shared" si="11"/>
        <v>0.48643922552712304</v>
      </c>
      <c r="E60" s="82">
        <f t="shared" si="11"/>
        <v>0.47216094101017242</v>
      </c>
      <c r="F60" s="82">
        <f t="shared" si="11"/>
        <v>0.4606743684136877</v>
      </c>
      <c r="G60" s="82">
        <f t="shared" si="11"/>
        <v>0.30226703150985001</v>
      </c>
      <c r="H60" s="82">
        <f t="shared" si="11"/>
        <v>0.50676202860858255</v>
      </c>
      <c r="I60" s="82">
        <f t="shared" si="11"/>
        <v>0.35016453526427754</v>
      </c>
      <c r="J60" s="82">
        <f t="shared" si="11"/>
        <v>0.14776568319867056</v>
      </c>
    </row>
  </sheetData>
  <mergeCells count="19">
    <mergeCell ref="A58:J58"/>
    <mergeCell ref="A50:J50"/>
    <mergeCell ref="A6:G6"/>
    <mergeCell ref="A23:A25"/>
    <mergeCell ref="A26:A28"/>
    <mergeCell ref="A30:J30"/>
    <mergeCell ref="B31:D31"/>
    <mergeCell ref="E31:G31"/>
    <mergeCell ref="H31:J31"/>
    <mergeCell ref="A8:A10"/>
    <mergeCell ref="A11:A12"/>
    <mergeCell ref="A20:A22"/>
    <mergeCell ref="A14:C14"/>
    <mergeCell ref="A18:F18"/>
    <mergeCell ref="K43:L43"/>
    <mergeCell ref="A1:C1"/>
    <mergeCell ref="A38:J38"/>
    <mergeCell ref="A33:J33"/>
    <mergeCell ref="A42:J42"/>
  </mergeCells>
  <hyperlinks>
    <hyperlink ref="F10" r:id="rId1"/>
    <hyperlink ref="F8" r:id="rId2"/>
    <hyperlink ref="F12" r:id="rId3"/>
    <hyperlink ref="E23" r:id="rId4"/>
    <hyperlink ref="E24" r:id="rId5"/>
    <hyperlink ref="E25" r:id="rId6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E31" sqref="E31"/>
    </sheetView>
  </sheetViews>
  <sheetFormatPr baseColWidth="10" defaultRowHeight="15" x14ac:dyDescent="0.25"/>
  <cols>
    <col min="1" max="1" width="30" customWidth="1"/>
    <col min="2" max="2" width="20.42578125" customWidth="1"/>
    <col min="3" max="3" width="21.5703125" customWidth="1"/>
    <col min="4" max="4" width="12.28515625" customWidth="1"/>
    <col min="5" max="5" width="19.7109375" customWidth="1"/>
    <col min="6" max="6" width="16.5703125" customWidth="1"/>
    <col min="7" max="7" width="10.42578125" customWidth="1"/>
    <col min="8" max="8" width="22.140625" customWidth="1"/>
    <col min="9" max="9" width="20.85546875" customWidth="1"/>
    <col min="10" max="10" width="22.42578125" customWidth="1"/>
    <col min="11" max="11" width="13.85546875" customWidth="1"/>
    <col min="12" max="12" width="16.85546875" customWidth="1"/>
    <col min="13" max="13" width="15.85546875" customWidth="1"/>
  </cols>
  <sheetData>
    <row r="1" spans="1:18" ht="14.45" x14ac:dyDescent="0.3">
      <c r="A1" s="141" t="s">
        <v>423</v>
      </c>
      <c r="B1" s="142"/>
      <c r="C1" s="143"/>
      <c r="E1" s="141" t="s">
        <v>424</v>
      </c>
      <c r="F1" s="142"/>
      <c r="G1" s="143"/>
      <c r="I1" s="141" t="s">
        <v>425</v>
      </c>
      <c r="J1" s="142"/>
      <c r="K1" s="143"/>
    </row>
    <row r="2" spans="1:18" ht="14.45" x14ac:dyDescent="0.3">
      <c r="A2" s="64" t="s">
        <v>281</v>
      </c>
      <c r="B2" s="64" t="s">
        <v>279</v>
      </c>
      <c r="C2" s="64" t="s">
        <v>280</v>
      </c>
      <c r="E2" s="64" t="s">
        <v>281</v>
      </c>
      <c r="F2" s="64" t="s">
        <v>279</v>
      </c>
      <c r="G2" s="64" t="s">
        <v>280</v>
      </c>
      <c r="I2" s="64" t="s">
        <v>281</v>
      </c>
      <c r="J2" s="64" t="s">
        <v>279</v>
      </c>
      <c r="K2" s="64" t="s">
        <v>280</v>
      </c>
    </row>
    <row r="3" spans="1:18" ht="14.45" x14ac:dyDescent="0.3">
      <c r="A3" s="87">
        <v>0.42</v>
      </c>
      <c r="B3" s="87">
        <v>0.66</v>
      </c>
      <c r="C3" s="87">
        <v>0.85</v>
      </c>
      <c r="E3" s="87">
        <v>0.71</v>
      </c>
      <c r="F3" s="87">
        <v>0.88</v>
      </c>
      <c r="G3" s="87">
        <v>0.92</v>
      </c>
      <c r="I3" s="87">
        <v>0.08</v>
      </c>
      <c r="J3" s="87">
        <v>0.09</v>
      </c>
      <c r="K3" s="87">
        <v>0.11</v>
      </c>
    </row>
    <row r="4" spans="1:18" ht="15.75" thickBot="1" x14ac:dyDescent="0.3"/>
    <row r="5" spans="1:18" x14ac:dyDescent="0.25">
      <c r="A5" s="163" t="s">
        <v>373</v>
      </c>
      <c r="B5" s="164"/>
      <c r="C5" s="165"/>
      <c r="E5" s="163" t="s">
        <v>420</v>
      </c>
      <c r="F5" s="164"/>
      <c r="G5" s="165"/>
      <c r="I5" s="163" t="s">
        <v>420</v>
      </c>
      <c r="J5" s="164"/>
      <c r="K5" s="165"/>
    </row>
    <row r="6" spans="1:18" ht="15.75" thickBot="1" x14ac:dyDescent="0.3">
      <c r="A6" s="166" t="s">
        <v>374</v>
      </c>
      <c r="B6" s="167"/>
      <c r="C6" s="168"/>
      <c r="E6" s="166" t="s">
        <v>359</v>
      </c>
      <c r="F6" s="167"/>
      <c r="G6" s="168"/>
      <c r="I6" s="166" t="s">
        <v>358</v>
      </c>
      <c r="J6" s="167"/>
      <c r="K6" s="168"/>
    </row>
    <row r="7" spans="1:18" x14ac:dyDescent="0.25">
      <c r="A7" s="89"/>
      <c r="B7" s="89"/>
      <c r="C7" s="89"/>
      <c r="E7" s="89"/>
      <c r="F7" s="89"/>
      <c r="G7" s="89"/>
      <c r="I7" s="89"/>
      <c r="J7" s="89"/>
      <c r="K7" s="89"/>
    </row>
    <row r="9" spans="1:18" ht="14.45" customHeight="1" x14ac:dyDescent="0.3">
      <c r="A9" s="186" t="s">
        <v>347</v>
      </c>
      <c r="B9" s="186"/>
      <c r="C9" s="186"/>
      <c r="D9" s="186"/>
      <c r="E9" s="186"/>
      <c r="F9" s="186"/>
      <c r="G9" s="104"/>
      <c r="H9" s="186" t="s">
        <v>356</v>
      </c>
      <c r="I9" s="186"/>
      <c r="J9" s="186"/>
      <c r="K9" s="186"/>
      <c r="L9" s="186"/>
      <c r="M9" s="186"/>
      <c r="N9" s="186"/>
      <c r="O9" s="186"/>
      <c r="P9" s="186"/>
    </row>
    <row r="10" spans="1:18" ht="14.45" x14ac:dyDescent="0.3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</row>
    <row r="11" spans="1:18" ht="14.45" x14ac:dyDescent="0.3">
      <c r="A11" s="149" t="s">
        <v>310</v>
      </c>
      <c r="B11" s="149"/>
      <c r="C11" s="149"/>
      <c r="D11" s="149"/>
      <c r="E11" s="149"/>
      <c r="F11" s="149"/>
      <c r="G11" s="93"/>
      <c r="H11" s="149" t="s">
        <v>349</v>
      </c>
      <c r="I11" s="149"/>
      <c r="J11" s="149"/>
      <c r="K11" s="149"/>
      <c r="L11" s="149"/>
      <c r="M11" s="149"/>
    </row>
    <row r="12" spans="1:18" x14ac:dyDescent="0.25">
      <c r="A12" s="99" t="s">
        <v>341</v>
      </c>
      <c r="B12" s="99" t="s">
        <v>219</v>
      </c>
      <c r="C12" s="99" t="s">
        <v>331</v>
      </c>
      <c r="D12" s="99" t="s">
        <v>338</v>
      </c>
      <c r="E12" s="99" t="s">
        <v>330</v>
      </c>
      <c r="F12" s="99" t="s">
        <v>339</v>
      </c>
      <c r="H12" s="188" t="s">
        <v>227</v>
      </c>
      <c r="I12" s="172" t="s">
        <v>350</v>
      </c>
      <c r="J12" s="172"/>
      <c r="K12" s="187" t="s">
        <v>316</v>
      </c>
      <c r="L12" s="172" t="s">
        <v>357</v>
      </c>
      <c r="M12" s="172"/>
    </row>
    <row r="13" spans="1:18" x14ac:dyDescent="0.25">
      <c r="A13" s="97" t="s">
        <v>336</v>
      </c>
      <c r="B13" s="97">
        <v>0.21</v>
      </c>
      <c r="C13" s="97">
        <v>0.32</v>
      </c>
      <c r="D13" s="97">
        <v>0.46</v>
      </c>
      <c r="E13" s="97">
        <v>0.36</v>
      </c>
      <c r="F13" s="97">
        <v>0.4</v>
      </c>
      <c r="H13" s="189"/>
      <c r="I13" s="44" t="s">
        <v>354</v>
      </c>
      <c r="J13" s="44" t="s">
        <v>355</v>
      </c>
      <c r="K13" s="187"/>
      <c r="L13" s="44" t="s">
        <v>354</v>
      </c>
      <c r="M13" s="44" t="s">
        <v>355</v>
      </c>
    </row>
    <row r="14" spans="1:18" ht="14.45" x14ac:dyDescent="0.3">
      <c r="A14" s="97" t="s">
        <v>346</v>
      </c>
      <c r="B14" s="97">
        <v>8355</v>
      </c>
      <c r="C14" s="97">
        <v>464</v>
      </c>
      <c r="D14" s="97">
        <v>3061</v>
      </c>
      <c r="E14" s="97">
        <v>1982</v>
      </c>
      <c r="F14" s="97">
        <v>1998</v>
      </c>
      <c r="H14" s="173" t="s">
        <v>352</v>
      </c>
      <c r="I14" s="182"/>
      <c r="J14" s="182"/>
      <c r="K14" s="182"/>
      <c r="L14" s="182"/>
      <c r="M14" s="174"/>
    </row>
    <row r="15" spans="1:18" ht="14.45" x14ac:dyDescent="0.3">
      <c r="A15" s="99" t="s">
        <v>340</v>
      </c>
      <c r="B15" s="99" t="s">
        <v>219</v>
      </c>
      <c r="C15" s="99" t="s">
        <v>331</v>
      </c>
      <c r="D15" s="99" t="s">
        <v>338</v>
      </c>
      <c r="E15" s="99" t="s">
        <v>330</v>
      </c>
      <c r="F15" s="99" t="s">
        <v>339</v>
      </c>
      <c r="H15" s="6" t="s">
        <v>221</v>
      </c>
      <c r="I15" s="6">
        <v>100</v>
      </c>
      <c r="J15" s="6">
        <v>100</v>
      </c>
      <c r="K15" s="45">
        <f>B18</f>
        <v>37.200000000000003</v>
      </c>
      <c r="L15" s="6">
        <f>I15*K15</f>
        <v>3720.0000000000005</v>
      </c>
      <c r="M15" s="6">
        <f>J15*K15</f>
        <v>3720.0000000000005</v>
      </c>
      <c r="N15" s="95"/>
      <c r="O15" s="95"/>
      <c r="P15" s="95"/>
      <c r="Q15" s="2"/>
      <c r="R15" s="2"/>
    </row>
    <row r="16" spans="1:18" ht="43.15" x14ac:dyDescent="0.3">
      <c r="A16" s="98" t="s">
        <v>337</v>
      </c>
      <c r="B16" s="97">
        <v>18.43</v>
      </c>
      <c r="C16" s="97">
        <v>12.82</v>
      </c>
      <c r="D16" s="97">
        <v>26.5</v>
      </c>
      <c r="E16" s="97">
        <v>20.079999999999998</v>
      </c>
      <c r="F16" s="97">
        <v>34.409999999999997</v>
      </c>
      <c r="H16" s="6" t="s">
        <v>351</v>
      </c>
      <c r="I16" s="6">
        <v>2.7</v>
      </c>
      <c r="J16" s="6">
        <v>4</v>
      </c>
      <c r="K16" s="45">
        <v>120</v>
      </c>
      <c r="L16" s="6">
        <f t="shared" ref="L16:L24" si="0">I16*K16</f>
        <v>324</v>
      </c>
      <c r="M16" s="6">
        <f t="shared" ref="M16:M24" si="1">J16*K16</f>
        <v>480</v>
      </c>
      <c r="N16" s="2"/>
      <c r="O16" s="2"/>
      <c r="P16" s="2"/>
      <c r="Q16" s="2"/>
      <c r="R16" s="2"/>
    </row>
    <row r="17" spans="1:18" ht="14.45" x14ac:dyDescent="0.3">
      <c r="A17" s="98"/>
      <c r="B17" s="97"/>
      <c r="C17" s="97"/>
      <c r="D17" s="97"/>
      <c r="E17" s="97"/>
      <c r="F17" s="97"/>
      <c r="H17" s="173" t="s">
        <v>353</v>
      </c>
      <c r="I17" s="182"/>
      <c r="J17" s="182"/>
      <c r="K17" s="182"/>
      <c r="L17" s="182"/>
      <c r="M17" s="174"/>
      <c r="N17" s="2"/>
      <c r="O17" s="2"/>
      <c r="P17" s="2"/>
      <c r="Q17" s="2"/>
      <c r="R17" s="2"/>
    </row>
    <row r="18" spans="1:18" ht="14.45" x14ac:dyDescent="0.3">
      <c r="A18" s="98" t="s">
        <v>343</v>
      </c>
      <c r="B18" s="97">
        <v>37.200000000000003</v>
      </c>
      <c r="C18" s="97">
        <v>37.200000000000003</v>
      </c>
      <c r="D18" s="97">
        <v>37.200000000000003</v>
      </c>
      <c r="E18" s="97">
        <v>37.200000000000003</v>
      </c>
      <c r="F18" s="97">
        <v>37.200000000000003</v>
      </c>
      <c r="H18" s="6" t="s">
        <v>360</v>
      </c>
      <c r="I18" s="6">
        <v>8.6999999999999993</v>
      </c>
      <c r="J18" s="6">
        <v>8.6999999999999993</v>
      </c>
      <c r="K18" s="45"/>
      <c r="L18" s="6"/>
      <c r="M18" s="6"/>
      <c r="N18" s="2"/>
      <c r="O18" s="2"/>
      <c r="P18" s="2"/>
      <c r="Q18" s="2"/>
      <c r="R18" s="2"/>
    </row>
    <row r="19" spans="1:18" ht="14.45" x14ac:dyDescent="0.3">
      <c r="A19" s="98" t="s">
        <v>345</v>
      </c>
      <c r="B19" s="107">
        <f>B14/1000*B13/B16</f>
        <v>9.5200759631036358E-2</v>
      </c>
      <c r="C19" s="107">
        <f t="shared" ref="C19:F19" si="2">C14/1000*C13/C16</f>
        <v>1.1581903276131044E-2</v>
      </c>
      <c r="D19" s="107">
        <f t="shared" si="2"/>
        <v>5.313433962264151E-2</v>
      </c>
      <c r="E19" s="107">
        <f t="shared" si="2"/>
        <v>3.5533864541832667E-2</v>
      </c>
      <c r="F19" s="107">
        <f t="shared" si="2"/>
        <v>2.3225806451612905E-2</v>
      </c>
      <c r="G19" s="93"/>
      <c r="H19" s="6" t="s">
        <v>361</v>
      </c>
      <c r="I19" s="6">
        <v>5.5</v>
      </c>
      <c r="J19" s="6">
        <v>5.4</v>
      </c>
      <c r="K19" s="45"/>
      <c r="L19" s="6"/>
      <c r="M19" s="6"/>
      <c r="N19" s="2"/>
      <c r="O19" s="2"/>
      <c r="P19" s="2"/>
      <c r="Q19" s="2"/>
      <c r="R19" s="2"/>
    </row>
    <row r="20" spans="1:18" ht="14.45" x14ac:dyDescent="0.3">
      <c r="A20" s="98" t="s">
        <v>342</v>
      </c>
      <c r="B20" s="106">
        <f>B13*B18/B16</f>
        <v>0.42387411828540428</v>
      </c>
      <c r="C20" s="106">
        <f>C13*C18/C16</f>
        <v>0.92854914196567873</v>
      </c>
      <c r="D20" s="106">
        <f>D13*D18/D16</f>
        <v>0.64573584905660386</v>
      </c>
      <c r="E20" s="106">
        <f>E13*E18/E16</f>
        <v>0.66693227091633478</v>
      </c>
      <c r="F20" s="106">
        <f>F13*F18/F16</f>
        <v>0.43243243243243257</v>
      </c>
      <c r="G20" s="93"/>
      <c r="H20" s="6" t="s">
        <v>362</v>
      </c>
      <c r="I20" s="6">
        <v>4.2</v>
      </c>
      <c r="J20" s="6">
        <v>4.2</v>
      </c>
      <c r="K20" s="45">
        <v>46.4</v>
      </c>
      <c r="L20" s="6">
        <f t="shared" si="0"/>
        <v>194.88</v>
      </c>
      <c r="M20" s="6">
        <f t="shared" si="1"/>
        <v>194.88</v>
      </c>
      <c r="N20" s="2"/>
      <c r="O20" s="2"/>
      <c r="P20" s="2"/>
      <c r="Q20" s="2"/>
      <c r="R20" s="2"/>
    </row>
    <row r="21" spans="1:18" ht="14.45" x14ac:dyDescent="0.3">
      <c r="A21" s="90"/>
      <c r="B21" s="90"/>
      <c r="C21" s="90"/>
      <c r="D21" s="90"/>
      <c r="E21" s="90"/>
      <c r="F21" s="90"/>
      <c r="G21" s="91"/>
      <c r="H21" s="6" t="s">
        <v>348</v>
      </c>
      <c r="I21" s="6">
        <v>1.6</v>
      </c>
      <c r="J21" s="6">
        <v>6</v>
      </c>
      <c r="K21" s="45">
        <v>45.5</v>
      </c>
      <c r="L21" s="6">
        <f t="shared" si="0"/>
        <v>72.8</v>
      </c>
      <c r="M21" s="6">
        <f t="shared" si="1"/>
        <v>273</v>
      </c>
      <c r="N21" s="2"/>
      <c r="O21" s="2"/>
      <c r="P21" s="2"/>
      <c r="Q21" s="2"/>
      <c r="R21" s="2"/>
    </row>
    <row r="22" spans="1:18" ht="14.45" customHeight="1" x14ac:dyDescent="0.25">
      <c r="A22" s="149" t="s">
        <v>317</v>
      </c>
      <c r="B22" s="149"/>
      <c r="C22" s="149"/>
      <c r="D22" s="149"/>
      <c r="E22" s="92"/>
      <c r="H22" s="6" t="s">
        <v>363</v>
      </c>
      <c r="I22" s="6">
        <v>1.8</v>
      </c>
      <c r="J22" s="6">
        <v>7</v>
      </c>
      <c r="K22" s="45">
        <v>44.9</v>
      </c>
      <c r="L22" s="6">
        <f t="shared" si="0"/>
        <v>80.819999999999993</v>
      </c>
      <c r="M22" s="6">
        <f t="shared" si="1"/>
        <v>314.3</v>
      </c>
      <c r="N22" s="2"/>
      <c r="O22" s="2"/>
      <c r="P22" s="2"/>
      <c r="Q22" s="2"/>
      <c r="R22" s="2"/>
    </row>
    <row r="23" spans="1:18" x14ac:dyDescent="0.25">
      <c r="A23" s="196" t="s">
        <v>335</v>
      </c>
      <c r="B23" s="196"/>
      <c r="C23" s="196"/>
      <c r="D23" s="196"/>
      <c r="E23" s="90"/>
      <c r="H23" s="6" t="s">
        <v>364</v>
      </c>
      <c r="I23" s="6">
        <v>12.8</v>
      </c>
      <c r="J23" s="6">
        <v>49.4</v>
      </c>
      <c r="K23" s="45">
        <v>43.3</v>
      </c>
      <c r="L23" s="6">
        <f t="shared" si="0"/>
        <v>554.24</v>
      </c>
      <c r="M23" s="6">
        <f t="shared" si="1"/>
        <v>2139.02</v>
      </c>
      <c r="N23" s="2"/>
      <c r="O23" s="2"/>
      <c r="P23" s="2"/>
      <c r="Q23" s="2"/>
      <c r="R23" s="2"/>
    </row>
    <row r="24" spans="1:18" x14ac:dyDescent="0.25">
      <c r="A24" s="99" t="s">
        <v>218</v>
      </c>
      <c r="B24" s="97" t="s">
        <v>321</v>
      </c>
      <c r="C24" s="97" t="s">
        <v>316</v>
      </c>
      <c r="D24" s="98" t="s">
        <v>322</v>
      </c>
      <c r="E24" s="90"/>
      <c r="H24" s="6" t="s">
        <v>319</v>
      </c>
      <c r="I24" s="6">
        <v>68.099999999999994</v>
      </c>
      <c r="J24" s="6">
        <v>23.3</v>
      </c>
      <c r="K24" s="45">
        <v>43.56</v>
      </c>
      <c r="L24" s="6">
        <f t="shared" si="0"/>
        <v>2966.4359999999997</v>
      </c>
      <c r="M24" s="6">
        <f t="shared" si="1"/>
        <v>1014.9480000000001</v>
      </c>
      <c r="N24" s="2"/>
      <c r="O24" s="2"/>
      <c r="P24" s="2"/>
      <c r="Q24" s="2"/>
      <c r="R24" s="2"/>
    </row>
    <row r="25" spans="1:18" x14ac:dyDescent="0.25">
      <c r="A25" s="97" t="s">
        <v>219</v>
      </c>
      <c r="B25" s="97">
        <v>5.7</v>
      </c>
      <c r="C25" s="97">
        <f>B16</f>
        <v>18.43</v>
      </c>
      <c r="D25" s="98">
        <f>B25*0.453592*C25</f>
        <v>47.650293191999999</v>
      </c>
      <c r="E25" s="92"/>
      <c r="H25" s="173" t="s">
        <v>314</v>
      </c>
      <c r="I25" s="182"/>
      <c r="J25" s="182"/>
      <c r="K25" s="182"/>
      <c r="L25" s="182"/>
      <c r="M25" s="174"/>
      <c r="N25" s="13"/>
      <c r="O25" s="2"/>
      <c r="P25" s="2"/>
      <c r="Q25" s="2"/>
      <c r="R25" s="2"/>
    </row>
    <row r="26" spans="1:18" x14ac:dyDescent="0.25">
      <c r="A26" s="99" t="s">
        <v>220</v>
      </c>
      <c r="B26" s="97" t="s">
        <v>321</v>
      </c>
      <c r="C26" s="97"/>
      <c r="D26" s="98" t="s">
        <v>322</v>
      </c>
      <c r="E26" s="90"/>
      <c r="H26" s="6" t="s">
        <v>358</v>
      </c>
      <c r="I26" s="45"/>
      <c r="J26" s="78"/>
      <c r="K26" s="78"/>
      <c r="L26" s="108">
        <f>L16/L15</f>
        <v>8.7096774193548374E-2</v>
      </c>
      <c r="M26" s="108">
        <f>M16/M15</f>
        <v>0.12903225806451613</v>
      </c>
      <c r="N26" s="2"/>
      <c r="O26" s="2"/>
      <c r="P26" s="2"/>
      <c r="Q26" s="2"/>
      <c r="R26" s="2"/>
    </row>
    <row r="27" spans="1:18" x14ac:dyDescent="0.25">
      <c r="A27" s="97" t="s">
        <v>221</v>
      </c>
      <c r="B27" s="97">
        <v>1</v>
      </c>
      <c r="C27" s="97">
        <f>B18</f>
        <v>37.200000000000003</v>
      </c>
      <c r="D27" s="98">
        <f t="shared" ref="D27:D28" si="3">B27*0.453592*C27</f>
        <v>16.873622400000002</v>
      </c>
      <c r="E27" s="92"/>
      <c r="H27" s="6" t="s">
        <v>359</v>
      </c>
      <c r="I27" s="17"/>
      <c r="J27" s="78"/>
      <c r="K27" s="78"/>
      <c r="L27" s="108">
        <f>SUM(L20:L24)/SUM(L15:L16)</f>
        <v>0.95676953511374851</v>
      </c>
      <c r="M27" s="108">
        <f>SUM(M20:M24)/SUM(M15:M16)</f>
        <v>0.93717809523809525</v>
      </c>
      <c r="N27" s="2"/>
      <c r="O27" s="2"/>
      <c r="P27" s="2"/>
      <c r="Q27" s="2"/>
      <c r="R27" s="2"/>
    </row>
    <row r="28" spans="1:18" x14ac:dyDescent="0.25">
      <c r="A28" s="97" t="s">
        <v>222</v>
      </c>
      <c r="B28" s="97">
        <v>4.4800000000000004</v>
      </c>
      <c r="C28" s="97">
        <v>13.36</v>
      </c>
      <c r="D28" s="98">
        <f t="shared" si="3"/>
        <v>27.148751257600004</v>
      </c>
      <c r="E28" s="92"/>
      <c r="F28" s="92"/>
      <c r="G28" s="92"/>
      <c r="H28" s="92"/>
      <c r="I28" s="73"/>
      <c r="J28" s="73"/>
      <c r="K28" s="73"/>
    </row>
    <row r="29" spans="1:18" ht="14.45" customHeight="1" x14ac:dyDescent="0.25">
      <c r="A29" s="99" t="s">
        <v>311</v>
      </c>
      <c r="B29" s="97" t="s">
        <v>323</v>
      </c>
      <c r="C29" s="97"/>
      <c r="D29" s="98" t="s">
        <v>322</v>
      </c>
      <c r="E29" s="92"/>
      <c r="F29" s="92"/>
      <c r="G29" s="92"/>
      <c r="H29" s="180" t="s">
        <v>365</v>
      </c>
      <c r="I29" s="180"/>
      <c r="J29" s="180"/>
      <c r="K29" s="114"/>
      <c r="L29" s="180" t="s">
        <v>369</v>
      </c>
      <c r="M29" s="180"/>
      <c r="N29" s="114"/>
    </row>
    <row r="30" spans="1:18" ht="45" x14ac:dyDescent="0.25">
      <c r="A30" s="97" t="s">
        <v>312</v>
      </c>
      <c r="B30" s="97">
        <v>551</v>
      </c>
      <c r="C30" s="97"/>
      <c r="D30" s="98">
        <f>B30*0.00105587</f>
        <v>0.58178436999999994</v>
      </c>
      <c r="E30" s="92"/>
      <c r="F30" s="92"/>
      <c r="G30" s="92"/>
      <c r="H30" s="98" t="s">
        <v>366</v>
      </c>
      <c r="I30" s="61" t="s">
        <v>367</v>
      </c>
      <c r="J30" s="61" t="s">
        <v>368</v>
      </c>
      <c r="K30" s="115"/>
      <c r="L30" s="61" t="s">
        <v>368</v>
      </c>
      <c r="M30" s="86">
        <f>0.92</f>
        <v>0.92</v>
      </c>
    </row>
    <row r="31" spans="1:18" x14ac:dyDescent="0.25">
      <c r="A31" s="97" t="s">
        <v>313</v>
      </c>
      <c r="B31" s="97">
        <v>5134</v>
      </c>
      <c r="C31" s="97"/>
      <c r="D31" s="98">
        <f>B31*0.00105587</f>
        <v>5.4208365799999996</v>
      </c>
      <c r="E31" s="92"/>
      <c r="F31" s="92"/>
      <c r="G31" s="92"/>
      <c r="H31" s="98">
        <v>21.8</v>
      </c>
      <c r="I31" s="98">
        <f>K15</f>
        <v>37.200000000000003</v>
      </c>
      <c r="J31" s="117">
        <f>H31/I31</f>
        <v>0.58602150537634401</v>
      </c>
      <c r="K31" s="116"/>
      <c r="L31" s="77"/>
    </row>
    <row r="32" spans="1:18" x14ac:dyDescent="0.25">
      <c r="A32" s="97" t="s">
        <v>223</v>
      </c>
      <c r="B32" s="97">
        <v>182</v>
      </c>
      <c r="C32" s="97"/>
      <c r="D32" s="98">
        <f>B32*0.00105587</f>
        <v>0.19216833999999999</v>
      </c>
      <c r="E32" s="92"/>
      <c r="F32" s="92"/>
      <c r="G32" s="92"/>
      <c r="H32" s="96"/>
      <c r="I32" s="96"/>
      <c r="J32" s="111"/>
      <c r="K32" s="112"/>
      <c r="L32" s="113"/>
    </row>
    <row r="33" spans="1:16" x14ac:dyDescent="0.25">
      <c r="A33" s="99" t="s">
        <v>314</v>
      </c>
      <c r="B33" s="125"/>
      <c r="C33" s="125"/>
      <c r="D33" s="125"/>
      <c r="E33" s="92"/>
      <c r="F33" s="92"/>
      <c r="G33" s="92"/>
      <c r="H33" s="149" t="s">
        <v>370</v>
      </c>
      <c r="I33" s="149"/>
      <c r="J33" s="149"/>
      <c r="K33" s="149"/>
      <c r="L33" s="149"/>
      <c r="M33" s="149"/>
      <c r="N33" s="149"/>
      <c r="O33" s="149"/>
      <c r="P33" s="13"/>
    </row>
    <row r="34" spans="1:16" x14ac:dyDescent="0.25">
      <c r="A34" s="97" t="s">
        <v>315</v>
      </c>
      <c r="B34" s="97"/>
      <c r="C34" s="97"/>
      <c r="D34" s="126">
        <f>SUM(D27:D28)/SUM(D25,D30:D32)</f>
        <v>0.8175746350154881</v>
      </c>
      <c r="E34" s="92"/>
      <c r="F34" s="92"/>
      <c r="G34" s="92"/>
      <c r="H34" s="190" t="s">
        <v>227</v>
      </c>
      <c r="I34" s="190"/>
      <c r="J34" s="15" t="s">
        <v>219</v>
      </c>
      <c r="K34" s="15" t="s">
        <v>331</v>
      </c>
      <c r="L34" s="15" t="s">
        <v>338</v>
      </c>
      <c r="M34" s="15" t="s">
        <v>330</v>
      </c>
      <c r="N34" s="15" t="s">
        <v>339</v>
      </c>
      <c r="O34" s="14"/>
    </row>
    <row r="35" spans="1:16" x14ac:dyDescent="0.25">
      <c r="A35" s="98" t="s">
        <v>345</v>
      </c>
      <c r="B35" s="97"/>
      <c r="C35" s="97"/>
      <c r="D35" s="126">
        <f>SUM(D30:D32)/D25</f>
        <v>0.13000527121709385</v>
      </c>
      <c r="E35" s="92"/>
      <c r="F35" s="92"/>
      <c r="G35" s="92"/>
      <c r="H35" s="187" t="s">
        <v>341</v>
      </c>
      <c r="I35" s="187"/>
      <c r="J35" s="187"/>
      <c r="K35" s="187"/>
      <c r="L35" s="187"/>
      <c r="M35" s="187"/>
      <c r="N35" s="187"/>
      <c r="O35" s="14"/>
    </row>
    <row r="36" spans="1:16" x14ac:dyDescent="0.25">
      <c r="A36" s="97" t="s">
        <v>318</v>
      </c>
      <c r="B36" s="97"/>
      <c r="C36" s="97"/>
      <c r="D36" s="126">
        <f>D27/D25</f>
        <v>0.35411371619499105</v>
      </c>
      <c r="E36" s="92"/>
      <c r="F36" s="92"/>
      <c r="G36" s="92"/>
      <c r="H36" s="72" t="s">
        <v>380</v>
      </c>
      <c r="I36" s="72" t="s">
        <v>385</v>
      </c>
      <c r="J36" s="72">
        <v>0.74</v>
      </c>
      <c r="K36" s="72">
        <v>0.74</v>
      </c>
      <c r="L36" s="72">
        <v>0.76</v>
      </c>
      <c r="M36" s="72">
        <v>0.74</v>
      </c>
      <c r="N36" s="72">
        <v>0.75</v>
      </c>
      <c r="O36" s="14"/>
    </row>
    <row r="37" spans="1:16" x14ac:dyDescent="0.25">
      <c r="A37" s="193" t="s">
        <v>320</v>
      </c>
      <c r="B37" s="194"/>
      <c r="C37" s="194"/>
      <c r="D37" s="195"/>
      <c r="E37" s="92"/>
      <c r="F37" s="92"/>
      <c r="G37" s="92"/>
      <c r="H37" s="72" t="s">
        <v>375</v>
      </c>
      <c r="I37" s="72" t="s">
        <v>386</v>
      </c>
      <c r="J37" s="72">
        <v>4447</v>
      </c>
      <c r="K37" s="72">
        <v>3536</v>
      </c>
      <c r="L37" s="72">
        <v>4233</v>
      </c>
      <c r="M37" s="72">
        <v>3990</v>
      </c>
      <c r="N37" s="72">
        <v>4734</v>
      </c>
      <c r="O37" s="14"/>
    </row>
    <row r="38" spans="1:16" x14ac:dyDescent="0.25">
      <c r="A38" s="99" t="s">
        <v>218</v>
      </c>
      <c r="B38" s="97" t="s">
        <v>321</v>
      </c>
      <c r="C38" s="97" t="s">
        <v>316</v>
      </c>
      <c r="D38" s="98" t="s">
        <v>322</v>
      </c>
      <c r="E38" s="92"/>
      <c r="F38" s="92"/>
      <c r="G38" s="92"/>
      <c r="H38" s="72" t="s">
        <v>376</v>
      </c>
      <c r="I38" s="72" t="s">
        <v>387</v>
      </c>
      <c r="J38" s="72">
        <v>7782</v>
      </c>
      <c r="K38" s="72">
        <v>7828</v>
      </c>
      <c r="L38" s="72">
        <v>7456</v>
      </c>
      <c r="M38" s="72">
        <v>7650</v>
      </c>
      <c r="N38" s="72">
        <v>7818</v>
      </c>
      <c r="O38" s="14"/>
    </row>
    <row r="39" spans="1:16" x14ac:dyDescent="0.25">
      <c r="A39" s="97" t="s">
        <v>224</v>
      </c>
      <c r="B39" s="97">
        <v>4.5</v>
      </c>
      <c r="C39" s="98">
        <f>C16</f>
        <v>12.82</v>
      </c>
      <c r="D39" s="98">
        <f>B39*0.453592*C39</f>
        <v>26.167722480000002</v>
      </c>
      <c r="E39" s="92"/>
      <c r="F39" s="92"/>
      <c r="G39" s="92"/>
      <c r="H39" s="72" t="s">
        <v>377</v>
      </c>
      <c r="I39" s="72" t="s">
        <v>388</v>
      </c>
      <c r="J39" s="72">
        <v>61</v>
      </c>
      <c r="K39" s="72">
        <v>61</v>
      </c>
      <c r="L39" s="72">
        <v>58</v>
      </c>
      <c r="M39" s="72">
        <v>60</v>
      </c>
      <c r="N39" s="72">
        <v>61</v>
      </c>
      <c r="O39" s="14"/>
    </row>
    <row r="40" spans="1:16" x14ac:dyDescent="0.25">
      <c r="A40" s="99" t="s">
        <v>220</v>
      </c>
      <c r="B40" s="97" t="s">
        <v>321</v>
      </c>
      <c r="C40" s="98"/>
      <c r="D40" s="98" t="s">
        <v>322</v>
      </c>
      <c r="E40" s="92"/>
      <c r="F40" s="92"/>
      <c r="G40" s="92"/>
      <c r="H40" s="72" t="s">
        <v>378</v>
      </c>
      <c r="I40" s="72" t="s">
        <v>389</v>
      </c>
      <c r="J40" s="72">
        <v>4575</v>
      </c>
      <c r="K40" s="72">
        <v>4077</v>
      </c>
      <c r="L40" s="72">
        <v>3512</v>
      </c>
      <c r="M40" s="72">
        <v>4548</v>
      </c>
      <c r="N40" s="72">
        <v>4444</v>
      </c>
      <c r="O40" s="14"/>
    </row>
    <row r="41" spans="1:16" x14ac:dyDescent="0.25">
      <c r="A41" s="97" t="s">
        <v>225</v>
      </c>
      <c r="B41" s="97">
        <v>1</v>
      </c>
      <c r="C41" s="98">
        <f>C18</f>
        <v>37.200000000000003</v>
      </c>
      <c r="D41" s="98">
        <f t="shared" ref="D41:D42" si="4">B41*0.453592*C41</f>
        <v>16.873622400000002</v>
      </c>
      <c r="E41" s="92"/>
      <c r="F41" s="92"/>
      <c r="G41" s="92"/>
      <c r="H41" s="72" t="s">
        <v>379</v>
      </c>
      <c r="I41" s="72" t="s">
        <v>390</v>
      </c>
      <c r="J41" s="72">
        <v>3418</v>
      </c>
      <c r="K41" s="72">
        <v>3775</v>
      </c>
      <c r="L41" s="72">
        <v>4226</v>
      </c>
      <c r="M41" s="72">
        <v>3445</v>
      </c>
      <c r="N41" s="72">
        <v>3359</v>
      </c>
      <c r="O41" s="14"/>
    </row>
    <row r="42" spans="1:16" x14ac:dyDescent="0.25">
      <c r="A42" s="97" t="s">
        <v>226</v>
      </c>
      <c r="B42" s="97">
        <v>0.11</v>
      </c>
      <c r="C42" s="124">
        <v>12.82</v>
      </c>
      <c r="D42" s="98">
        <f t="shared" si="4"/>
        <v>0.63965543840000005</v>
      </c>
      <c r="E42" s="92"/>
      <c r="F42" s="92"/>
      <c r="G42" s="92"/>
      <c r="H42" s="187" t="s">
        <v>381</v>
      </c>
      <c r="I42" s="187"/>
      <c r="J42" s="187"/>
      <c r="K42" s="187"/>
      <c r="L42" s="187"/>
      <c r="M42" s="187"/>
      <c r="N42" s="187"/>
      <c r="O42" s="70" t="s">
        <v>391</v>
      </c>
    </row>
    <row r="43" spans="1:16" x14ac:dyDescent="0.25">
      <c r="A43" s="99" t="s">
        <v>311</v>
      </c>
      <c r="B43" s="97" t="s">
        <v>323</v>
      </c>
      <c r="C43" s="98"/>
      <c r="D43" s="98" t="s">
        <v>322</v>
      </c>
      <c r="E43" s="92"/>
      <c r="F43" s="92"/>
      <c r="G43" s="92"/>
      <c r="H43" s="79" t="s">
        <v>225</v>
      </c>
      <c r="I43" s="79" t="s">
        <v>382</v>
      </c>
      <c r="J43" s="79">
        <v>1</v>
      </c>
      <c r="K43" s="79">
        <v>1</v>
      </c>
      <c r="L43" s="79">
        <v>1</v>
      </c>
      <c r="M43" s="79">
        <v>1</v>
      </c>
      <c r="N43" s="79">
        <v>1</v>
      </c>
      <c r="O43" s="79">
        <v>37.200000000000003</v>
      </c>
    </row>
    <row r="44" spans="1:16" x14ac:dyDescent="0.25">
      <c r="A44" s="97" t="s">
        <v>312</v>
      </c>
      <c r="B44" s="97">
        <v>29.7</v>
      </c>
      <c r="C44" s="98"/>
      <c r="D44" s="98">
        <f>B44*0.00105587</f>
        <v>3.1359339E-2</v>
      </c>
      <c r="E44" s="92"/>
      <c r="F44" s="92"/>
      <c r="G44" s="92"/>
      <c r="H44" s="79" t="s">
        <v>351</v>
      </c>
      <c r="I44" s="79" t="s">
        <v>382</v>
      </c>
      <c r="J44" s="71">
        <f>J37*J46/$O$46/1000</f>
        <v>8.8461827956989245E-2</v>
      </c>
      <c r="K44" s="71">
        <f t="shared" ref="K44:N44" si="5">K37*K46/$O$46/1000</f>
        <v>7.0339784946236564E-2</v>
      </c>
      <c r="L44" s="71">
        <f t="shared" si="5"/>
        <v>8.6480645161290309E-2</v>
      </c>
      <c r="M44" s="71">
        <f t="shared" si="5"/>
        <v>7.9370967741935486E-2</v>
      </c>
      <c r="N44" s="71">
        <f t="shared" si="5"/>
        <v>9.5443548387096774E-2</v>
      </c>
      <c r="O44" s="79"/>
    </row>
    <row r="45" spans="1:16" x14ac:dyDescent="0.25">
      <c r="A45" s="97" t="s">
        <v>319</v>
      </c>
      <c r="B45" s="97">
        <v>169.8</v>
      </c>
      <c r="C45" s="98"/>
      <c r="D45" s="98">
        <f>B45*0.00105587</f>
        <v>0.17928672600000001</v>
      </c>
      <c r="E45" s="92"/>
      <c r="F45" s="92"/>
      <c r="G45" s="92"/>
      <c r="H45" s="79" t="s">
        <v>313</v>
      </c>
      <c r="I45" s="79" t="s">
        <v>382</v>
      </c>
      <c r="J45" s="71">
        <f>J38*J46/$O$46/1000</f>
        <v>0.15480322580645159</v>
      </c>
      <c r="K45" s="71">
        <f t="shared" ref="K45:N45" si="6">K38*K46/$O$46/1000</f>
        <v>0.15571827956989245</v>
      </c>
      <c r="L45" s="71">
        <f t="shared" si="6"/>
        <v>0.1523268817204301</v>
      </c>
      <c r="M45" s="71">
        <f t="shared" si="6"/>
        <v>0.15217741935483869</v>
      </c>
      <c r="N45" s="71">
        <f t="shared" si="6"/>
        <v>0.15762096774193549</v>
      </c>
      <c r="O45" s="70"/>
    </row>
    <row r="46" spans="1:16" x14ac:dyDescent="0.25">
      <c r="A46" s="99" t="s">
        <v>314</v>
      </c>
      <c r="B46" s="125"/>
      <c r="C46" s="125"/>
      <c r="D46" s="125"/>
      <c r="E46" s="92"/>
      <c r="F46" s="92"/>
      <c r="G46" s="92"/>
      <c r="H46" s="79" t="s">
        <v>383</v>
      </c>
      <c r="I46" s="79" t="s">
        <v>382</v>
      </c>
      <c r="J46" s="71">
        <f>$O$46*J36*J43/$O$43</f>
        <v>0.87725806451612898</v>
      </c>
      <c r="K46" s="71">
        <f t="shared" ref="K46:N46" si="7">$O$46*K36*K43/$O$43</f>
        <v>0.87725806451612898</v>
      </c>
      <c r="L46" s="71">
        <f t="shared" si="7"/>
        <v>0.90096774193548379</v>
      </c>
      <c r="M46" s="71">
        <f t="shared" si="7"/>
        <v>0.87725806451612898</v>
      </c>
      <c r="N46" s="71">
        <f t="shared" si="7"/>
        <v>0.88911290322580649</v>
      </c>
      <c r="O46" s="70">
        <v>44.1</v>
      </c>
    </row>
    <row r="47" spans="1:16" x14ac:dyDescent="0.25">
      <c r="A47" s="97" t="s">
        <v>315</v>
      </c>
      <c r="B47" s="97"/>
      <c r="C47" s="97"/>
      <c r="D47" s="126">
        <f>SUM(D41:D42)/SUM(D39,D44:D45)</f>
        <v>0.66392573932399723</v>
      </c>
      <c r="E47" s="92"/>
      <c r="F47" s="92"/>
      <c r="G47" s="92"/>
      <c r="H47" s="79" t="s">
        <v>384</v>
      </c>
      <c r="I47" s="79" t="s">
        <v>382</v>
      </c>
      <c r="J47" s="71">
        <f>J40*J46/$O$46/1000</f>
        <v>9.1008064516129028E-2</v>
      </c>
      <c r="K47" s="71">
        <f t="shared" ref="K47:N47" si="8">K40*K46/$O$46/1000</f>
        <v>8.1101612903225803E-2</v>
      </c>
      <c r="L47" s="71">
        <f t="shared" si="8"/>
        <v>7.1750537634408598E-2</v>
      </c>
      <c r="M47" s="71">
        <f t="shared" si="8"/>
        <v>9.0470967741935485E-2</v>
      </c>
      <c r="N47" s="71">
        <f t="shared" si="8"/>
        <v>8.959677419354839E-2</v>
      </c>
      <c r="O47" s="79"/>
    </row>
    <row r="48" spans="1:16" x14ac:dyDescent="0.25">
      <c r="A48" s="98" t="s">
        <v>345</v>
      </c>
      <c r="B48" s="97"/>
      <c r="C48" s="97"/>
      <c r="D48" s="126">
        <f>SUM(D44:D45)/D39</f>
        <v>8.0498432815846645E-3</v>
      </c>
      <c r="E48" s="92"/>
      <c r="F48" s="92"/>
      <c r="G48" s="92"/>
      <c r="H48" s="79" t="s">
        <v>363</v>
      </c>
      <c r="I48" s="79" t="s">
        <v>382</v>
      </c>
      <c r="J48" s="71">
        <f>J41*J46/$O$46/1000</f>
        <v>6.7992473118279564E-2</v>
      </c>
      <c r="K48" s="71">
        <f t="shared" ref="K48:N48" si="9">K41*K46/$O$46/1000</f>
        <v>7.5094086021505357E-2</v>
      </c>
      <c r="L48" s="71">
        <f t="shared" si="9"/>
        <v>8.6337634408602149E-2</v>
      </c>
      <c r="M48" s="71">
        <f t="shared" si="9"/>
        <v>6.8529569892473122E-2</v>
      </c>
      <c r="N48" s="71">
        <f t="shared" si="9"/>
        <v>6.7721774193548384E-2</v>
      </c>
      <c r="O48" s="79"/>
    </row>
    <row r="49" spans="1:15" x14ac:dyDescent="0.25">
      <c r="A49" s="97" t="s">
        <v>318</v>
      </c>
      <c r="B49" s="97"/>
      <c r="C49" s="97"/>
      <c r="D49" s="126">
        <f>D41/D39</f>
        <v>0.64482579303172127</v>
      </c>
      <c r="E49" s="92"/>
      <c r="F49" s="92"/>
      <c r="G49" s="92"/>
      <c r="H49" s="187" t="s">
        <v>314</v>
      </c>
      <c r="I49" s="187"/>
      <c r="J49" s="187"/>
      <c r="K49" s="187"/>
      <c r="L49" s="187"/>
      <c r="M49" s="187"/>
      <c r="N49" s="187"/>
      <c r="O49" s="14"/>
    </row>
    <row r="50" spans="1:15" x14ac:dyDescent="0.25">
      <c r="A50" s="196" t="s">
        <v>327</v>
      </c>
      <c r="B50" s="196"/>
      <c r="C50" s="196"/>
      <c r="D50" s="196"/>
      <c r="E50" s="92"/>
      <c r="F50" s="92"/>
      <c r="G50" s="92"/>
      <c r="H50" s="181" t="s">
        <v>358</v>
      </c>
      <c r="I50" s="181"/>
      <c r="J50" s="86">
        <f>J44/J43</f>
        <v>8.8461827956989245E-2</v>
      </c>
      <c r="K50" s="86">
        <f t="shared" ref="K50:N50" si="10">K44/K43</f>
        <v>7.0339784946236564E-2</v>
      </c>
      <c r="L50" s="86">
        <f t="shared" si="10"/>
        <v>8.6480645161290309E-2</v>
      </c>
      <c r="M50" s="86">
        <f t="shared" si="10"/>
        <v>7.9370967741935486E-2</v>
      </c>
      <c r="N50" s="86">
        <f t="shared" si="10"/>
        <v>9.5443548387096774E-2</v>
      </c>
      <c r="O50" s="14"/>
    </row>
    <row r="51" spans="1:15" x14ac:dyDescent="0.25">
      <c r="A51" s="127" t="s">
        <v>326</v>
      </c>
      <c r="B51" s="200">
        <v>0.35</v>
      </c>
      <c r="C51" s="200"/>
      <c r="D51" s="200"/>
      <c r="E51" s="91"/>
      <c r="F51" s="92"/>
      <c r="G51" s="92"/>
      <c r="H51" s="181" t="s">
        <v>392</v>
      </c>
      <c r="I51" s="181"/>
      <c r="J51" s="86">
        <f>J45/J43</f>
        <v>0.15480322580645159</v>
      </c>
      <c r="K51" s="86">
        <f t="shared" ref="K51:N51" si="11">K45/K43</f>
        <v>0.15571827956989245</v>
      </c>
      <c r="L51" s="86">
        <f t="shared" si="11"/>
        <v>0.1523268817204301</v>
      </c>
      <c r="M51" s="86">
        <f t="shared" si="11"/>
        <v>0.15217741935483869</v>
      </c>
      <c r="N51" s="86">
        <f t="shared" si="11"/>
        <v>0.15762096774193549</v>
      </c>
      <c r="O51" s="14"/>
    </row>
    <row r="52" spans="1:15" x14ac:dyDescent="0.25">
      <c r="A52" s="99" t="s">
        <v>218</v>
      </c>
      <c r="B52" s="97" t="s">
        <v>321</v>
      </c>
      <c r="C52" s="97" t="s">
        <v>316</v>
      </c>
      <c r="D52" s="98" t="s">
        <v>322</v>
      </c>
      <c r="E52" s="91"/>
      <c r="F52" s="92"/>
      <c r="G52" s="92"/>
      <c r="H52" s="181" t="s">
        <v>315</v>
      </c>
      <c r="I52" s="181"/>
      <c r="J52" s="86">
        <f>SUM(J46:J48)/SUM(J43:J45)</f>
        <v>0.83349773164919105</v>
      </c>
      <c r="K52" s="86">
        <f t="shared" ref="K52:N52" si="12">SUM(K46:K48)/SUM(K43:K45)</f>
        <v>0.84290768386138271</v>
      </c>
      <c r="L52" s="86">
        <f t="shared" si="12"/>
        <v>0.85489948276655214</v>
      </c>
      <c r="M52" s="86">
        <f t="shared" si="12"/>
        <v>0.84142743639443307</v>
      </c>
      <c r="N52" s="86">
        <f t="shared" si="12"/>
        <v>0.83509782468786187</v>
      </c>
      <c r="O52" s="14"/>
    </row>
    <row r="53" spans="1:15" x14ac:dyDescent="0.25">
      <c r="A53" s="97" t="s">
        <v>328</v>
      </c>
      <c r="B53" s="97">
        <v>1</v>
      </c>
      <c r="C53" s="98">
        <f>E16</f>
        <v>20.079999999999998</v>
      </c>
      <c r="D53" s="98">
        <f>B53*0.453592*C53</f>
        <v>9.1081273599999992</v>
      </c>
      <c r="E53" s="92"/>
      <c r="F53" s="92"/>
      <c r="G53" s="92"/>
      <c r="H53" s="181" t="s">
        <v>359</v>
      </c>
      <c r="I53" s="181"/>
      <c r="J53" s="86">
        <f>J46/J43</f>
        <v>0.87725806451612898</v>
      </c>
      <c r="K53" s="86">
        <f t="shared" ref="K53:N53" si="13">K46/K43</f>
        <v>0.87725806451612898</v>
      </c>
      <c r="L53" s="86">
        <f t="shared" si="13"/>
        <v>0.90096774193548379</v>
      </c>
      <c r="M53" s="86">
        <f t="shared" si="13"/>
        <v>0.87725806451612898</v>
      </c>
      <c r="N53" s="86">
        <f t="shared" si="13"/>
        <v>0.88911290322580649</v>
      </c>
      <c r="O53" s="14"/>
    </row>
    <row r="54" spans="1:15" x14ac:dyDescent="0.25">
      <c r="A54" s="99" t="s">
        <v>220</v>
      </c>
      <c r="B54" s="97" t="s">
        <v>321</v>
      </c>
      <c r="C54" s="98"/>
      <c r="D54" s="98" t="s">
        <v>322</v>
      </c>
      <c r="E54" s="91"/>
      <c r="F54" s="92"/>
      <c r="G54" s="92"/>
    </row>
    <row r="55" spans="1:15" x14ac:dyDescent="0.25">
      <c r="A55" s="97" t="s">
        <v>225</v>
      </c>
      <c r="B55" s="128">
        <f>B53*B51</f>
        <v>0.35</v>
      </c>
      <c r="C55" s="129">
        <f>E18</f>
        <v>37.200000000000003</v>
      </c>
      <c r="D55" s="98">
        <f t="shared" ref="D55" si="14">B55*0.453592*C55</f>
        <v>5.9057678400000002</v>
      </c>
      <c r="E55" s="92"/>
      <c r="F55" s="92"/>
      <c r="G55" s="92"/>
      <c r="H55" s="149" t="s">
        <v>371</v>
      </c>
      <c r="I55" s="149"/>
      <c r="J55" s="149"/>
      <c r="K55" s="149"/>
      <c r="L55" s="149"/>
    </row>
    <row r="56" spans="1:15" x14ac:dyDescent="0.25">
      <c r="A56" s="99" t="s">
        <v>314</v>
      </c>
      <c r="B56" s="19"/>
      <c r="C56" s="19"/>
      <c r="D56" s="19"/>
      <c r="E56" s="91"/>
      <c r="F56" s="92"/>
      <c r="G56" s="92"/>
      <c r="H56" s="85" t="s">
        <v>251</v>
      </c>
      <c r="I56" s="85" t="s">
        <v>283</v>
      </c>
      <c r="J56" s="85" t="s">
        <v>393</v>
      </c>
      <c r="K56" s="85" t="s">
        <v>285</v>
      </c>
      <c r="L56" s="71"/>
    </row>
    <row r="57" spans="1:15" x14ac:dyDescent="0.25">
      <c r="A57" s="97" t="s">
        <v>318</v>
      </c>
      <c r="B57" s="19"/>
      <c r="C57" s="19"/>
      <c r="D57" s="101">
        <f>D55/D53</f>
        <v>0.64840637450199212</v>
      </c>
      <c r="E57" s="91"/>
      <c r="F57" s="92"/>
      <c r="G57" s="92"/>
      <c r="H57" s="172" t="s">
        <v>341</v>
      </c>
      <c r="I57" s="172"/>
      <c r="J57" s="172"/>
      <c r="K57" s="172"/>
      <c r="L57" s="71"/>
    </row>
    <row r="58" spans="1:15" x14ac:dyDescent="0.25">
      <c r="A58" s="196" t="s">
        <v>325</v>
      </c>
      <c r="B58" s="196"/>
      <c r="C58" s="196"/>
      <c r="D58" s="196"/>
      <c r="E58" s="92"/>
      <c r="F58" s="92"/>
      <c r="G58" s="92"/>
      <c r="H58" s="79" t="s">
        <v>394</v>
      </c>
      <c r="I58" s="79">
        <v>100</v>
      </c>
      <c r="J58" s="79">
        <v>100</v>
      </c>
      <c r="K58" s="79">
        <v>100</v>
      </c>
      <c r="L58" s="71"/>
    </row>
    <row r="59" spans="1:15" x14ac:dyDescent="0.25">
      <c r="A59" s="97" t="s">
        <v>324</v>
      </c>
      <c r="B59" s="197">
        <v>0.44</v>
      </c>
      <c r="C59" s="198"/>
      <c r="D59" s="199"/>
      <c r="E59" s="92"/>
      <c r="F59" s="92"/>
      <c r="G59" s="92"/>
      <c r="H59" s="79" t="s">
        <v>395</v>
      </c>
      <c r="I59" s="79">
        <v>2.15</v>
      </c>
      <c r="J59" s="79">
        <v>3.38</v>
      </c>
      <c r="K59" s="79">
        <v>4.4800000000000004</v>
      </c>
      <c r="L59" s="71"/>
    </row>
    <row r="60" spans="1:15" x14ac:dyDescent="0.25">
      <c r="A60" s="99" t="s">
        <v>218</v>
      </c>
      <c r="B60" s="97" t="s">
        <v>321</v>
      </c>
      <c r="C60" s="97" t="s">
        <v>316</v>
      </c>
      <c r="D60" s="98" t="s">
        <v>322</v>
      </c>
      <c r="E60" s="92"/>
      <c r="F60" s="92"/>
      <c r="G60" s="92"/>
      <c r="H60" s="79" t="s">
        <v>396</v>
      </c>
      <c r="I60" s="79">
        <v>6364</v>
      </c>
      <c r="J60" s="79">
        <v>8330</v>
      </c>
      <c r="K60" s="79">
        <v>10529</v>
      </c>
      <c r="L60" s="71"/>
    </row>
    <row r="61" spans="1:15" x14ac:dyDescent="0.25">
      <c r="A61" s="97" t="s">
        <v>329</v>
      </c>
      <c r="B61" s="97">
        <v>1</v>
      </c>
      <c r="C61" s="98">
        <f>D16</f>
        <v>26.5</v>
      </c>
      <c r="D61" s="98">
        <f>B61*0.453592*C61</f>
        <v>12.020187999999999</v>
      </c>
      <c r="E61" s="102"/>
      <c r="F61" s="92"/>
      <c r="G61" s="92"/>
      <c r="H61" s="79" t="s">
        <v>397</v>
      </c>
      <c r="I61" s="79">
        <v>9845</v>
      </c>
      <c r="J61" s="79">
        <v>10740</v>
      </c>
      <c r="K61" s="79">
        <v>11635</v>
      </c>
      <c r="L61" s="71"/>
    </row>
    <row r="62" spans="1:15" x14ac:dyDescent="0.25">
      <c r="A62" s="99" t="s">
        <v>220</v>
      </c>
      <c r="B62" s="97" t="s">
        <v>321</v>
      </c>
      <c r="C62" s="98"/>
      <c r="D62" s="98" t="s">
        <v>322</v>
      </c>
      <c r="E62" s="100"/>
      <c r="F62" s="92"/>
      <c r="G62" s="92"/>
      <c r="H62" s="79" t="s">
        <v>403</v>
      </c>
      <c r="I62" s="79">
        <v>57.8</v>
      </c>
      <c r="J62" s="79">
        <v>58.7</v>
      </c>
      <c r="K62" s="79">
        <v>59.9</v>
      </c>
      <c r="L62" s="71"/>
    </row>
    <row r="63" spans="1:15" x14ac:dyDescent="0.25">
      <c r="A63" s="97" t="s">
        <v>225</v>
      </c>
      <c r="B63" s="97">
        <f>B61*B59</f>
        <v>0.44</v>
      </c>
      <c r="C63" s="98">
        <f>D18</f>
        <v>37.200000000000003</v>
      </c>
      <c r="D63" s="98">
        <f>B63*0.453592*C63</f>
        <v>7.4243938560000009</v>
      </c>
      <c r="E63" s="92"/>
      <c r="F63" s="94"/>
      <c r="G63" s="94"/>
      <c r="H63" s="79" t="s">
        <v>404</v>
      </c>
      <c r="I63" s="79">
        <v>25.8</v>
      </c>
      <c r="J63" s="79">
        <v>26.2</v>
      </c>
      <c r="K63" s="79">
        <v>26.8</v>
      </c>
      <c r="L63" s="71"/>
    </row>
    <row r="64" spans="1:15" x14ac:dyDescent="0.25">
      <c r="A64" s="99" t="s">
        <v>314</v>
      </c>
      <c r="B64" s="19"/>
      <c r="C64" s="19"/>
      <c r="D64" s="19"/>
      <c r="E64" s="94"/>
      <c r="F64" s="94"/>
      <c r="G64" s="94"/>
      <c r="H64" s="79" t="s">
        <v>405</v>
      </c>
      <c r="I64" s="79">
        <v>2</v>
      </c>
      <c r="J64" s="79">
        <v>4.8</v>
      </c>
      <c r="K64" s="79">
        <v>5</v>
      </c>
      <c r="L64" s="71"/>
    </row>
    <row r="65" spans="1:12" x14ac:dyDescent="0.25">
      <c r="A65" s="97" t="s">
        <v>318</v>
      </c>
      <c r="B65" s="19"/>
      <c r="C65" s="19"/>
      <c r="D65" s="101">
        <f>D63/D61</f>
        <v>0.61766037735849066</v>
      </c>
      <c r="E65" s="94"/>
      <c r="F65" s="94"/>
      <c r="G65" s="94"/>
      <c r="H65" s="172" t="s">
        <v>381</v>
      </c>
      <c r="I65" s="172"/>
      <c r="J65" s="172"/>
      <c r="K65" s="172"/>
      <c r="L65" s="71" t="s">
        <v>316</v>
      </c>
    </row>
    <row r="66" spans="1:12" ht="15" customHeight="1" x14ac:dyDescent="0.25">
      <c r="A66" s="94"/>
      <c r="B66" s="94"/>
      <c r="C66" s="94"/>
      <c r="D66" s="94"/>
      <c r="E66" s="94"/>
      <c r="F66" s="94"/>
      <c r="G66" s="94"/>
      <c r="H66" s="79" t="s">
        <v>398</v>
      </c>
      <c r="I66" s="79">
        <f>I58*0.453592*$L$66</f>
        <v>1687.3622400000002</v>
      </c>
      <c r="J66" s="79">
        <f t="shared" ref="J66:K66" si="15">J58*0.453592*$L$66</f>
        <v>1687.3622400000002</v>
      </c>
      <c r="K66" s="79">
        <f t="shared" si="15"/>
        <v>1687.3622400000002</v>
      </c>
      <c r="L66" s="79">
        <v>37.200000000000003</v>
      </c>
    </row>
    <row r="67" spans="1:12" ht="14.45" customHeight="1" x14ac:dyDescent="0.25">
      <c r="A67" s="191" t="s">
        <v>334</v>
      </c>
      <c r="B67" s="192"/>
      <c r="C67" s="192"/>
      <c r="D67" s="192"/>
      <c r="E67" s="192"/>
      <c r="H67" s="79" t="s">
        <v>399</v>
      </c>
      <c r="I67" s="79">
        <f>I59*0.453592*$L$67</f>
        <v>117.09500159599999</v>
      </c>
      <c r="J67" s="79">
        <f t="shared" ref="J67:K67" si="16">J59*0.453592*$L$67</f>
        <v>184.08423506719998</v>
      </c>
      <c r="K67" s="79">
        <f t="shared" si="16"/>
        <v>243.99330565120002</v>
      </c>
      <c r="L67" s="71">
        <v>120.07</v>
      </c>
    </row>
    <row r="68" spans="1:12" ht="28.9" customHeight="1" x14ac:dyDescent="0.25">
      <c r="A68" s="109" t="s">
        <v>227</v>
      </c>
      <c r="B68" s="109" t="s">
        <v>332</v>
      </c>
      <c r="C68" s="110" t="s">
        <v>287</v>
      </c>
      <c r="D68" s="110" t="s">
        <v>344</v>
      </c>
      <c r="E68" s="16" t="s">
        <v>333</v>
      </c>
      <c r="H68" s="71" t="s">
        <v>312</v>
      </c>
      <c r="I68" s="71">
        <f>I60*0.00105587</f>
        <v>6.7195566800000002</v>
      </c>
      <c r="J68" s="71">
        <f t="shared" ref="J68:K68" si="17">J60*0.00105587</f>
        <v>8.7953971000000006</v>
      </c>
      <c r="K68" s="71">
        <f t="shared" si="17"/>
        <v>11.11725523</v>
      </c>
      <c r="L68" s="71"/>
    </row>
    <row r="69" spans="1:12" ht="14.45" customHeight="1" x14ac:dyDescent="0.25">
      <c r="A69" s="98" t="s">
        <v>219</v>
      </c>
      <c r="B69" s="98">
        <v>4.5999999999999996</v>
      </c>
      <c r="C69" s="61">
        <f>C25</f>
        <v>18.43</v>
      </c>
      <c r="D69" s="105">
        <f>B18</f>
        <v>37.200000000000003</v>
      </c>
      <c r="E69" s="103">
        <f>1/B69*D69/C69</f>
        <v>0.43879308311118465</v>
      </c>
      <c r="H69" s="71" t="s">
        <v>277</v>
      </c>
      <c r="I69" s="71">
        <f>I61*0.00105587</f>
        <v>10.39504015</v>
      </c>
      <c r="J69" s="71">
        <f t="shared" ref="J69:K69" si="18">J61*0.00105587</f>
        <v>11.3400438</v>
      </c>
      <c r="K69" s="71">
        <f t="shared" si="18"/>
        <v>12.28504745</v>
      </c>
      <c r="L69" s="71"/>
    </row>
    <row r="70" spans="1:12" ht="14.45" customHeight="1" x14ac:dyDescent="0.25">
      <c r="A70" s="98" t="s">
        <v>330</v>
      </c>
      <c r="B70" s="98">
        <v>2.8</v>
      </c>
      <c r="C70" s="61">
        <f>C53</f>
        <v>20.079999999999998</v>
      </c>
      <c r="D70" s="105">
        <f>E18</f>
        <v>37.200000000000003</v>
      </c>
      <c r="E70" s="103">
        <f t="shared" ref="E70:E71" si="19">1/B70*D70/C70</f>
        <v>0.66163915765509396</v>
      </c>
      <c r="H70" s="71" t="s">
        <v>400</v>
      </c>
      <c r="I70" s="71">
        <f>I62*0.453592*$L$70</f>
        <v>1156.19693616</v>
      </c>
      <c r="J70" s="71">
        <f t="shared" ref="J70:K70" si="20">J62*0.453592*$L$70</f>
        <v>1174.2000026400001</v>
      </c>
      <c r="K70" s="71">
        <f t="shared" si="20"/>
        <v>1198.2040912800001</v>
      </c>
      <c r="L70" s="71">
        <v>44.1</v>
      </c>
    </row>
    <row r="71" spans="1:12" ht="14.45" customHeight="1" x14ac:dyDescent="0.25">
      <c r="A71" s="98" t="s">
        <v>331</v>
      </c>
      <c r="B71" s="98">
        <v>3.4</v>
      </c>
      <c r="C71" s="61">
        <f>C39</f>
        <v>12.82</v>
      </c>
      <c r="D71" s="105">
        <f>C18</f>
        <v>37.200000000000003</v>
      </c>
      <c r="E71" s="103">
        <f t="shared" si="19"/>
        <v>0.85344590254198416</v>
      </c>
      <c r="H71" s="71" t="s">
        <v>402</v>
      </c>
      <c r="I71" s="71">
        <f>I63*0.453592*$L$71</f>
        <v>519.59870783999997</v>
      </c>
      <c r="J71" s="71">
        <f t="shared" ref="J71:K71" si="21">J63*0.453592*$L$71</f>
        <v>527.6545017599999</v>
      </c>
      <c r="K71" s="71">
        <f t="shared" si="21"/>
        <v>539.73819263999997</v>
      </c>
      <c r="L71" s="71">
        <v>44.4</v>
      </c>
    </row>
    <row r="72" spans="1:12" x14ac:dyDescent="0.25">
      <c r="H72" s="71" t="s">
        <v>401</v>
      </c>
      <c r="I72" s="71">
        <f>I64*0.453592*$L$72</f>
        <v>39.190348800000002</v>
      </c>
      <c r="J72" s="71">
        <f t="shared" ref="J72:K72" si="22">J64*0.453592*$L$72</f>
        <v>94.056837119999997</v>
      </c>
      <c r="K72" s="71">
        <f t="shared" si="22"/>
        <v>97.97587200000001</v>
      </c>
      <c r="L72" s="71">
        <v>43.2</v>
      </c>
    </row>
    <row r="73" spans="1:12" x14ac:dyDescent="0.25">
      <c r="H73" s="187" t="s">
        <v>314</v>
      </c>
      <c r="I73" s="187"/>
      <c r="J73" s="187"/>
      <c r="K73" s="187"/>
      <c r="L73" s="71"/>
    </row>
    <row r="74" spans="1:12" x14ac:dyDescent="0.25">
      <c r="H74" s="71" t="s">
        <v>358</v>
      </c>
      <c r="I74" s="86">
        <f>I67/I66</f>
        <v>6.9395295698924719E-2</v>
      </c>
      <c r="J74" s="86">
        <f t="shared" ref="J74:K74" si="23">J67/J66</f>
        <v>0.10909586021505374</v>
      </c>
      <c r="K74" s="86">
        <f t="shared" si="23"/>
        <v>0.14460043010752688</v>
      </c>
      <c r="L74" s="71"/>
    </row>
    <row r="75" spans="1:12" x14ac:dyDescent="0.25">
      <c r="H75" s="71" t="s">
        <v>392</v>
      </c>
      <c r="I75" s="86">
        <f>I69/I66</f>
        <v>6.1605267106131277E-3</v>
      </c>
      <c r="J75" s="86">
        <f t="shared" ref="J75:K75" si="24">J69/J66</f>
        <v>6.7205745933961395E-3</v>
      </c>
      <c r="K75" s="86">
        <f t="shared" si="24"/>
        <v>7.2806224761791513E-3</v>
      </c>
      <c r="L75" s="71"/>
    </row>
    <row r="76" spans="1:12" x14ac:dyDescent="0.25">
      <c r="H76" s="71" t="s">
        <v>315</v>
      </c>
      <c r="I76" s="86">
        <f>SUM(I70:I72)/SUM(I66:I69)</f>
        <v>0.94148688326335783</v>
      </c>
      <c r="J76" s="86">
        <f t="shared" ref="J76:K76" si="25">SUM(J70:J72)/SUM(J66:J69)</f>
        <v>0.94942298102999045</v>
      </c>
      <c r="K76" s="86">
        <f t="shared" si="25"/>
        <v>0.93920490330162643</v>
      </c>
      <c r="L76" s="71"/>
    </row>
    <row r="77" spans="1:12" x14ac:dyDescent="0.25">
      <c r="H77" s="71" t="s">
        <v>359</v>
      </c>
      <c r="I77" s="86">
        <f>I70/I66</f>
        <v>0.68520967741935479</v>
      </c>
      <c r="J77" s="86">
        <f t="shared" ref="J77:K77" si="26">J70/J66</f>
        <v>0.69587903225806447</v>
      </c>
      <c r="K77" s="86">
        <f t="shared" si="26"/>
        <v>0.71010483870967733</v>
      </c>
      <c r="L77" s="71"/>
    </row>
    <row r="78" spans="1:12" x14ac:dyDescent="0.25">
      <c r="J78" s="73"/>
      <c r="K78" s="73"/>
    </row>
    <row r="79" spans="1:12" x14ac:dyDescent="0.25">
      <c r="H79" s="141" t="s">
        <v>372</v>
      </c>
      <c r="I79" s="142"/>
      <c r="J79" s="143"/>
      <c r="K79" s="73"/>
    </row>
    <row r="80" spans="1:12" x14ac:dyDescent="0.25">
      <c r="H80" s="172" t="s">
        <v>341</v>
      </c>
      <c r="I80" s="172"/>
      <c r="J80" s="17"/>
      <c r="K80" s="73"/>
    </row>
    <row r="81" spans="8:11" x14ac:dyDescent="0.25">
      <c r="H81" s="79" t="s">
        <v>406</v>
      </c>
      <c r="I81" s="79">
        <v>150</v>
      </c>
      <c r="J81" s="17"/>
      <c r="K81" s="73"/>
    </row>
    <row r="82" spans="8:11" x14ac:dyDescent="0.25">
      <c r="H82" s="79" t="s">
        <v>407</v>
      </c>
      <c r="I82" s="79">
        <v>2.7E-2</v>
      </c>
      <c r="J82" s="17"/>
      <c r="K82" s="73"/>
    </row>
    <row r="83" spans="8:11" x14ac:dyDescent="0.25">
      <c r="H83" s="79" t="s">
        <v>408</v>
      </c>
      <c r="I83" s="79">
        <v>8.7999999999999995E-2</v>
      </c>
      <c r="J83" s="71"/>
    </row>
    <row r="84" spans="8:11" x14ac:dyDescent="0.25">
      <c r="H84" s="79" t="s">
        <v>409</v>
      </c>
      <c r="I84" s="79">
        <v>0.128</v>
      </c>
      <c r="J84" s="71"/>
    </row>
    <row r="85" spans="8:11" x14ac:dyDescent="0.25">
      <c r="H85" s="79" t="s">
        <v>410</v>
      </c>
      <c r="I85" s="79">
        <v>0.68100000000000005</v>
      </c>
      <c r="J85" s="71"/>
    </row>
    <row r="86" spans="8:11" x14ac:dyDescent="0.25">
      <c r="H86" s="79" t="s">
        <v>411</v>
      </c>
      <c r="I86" s="79">
        <v>1.7999999999999999E-2</v>
      </c>
      <c r="J86" s="71"/>
    </row>
    <row r="87" spans="8:11" x14ac:dyDescent="0.25">
      <c r="H87" s="79" t="s">
        <v>412</v>
      </c>
      <c r="I87" s="79">
        <v>1.6E-2</v>
      </c>
      <c r="J87" s="71"/>
    </row>
    <row r="88" spans="8:11" x14ac:dyDescent="0.25">
      <c r="H88" s="79" t="s">
        <v>413</v>
      </c>
      <c r="I88" s="79">
        <v>4.2000000000000003E-2</v>
      </c>
      <c r="J88" s="71"/>
    </row>
    <row r="89" spans="8:11" x14ac:dyDescent="0.25">
      <c r="H89" s="172" t="s">
        <v>381</v>
      </c>
      <c r="I89" s="172"/>
      <c r="J89" s="71" t="s">
        <v>316</v>
      </c>
    </row>
    <row r="90" spans="8:11" x14ac:dyDescent="0.25">
      <c r="H90" s="79" t="s">
        <v>398</v>
      </c>
      <c r="I90" s="79">
        <v>1</v>
      </c>
      <c r="J90" s="71">
        <v>37.200000000000003</v>
      </c>
    </row>
    <row r="91" spans="8:11" x14ac:dyDescent="0.25">
      <c r="H91" s="79" t="s">
        <v>277</v>
      </c>
      <c r="I91" s="71">
        <f>J91/0.79*I81*I90/J90/1000</f>
        <v>0.24055737035524702</v>
      </c>
      <c r="J91" s="71">
        <v>47.13</v>
      </c>
    </row>
    <row r="92" spans="8:11" x14ac:dyDescent="0.25">
      <c r="H92" s="79" t="s">
        <v>399</v>
      </c>
      <c r="I92" s="71">
        <f>J92*I82*I90/J90</f>
        <v>8.7147580645161274E-2</v>
      </c>
      <c r="J92" s="71">
        <v>120.07</v>
      </c>
    </row>
    <row r="93" spans="8:11" x14ac:dyDescent="0.25">
      <c r="H93" s="79" t="s">
        <v>278</v>
      </c>
      <c r="I93" s="71">
        <f>I83*3600/1000/J90</f>
        <v>8.5161290322580633E-3</v>
      </c>
      <c r="J93" s="71"/>
    </row>
    <row r="94" spans="8:11" x14ac:dyDescent="0.25">
      <c r="H94" s="79" t="s">
        <v>414</v>
      </c>
      <c r="I94" s="71">
        <f>J94*I84*I90/J90</f>
        <v>0.15174193548387097</v>
      </c>
      <c r="J94" s="71">
        <v>44.1</v>
      </c>
    </row>
    <row r="95" spans="8:11" x14ac:dyDescent="0.25">
      <c r="H95" s="79" t="s">
        <v>273</v>
      </c>
      <c r="I95" s="71">
        <f>J95*I85*I90/J90</f>
        <v>0.79816129032258076</v>
      </c>
      <c r="J95" s="71">
        <v>43.6</v>
      </c>
    </row>
    <row r="96" spans="8:11" x14ac:dyDescent="0.25">
      <c r="H96" s="79" t="s">
        <v>402</v>
      </c>
      <c r="I96" s="71">
        <f>J96*I86*I90/J90</f>
        <v>2.17258064516129E-2</v>
      </c>
      <c r="J96" s="71">
        <v>44.9</v>
      </c>
    </row>
    <row r="97" spans="8:10" x14ac:dyDescent="0.25">
      <c r="H97" s="79" t="s">
        <v>415</v>
      </c>
      <c r="I97" s="71">
        <f>J97*I87*I90/J90</f>
        <v>1.9569892473118279E-2</v>
      </c>
      <c r="J97" s="71">
        <v>45.5</v>
      </c>
    </row>
    <row r="98" spans="8:10" x14ac:dyDescent="0.25">
      <c r="H98" s="79" t="s">
        <v>416</v>
      </c>
      <c r="I98" s="71">
        <f>J98*I88*I90/J90</f>
        <v>5.2387096774193544E-2</v>
      </c>
      <c r="J98" s="71">
        <v>46.4</v>
      </c>
    </row>
    <row r="99" spans="8:10" x14ac:dyDescent="0.25">
      <c r="H99" s="172" t="s">
        <v>314</v>
      </c>
      <c r="I99" s="172"/>
      <c r="J99" s="71"/>
    </row>
    <row r="100" spans="8:10" x14ac:dyDescent="0.25">
      <c r="H100" s="71" t="s">
        <v>392</v>
      </c>
      <c r="I100" s="86">
        <f>I91/I90</f>
        <v>0.24055737035524702</v>
      </c>
      <c r="J100" s="71"/>
    </row>
    <row r="101" spans="8:10" x14ac:dyDescent="0.25">
      <c r="H101" s="71" t="s">
        <v>358</v>
      </c>
      <c r="I101" s="86">
        <f>I92/I90</f>
        <v>8.7147580645161274E-2</v>
      </c>
      <c r="J101" s="71"/>
    </row>
    <row r="102" spans="8:10" x14ac:dyDescent="0.25">
      <c r="H102" s="71" t="s">
        <v>315</v>
      </c>
      <c r="I102" s="86">
        <f>SUM(I94:I98)/SUM(I90:I93)</f>
        <v>0.78099802278217623</v>
      </c>
      <c r="J102" s="71"/>
    </row>
    <row r="103" spans="8:10" x14ac:dyDescent="0.25">
      <c r="H103" s="71" t="s">
        <v>359</v>
      </c>
      <c r="I103" s="86">
        <f>SUM(I94:I95)/I90</f>
        <v>0.9499032258064517</v>
      </c>
      <c r="J103" s="71"/>
    </row>
  </sheetData>
  <sortState ref="D101:D111">
    <sortCondition ref="D101"/>
  </sortState>
  <mergeCells count="47">
    <mergeCell ref="H99:I99"/>
    <mergeCell ref="H79:J79"/>
    <mergeCell ref="E5:G5"/>
    <mergeCell ref="E6:G6"/>
    <mergeCell ref="I5:K5"/>
    <mergeCell ref="I6:K6"/>
    <mergeCell ref="H55:L55"/>
    <mergeCell ref="H80:I80"/>
    <mergeCell ref="H89:I89"/>
    <mergeCell ref="H65:K65"/>
    <mergeCell ref="H73:K73"/>
    <mergeCell ref="H49:N49"/>
    <mergeCell ref="H53:I53"/>
    <mergeCell ref="H33:O33"/>
    <mergeCell ref="H57:K57"/>
    <mergeCell ref="H42:N42"/>
    <mergeCell ref="A1:C1"/>
    <mergeCell ref="E1:G1"/>
    <mergeCell ref="I1:K1"/>
    <mergeCell ref="H34:I34"/>
    <mergeCell ref="A67:E67"/>
    <mergeCell ref="A9:F9"/>
    <mergeCell ref="I12:J12"/>
    <mergeCell ref="A22:D22"/>
    <mergeCell ref="A37:D37"/>
    <mergeCell ref="A58:D58"/>
    <mergeCell ref="B59:D59"/>
    <mergeCell ref="B51:D51"/>
    <mergeCell ref="A50:D50"/>
    <mergeCell ref="A23:D23"/>
    <mergeCell ref="H25:M25"/>
    <mergeCell ref="H35:N35"/>
    <mergeCell ref="H50:I50"/>
    <mergeCell ref="H51:I51"/>
    <mergeCell ref="H52:I52"/>
    <mergeCell ref="A5:C5"/>
    <mergeCell ref="A6:C6"/>
    <mergeCell ref="H9:P9"/>
    <mergeCell ref="H29:J29"/>
    <mergeCell ref="L29:M29"/>
    <mergeCell ref="L12:M12"/>
    <mergeCell ref="K12:K13"/>
    <mergeCell ref="H11:M11"/>
    <mergeCell ref="H17:M17"/>
    <mergeCell ref="H14:M14"/>
    <mergeCell ref="H12:H13"/>
    <mergeCell ref="A11:F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workbookViewId="0">
      <selection activeCell="I19" sqref="I19"/>
    </sheetView>
  </sheetViews>
  <sheetFormatPr baseColWidth="10" defaultRowHeight="15" x14ac:dyDescent="0.25"/>
  <cols>
    <col min="1" max="1" width="21.42578125" customWidth="1"/>
    <col min="2" max="2" width="36.7109375" customWidth="1"/>
    <col min="3" max="3" width="16.5703125" customWidth="1"/>
    <col min="4" max="4" width="20.5703125" customWidth="1"/>
    <col min="5" max="5" width="17.42578125" customWidth="1"/>
    <col min="6" max="6" width="7.5703125" customWidth="1"/>
    <col min="8" max="8" width="31.7109375" customWidth="1"/>
    <col min="9" max="9" width="16.7109375" customWidth="1"/>
    <col min="10" max="10" width="21.7109375" customWidth="1"/>
    <col min="11" max="11" width="17.28515625" customWidth="1"/>
  </cols>
  <sheetData>
    <row r="1" spans="1:11" thickBot="1" x14ac:dyDescent="0.35">
      <c r="A1" s="149" t="s">
        <v>201</v>
      </c>
      <c r="B1" s="149"/>
      <c r="C1" s="149"/>
      <c r="D1" s="149"/>
      <c r="E1" s="149"/>
    </row>
    <row r="2" spans="1:11" ht="14.45" x14ac:dyDescent="0.3">
      <c r="A2" s="59" t="s">
        <v>19</v>
      </c>
      <c r="B2" s="59" t="s">
        <v>177</v>
      </c>
      <c r="C2" s="63" t="s">
        <v>197</v>
      </c>
      <c r="D2" s="63" t="s">
        <v>198</v>
      </c>
      <c r="E2" s="63" t="s">
        <v>199</v>
      </c>
      <c r="G2" s="201" t="s">
        <v>206</v>
      </c>
      <c r="H2" s="202"/>
      <c r="I2" s="202"/>
      <c r="J2" s="202"/>
      <c r="K2" s="203"/>
    </row>
    <row r="3" spans="1:11" x14ac:dyDescent="0.25">
      <c r="A3" s="181" t="s">
        <v>7</v>
      </c>
      <c r="B3" s="45" t="s">
        <v>202</v>
      </c>
      <c r="C3" s="64" t="s">
        <v>9</v>
      </c>
      <c r="D3" s="64">
        <v>27.6</v>
      </c>
      <c r="E3" s="64" t="s">
        <v>9</v>
      </c>
      <c r="G3" s="204" t="s">
        <v>207</v>
      </c>
      <c r="H3" s="205"/>
      <c r="I3" s="205"/>
      <c r="J3" s="205"/>
      <c r="K3" s="206"/>
    </row>
    <row r="4" spans="1:11" ht="30.75" thickBot="1" x14ac:dyDescent="0.3">
      <c r="A4" s="181"/>
      <c r="B4" s="61" t="s">
        <v>203</v>
      </c>
      <c r="C4" s="64">
        <v>0.3</v>
      </c>
      <c r="D4" s="64">
        <v>7.7</v>
      </c>
      <c r="E4" s="64">
        <v>12.6</v>
      </c>
      <c r="G4" s="207" t="s">
        <v>200</v>
      </c>
      <c r="H4" s="208"/>
      <c r="I4" s="208"/>
      <c r="J4" s="208"/>
      <c r="K4" s="209"/>
    </row>
    <row r="5" spans="1:11" x14ac:dyDescent="0.25">
      <c r="A5" s="181" t="s">
        <v>8</v>
      </c>
      <c r="B5" s="45" t="s">
        <v>204</v>
      </c>
      <c r="C5" s="64" t="s">
        <v>9</v>
      </c>
      <c r="D5" s="64">
        <v>20.7</v>
      </c>
      <c r="E5" s="64" t="s">
        <v>9</v>
      </c>
    </row>
    <row r="6" spans="1:11" x14ac:dyDescent="0.25">
      <c r="A6" s="181"/>
      <c r="B6" s="45" t="s">
        <v>205</v>
      </c>
      <c r="C6" s="64">
        <v>38.4</v>
      </c>
      <c r="D6" s="64">
        <v>59</v>
      </c>
      <c r="E6" s="64">
        <v>97.9</v>
      </c>
    </row>
    <row r="7" spans="1:11" x14ac:dyDescent="0.25">
      <c r="A7" s="6" t="s">
        <v>10</v>
      </c>
      <c r="B7" s="45" t="s">
        <v>178</v>
      </c>
      <c r="C7" s="64">
        <v>33.700000000000003</v>
      </c>
      <c r="D7" s="64">
        <v>52.2</v>
      </c>
      <c r="E7" s="64">
        <v>68.400000000000006</v>
      </c>
    </row>
    <row r="8" spans="1:11" x14ac:dyDescent="0.25">
      <c r="A8" s="3"/>
      <c r="B8" s="134"/>
      <c r="C8" s="135"/>
      <c r="D8" s="135"/>
      <c r="E8" s="135"/>
    </row>
    <row r="9" spans="1:11" x14ac:dyDescent="0.25">
      <c r="C9" s="132"/>
      <c r="D9" s="132"/>
      <c r="E9" s="132"/>
    </row>
    <row r="10" spans="1:11" ht="14.45" x14ac:dyDescent="0.3">
      <c r="A10" s="153" t="s">
        <v>176</v>
      </c>
      <c r="B10" s="153"/>
      <c r="C10" s="153"/>
      <c r="D10" s="153"/>
      <c r="E10" s="153"/>
    </row>
    <row r="11" spans="1:11" ht="28.9" x14ac:dyDescent="0.3">
      <c r="A11" s="42" t="s">
        <v>173</v>
      </c>
      <c r="B11" s="16" t="s">
        <v>177</v>
      </c>
      <c r="C11" s="16" t="s">
        <v>172</v>
      </c>
      <c r="D11" s="16" t="s">
        <v>293</v>
      </c>
      <c r="E11" s="16" t="s">
        <v>108</v>
      </c>
    </row>
    <row r="12" spans="1:11" x14ac:dyDescent="0.25">
      <c r="A12" s="181" t="s">
        <v>174</v>
      </c>
      <c r="B12" s="18" t="s">
        <v>123</v>
      </c>
      <c r="C12" s="18" t="s">
        <v>8</v>
      </c>
      <c r="D12" s="18">
        <v>22.5</v>
      </c>
      <c r="E12" s="17" t="s">
        <v>56</v>
      </c>
    </row>
    <row r="13" spans="1:11" x14ac:dyDescent="0.25">
      <c r="A13" s="181"/>
      <c r="B13" s="18" t="s">
        <v>123</v>
      </c>
      <c r="C13" s="18" t="s">
        <v>8</v>
      </c>
      <c r="D13" s="18">
        <v>29.8</v>
      </c>
      <c r="E13" s="18" t="s">
        <v>62</v>
      </c>
    </row>
    <row r="14" spans="1:11" x14ac:dyDescent="0.25">
      <c r="A14" s="181"/>
      <c r="B14" s="18" t="s">
        <v>124</v>
      </c>
      <c r="C14" s="18" t="s">
        <v>8</v>
      </c>
      <c r="D14" s="18">
        <v>13.9</v>
      </c>
      <c r="E14" s="18" t="s">
        <v>56</v>
      </c>
    </row>
    <row r="15" spans="1:11" x14ac:dyDescent="0.25">
      <c r="A15" s="181"/>
      <c r="B15" s="18" t="s">
        <v>179</v>
      </c>
      <c r="C15" s="18" t="s">
        <v>8</v>
      </c>
      <c r="D15" s="18">
        <v>19.399999999999999</v>
      </c>
      <c r="E15" s="18" t="s">
        <v>62</v>
      </c>
    </row>
    <row r="16" spans="1:11" x14ac:dyDescent="0.25">
      <c r="A16" s="181"/>
      <c r="B16" s="18" t="s">
        <v>174</v>
      </c>
      <c r="C16" s="18" t="s">
        <v>8</v>
      </c>
      <c r="D16" s="18">
        <v>24.6</v>
      </c>
      <c r="E16" s="18" t="s">
        <v>62</v>
      </c>
    </row>
    <row r="17" spans="1:15" x14ac:dyDescent="0.25">
      <c r="A17" s="181"/>
      <c r="B17" s="18" t="s">
        <v>125</v>
      </c>
      <c r="C17" s="18" t="s">
        <v>8</v>
      </c>
      <c r="D17" s="18">
        <v>20.7</v>
      </c>
      <c r="E17" s="18" t="s">
        <v>56</v>
      </c>
    </row>
    <row r="18" spans="1:15" x14ac:dyDescent="0.25">
      <c r="A18" s="181" t="s">
        <v>175</v>
      </c>
      <c r="B18" s="210" t="s">
        <v>126</v>
      </c>
      <c r="C18" s="210" t="s">
        <v>7</v>
      </c>
      <c r="D18" s="210">
        <v>5.2</v>
      </c>
      <c r="E18" s="210" t="s">
        <v>56</v>
      </c>
    </row>
    <row r="19" spans="1:15" x14ac:dyDescent="0.25">
      <c r="A19" s="181"/>
      <c r="B19" s="210"/>
      <c r="C19" s="210"/>
      <c r="D19" s="210"/>
      <c r="E19" s="210"/>
    </row>
    <row r="20" spans="1:15" x14ac:dyDescent="0.25">
      <c r="A20" s="181"/>
      <c r="B20" s="210" t="s">
        <v>127</v>
      </c>
      <c r="C20" s="210" t="s">
        <v>7</v>
      </c>
      <c r="D20" s="210">
        <v>73.400000000000006</v>
      </c>
      <c r="E20" s="210" t="s">
        <v>56</v>
      </c>
    </row>
    <row r="21" spans="1:15" x14ac:dyDescent="0.25">
      <c r="A21" s="181"/>
      <c r="B21" s="210"/>
      <c r="C21" s="210"/>
      <c r="D21" s="210"/>
      <c r="E21" s="210"/>
    </row>
    <row r="22" spans="1:15" x14ac:dyDescent="0.25">
      <c r="A22" s="181"/>
      <c r="B22" s="18" t="s">
        <v>32</v>
      </c>
      <c r="C22" s="18" t="s">
        <v>7</v>
      </c>
      <c r="D22" s="18">
        <v>27.6</v>
      </c>
      <c r="E22" s="18" t="s">
        <v>62</v>
      </c>
    </row>
    <row r="23" spans="1:15" ht="15.75" customHeight="1" x14ac:dyDescent="0.25">
      <c r="A23" s="211" t="s">
        <v>128</v>
      </c>
      <c r="B23" s="18" t="s">
        <v>129</v>
      </c>
      <c r="C23" s="18" t="s">
        <v>8</v>
      </c>
      <c r="D23" s="18">
        <v>17.2</v>
      </c>
      <c r="E23" s="18" t="s">
        <v>56</v>
      </c>
    </row>
    <row r="24" spans="1:15" x14ac:dyDescent="0.25">
      <c r="A24" s="212"/>
      <c r="B24" s="210" t="s">
        <v>130</v>
      </c>
      <c r="C24" s="210" t="s">
        <v>8</v>
      </c>
      <c r="D24" s="210">
        <v>67.400000000000006</v>
      </c>
      <c r="E24" s="210" t="s">
        <v>56</v>
      </c>
    </row>
    <row r="25" spans="1:15" x14ac:dyDescent="0.25">
      <c r="A25" s="212"/>
      <c r="B25" s="210"/>
      <c r="C25" s="210"/>
      <c r="D25" s="210"/>
      <c r="E25" s="210"/>
    </row>
    <row r="26" spans="1:15" x14ac:dyDescent="0.25">
      <c r="A26" s="212"/>
      <c r="B26" s="210" t="s">
        <v>131</v>
      </c>
      <c r="C26" s="210" t="s">
        <v>8</v>
      </c>
      <c r="D26" s="210">
        <v>71.400000000000006</v>
      </c>
      <c r="E26" s="210" t="s">
        <v>56</v>
      </c>
    </row>
    <row r="27" spans="1:15" x14ac:dyDescent="0.25">
      <c r="A27" s="212"/>
      <c r="B27" s="210"/>
      <c r="C27" s="210"/>
      <c r="D27" s="210"/>
      <c r="E27" s="210"/>
    </row>
    <row r="28" spans="1:15" x14ac:dyDescent="0.25">
      <c r="A28" s="212"/>
      <c r="B28" s="18" t="s">
        <v>132</v>
      </c>
      <c r="C28" s="18" t="s">
        <v>8</v>
      </c>
      <c r="D28" s="18">
        <v>42</v>
      </c>
      <c r="E28" s="18" t="s">
        <v>56</v>
      </c>
    </row>
    <row r="29" spans="1:15" x14ac:dyDescent="0.25">
      <c r="A29" s="212"/>
      <c r="B29" s="210" t="s">
        <v>133</v>
      </c>
      <c r="C29" s="210" t="s">
        <v>8</v>
      </c>
      <c r="D29" s="210">
        <v>76.400000000000006</v>
      </c>
      <c r="E29" s="210" t="s">
        <v>56</v>
      </c>
    </row>
    <row r="30" spans="1:15" x14ac:dyDescent="0.25">
      <c r="A30" s="212"/>
      <c r="B30" s="210"/>
      <c r="C30" s="210"/>
      <c r="D30" s="210"/>
      <c r="E30" s="210"/>
      <c r="H30" s="3"/>
      <c r="I30" s="3"/>
      <c r="J30" s="3"/>
      <c r="K30" s="4"/>
      <c r="L30" s="3"/>
      <c r="M30" s="3"/>
      <c r="N30" s="3"/>
      <c r="O30" s="3"/>
    </row>
    <row r="31" spans="1:15" x14ac:dyDescent="0.25">
      <c r="A31" s="212"/>
      <c r="B31" s="210"/>
      <c r="C31" s="210"/>
      <c r="D31" s="210"/>
      <c r="E31" s="210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212"/>
      <c r="B32" s="18" t="s">
        <v>134</v>
      </c>
      <c r="C32" s="18" t="s">
        <v>8</v>
      </c>
      <c r="D32" s="18">
        <v>99</v>
      </c>
      <c r="E32" s="18" t="s">
        <v>56</v>
      </c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212"/>
      <c r="B33" s="18" t="s">
        <v>135</v>
      </c>
      <c r="C33" s="18" t="s">
        <v>8</v>
      </c>
      <c r="D33" s="18">
        <v>34.4</v>
      </c>
      <c r="E33" s="18" t="s">
        <v>56</v>
      </c>
      <c r="H33" s="62"/>
      <c r="I33" s="62"/>
      <c r="J33" s="62"/>
      <c r="K33" s="62"/>
      <c r="L33" s="62"/>
      <c r="M33" s="62"/>
      <c r="N33" s="62"/>
      <c r="O33" s="62"/>
    </row>
    <row r="34" spans="1:15" x14ac:dyDescent="0.25">
      <c r="A34" s="212"/>
      <c r="B34" s="18" t="s">
        <v>136</v>
      </c>
      <c r="C34" s="18" t="s">
        <v>8</v>
      </c>
      <c r="D34" s="18">
        <v>59</v>
      </c>
      <c r="E34" s="18" t="s">
        <v>59</v>
      </c>
      <c r="H34" s="62"/>
      <c r="I34" s="62"/>
      <c r="J34" s="62"/>
      <c r="K34" s="62"/>
      <c r="L34" s="62"/>
      <c r="M34" s="62"/>
      <c r="N34" s="62"/>
      <c r="O34" s="62"/>
    </row>
    <row r="35" spans="1:15" x14ac:dyDescent="0.25">
      <c r="A35" s="212"/>
      <c r="B35" s="210" t="s">
        <v>137</v>
      </c>
      <c r="C35" s="210" t="s">
        <v>8</v>
      </c>
      <c r="D35" s="210">
        <v>61</v>
      </c>
      <c r="E35" s="210" t="s">
        <v>59</v>
      </c>
      <c r="H35" s="62"/>
      <c r="I35" s="62"/>
      <c r="J35" s="62"/>
      <c r="K35" s="62"/>
      <c r="L35" s="62"/>
      <c r="M35" s="62"/>
      <c r="N35" s="62"/>
      <c r="O35" s="62"/>
    </row>
    <row r="36" spans="1:15" x14ac:dyDescent="0.25">
      <c r="A36" s="212"/>
      <c r="B36" s="210"/>
      <c r="C36" s="210"/>
      <c r="D36" s="210"/>
      <c r="E36" s="210"/>
      <c r="O36" s="2"/>
    </row>
    <row r="37" spans="1:15" x14ac:dyDescent="0.25">
      <c r="A37" s="212"/>
      <c r="B37" s="210" t="s">
        <v>138</v>
      </c>
      <c r="C37" s="210" t="s">
        <v>8</v>
      </c>
      <c r="D37" s="210">
        <v>66</v>
      </c>
      <c r="E37" s="210" t="s">
        <v>59</v>
      </c>
    </row>
    <row r="38" spans="1:15" x14ac:dyDescent="0.25">
      <c r="A38" s="212"/>
      <c r="B38" s="210"/>
      <c r="C38" s="210"/>
      <c r="D38" s="210"/>
      <c r="E38" s="210"/>
    </row>
    <row r="39" spans="1:15" x14ac:dyDescent="0.25">
      <c r="A39" s="212"/>
      <c r="B39" s="210" t="s">
        <v>139</v>
      </c>
      <c r="C39" s="210" t="s">
        <v>8</v>
      </c>
      <c r="D39" s="210">
        <v>94</v>
      </c>
      <c r="E39" s="210" t="s">
        <v>59</v>
      </c>
    </row>
    <row r="40" spans="1:15" x14ac:dyDescent="0.25">
      <c r="A40" s="212"/>
      <c r="B40" s="210"/>
      <c r="C40" s="210"/>
      <c r="D40" s="210"/>
      <c r="E40" s="210"/>
    </row>
    <row r="41" spans="1:15" x14ac:dyDescent="0.25">
      <c r="A41" s="212"/>
      <c r="B41" s="18" t="s">
        <v>140</v>
      </c>
      <c r="C41" s="18" t="s">
        <v>8</v>
      </c>
      <c r="D41" s="18">
        <v>42.2</v>
      </c>
      <c r="E41" s="18" t="s">
        <v>62</v>
      </c>
    </row>
    <row r="42" spans="1:15" x14ac:dyDescent="0.25">
      <c r="A42" s="212"/>
      <c r="B42" s="18" t="s">
        <v>141</v>
      </c>
      <c r="C42" s="18" t="s">
        <v>8</v>
      </c>
      <c r="D42" s="18">
        <v>58.3</v>
      </c>
      <c r="E42" s="18" t="s">
        <v>62</v>
      </c>
    </row>
    <row r="43" spans="1:15" x14ac:dyDescent="0.25">
      <c r="A43" s="212"/>
      <c r="B43" s="18" t="s">
        <v>142</v>
      </c>
      <c r="C43" s="18" t="s">
        <v>8</v>
      </c>
      <c r="D43" s="18">
        <v>58.3</v>
      </c>
      <c r="E43" s="18" t="s">
        <v>62</v>
      </c>
    </row>
    <row r="44" spans="1:15" x14ac:dyDescent="0.25">
      <c r="A44" s="212"/>
      <c r="B44" s="18" t="s">
        <v>143</v>
      </c>
      <c r="C44" s="18" t="s">
        <v>8</v>
      </c>
      <c r="D44" s="18">
        <v>39.1</v>
      </c>
      <c r="E44" s="18" t="s">
        <v>62</v>
      </c>
    </row>
    <row r="45" spans="1:15" x14ac:dyDescent="0.25">
      <c r="A45" s="212"/>
      <c r="B45" s="18" t="s">
        <v>130</v>
      </c>
      <c r="C45" s="18" t="s">
        <v>8</v>
      </c>
      <c r="D45" s="18">
        <v>27.3</v>
      </c>
      <c r="E45" s="18" t="s">
        <v>74</v>
      </c>
    </row>
    <row r="46" spans="1:15" x14ac:dyDescent="0.25">
      <c r="A46" s="212"/>
      <c r="B46" s="18" t="s">
        <v>130</v>
      </c>
      <c r="C46" s="18" t="s">
        <v>8</v>
      </c>
      <c r="D46" s="18">
        <v>37</v>
      </c>
      <c r="E46" s="18" t="s">
        <v>74</v>
      </c>
    </row>
    <row r="47" spans="1:15" x14ac:dyDescent="0.25">
      <c r="A47" s="212"/>
      <c r="B47" s="18" t="s">
        <v>130</v>
      </c>
      <c r="C47" s="18" t="s">
        <v>8</v>
      </c>
      <c r="D47" s="18">
        <v>59.2</v>
      </c>
      <c r="E47" s="18" t="s">
        <v>74</v>
      </c>
    </row>
    <row r="48" spans="1:15" x14ac:dyDescent="0.25">
      <c r="A48" s="212"/>
      <c r="B48" s="18" t="s">
        <v>130</v>
      </c>
      <c r="C48" s="18" t="s">
        <v>8</v>
      </c>
      <c r="D48" s="18">
        <v>81.7</v>
      </c>
      <c r="E48" s="18" t="s">
        <v>74</v>
      </c>
    </row>
    <row r="49" spans="1:5" ht="15" customHeight="1" x14ac:dyDescent="0.25">
      <c r="A49" s="212"/>
      <c r="B49" s="18" t="s">
        <v>130</v>
      </c>
      <c r="C49" s="18" t="s">
        <v>8</v>
      </c>
      <c r="D49" s="18">
        <v>97.8</v>
      </c>
      <c r="E49" s="18" t="s">
        <v>74</v>
      </c>
    </row>
    <row r="50" spans="1:5" x14ac:dyDescent="0.25">
      <c r="A50" s="212"/>
      <c r="B50" s="18" t="s">
        <v>130</v>
      </c>
      <c r="C50" s="18" t="s">
        <v>8</v>
      </c>
      <c r="D50" s="18">
        <v>141.69999999999999</v>
      </c>
      <c r="E50" s="18" t="s">
        <v>74</v>
      </c>
    </row>
    <row r="51" spans="1:5" x14ac:dyDescent="0.25">
      <c r="A51" s="212"/>
      <c r="B51" s="18" t="s">
        <v>130</v>
      </c>
      <c r="C51" s="18" t="s">
        <v>8</v>
      </c>
      <c r="D51" s="18">
        <v>498.8</v>
      </c>
      <c r="E51" s="18" t="s">
        <v>74</v>
      </c>
    </row>
    <row r="52" spans="1:5" x14ac:dyDescent="0.25">
      <c r="A52" s="212"/>
      <c r="B52" s="18" t="s">
        <v>130</v>
      </c>
      <c r="C52" s="18" t="s">
        <v>8</v>
      </c>
      <c r="D52" s="18">
        <v>564.20000000000005</v>
      </c>
      <c r="E52" s="18" t="s">
        <v>74</v>
      </c>
    </row>
    <row r="53" spans="1:5" x14ac:dyDescent="0.25">
      <c r="A53" s="212"/>
      <c r="B53" s="18" t="s">
        <v>130</v>
      </c>
      <c r="C53" s="18" t="s">
        <v>8</v>
      </c>
      <c r="D53" s="18">
        <v>774.7</v>
      </c>
      <c r="E53" s="18" t="s">
        <v>74</v>
      </c>
    </row>
    <row r="54" spans="1:5" x14ac:dyDescent="0.25">
      <c r="A54" s="212"/>
      <c r="B54" s="18" t="s">
        <v>169</v>
      </c>
      <c r="C54" s="18" t="s">
        <v>8</v>
      </c>
      <c r="D54" s="18">
        <v>22.5</v>
      </c>
      <c r="E54" s="18" t="s">
        <v>74</v>
      </c>
    </row>
    <row r="55" spans="1:5" x14ac:dyDescent="0.25">
      <c r="A55" s="212"/>
      <c r="B55" s="18" t="s">
        <v>169</v>
      </c>
      <c r="C55" s="18" t="s">
        <v>8</v>
      </c>
      <c r="D55" s="18">
        <v>30.1</v>
      </c>
      <c r="E55" s="18" t="s">
        <v>74</v>
      </c>
    </row>
    <row r="56" spans="1:5" x14ac:dyDescent="0.25">
      <c r="A56" s="212"/>
      <c r="B56" s="18" t="s">
        <v>169</v>
      </c>
      <c r="C56" s="18" t="s">
        <v>8</v>
      </c>
      <c r="D56" s="18">
        <v>38.1</v>
      </c>
      <c r="E56" s="18" t="s">
        <v>74</v>
      </c>
    </row>
    <row r="57" spans="1:5" x14ac:dyDescent="0.25">
      <c r="A57" s="212"/>
      <c r="B57" s="18" t="s">
        <v>169</v>
      </c>
      <c r="C57" s="18" t="s">
        <v>8</v>
      </c>
      <c r="D57" s="18">
        <v>32.6</v>
      </c>
      <c r="E57" s="18" t="s">
        <v>74</v>
      </c>
    </row>
    <row r="58" spans="1:5" x14ac:dyDescent="0.25">
      <c r="A58" s="212"/>
      <c r="B58" s="18" t="s">
        <v>169</v>
      </c>
      <c r="C58" s="18" t="s">
        <v>8</v>
      </c>
      <c r="D58" s="18">
        <v>39.799999999999997</v>
      </c>
      <c r="E58" s="18" t="s">
        <v>74</v>
      </c>
    </row>
    <row r="59" spans="1:5" x14ac:dyDescent="0.25">
      <c r="A59" s="212"/>
      <c r="B59" s="18" t="s">
        <v>169</v>
      </c>
      <c r="C59" s="18" t="s">
        <v>8</v>
      </c>
      <c r="D59" s="18">
        <v>47.6</v>
      </c>
      <c r="E59" s="18" t="s">
        <v>74</v>
      </c>
    </row>
    <row r="60" spans="1:5" x14ac:dyDescent="0.25">
      <c r="A60" s="212"/>
      <c r="B60" s="18" t="s">
        <v>169</v>
      </c>
      <c r="C60" s="18" t="s">
        <v>8</v>
      </c>
      <c r="D60" s="18">
        <v>153.19999999999999</v>
      </c>
      <c r="E60" s="18" t="s">
        <v>74</v>
      </c>
    </row>
    <row r="61" spans="1:5" x14ac:dyDescent="0.25">
      <c r="A61" s="212"/>
      <c r="B61" s="18" t="s">
        <v>169</v>
      </c>
      <c r="C61" s="18" t="s">
        <v>8</v>
      </c>
      <c r="D61" s="18">
        <v>166</v>
      </c>
      <c r="E61" s="18" t="s">
        <v>74</v>
      </c>
    </row>
    <row r="62" spans="1:5" x14ac:dyDescent="0.25">
      <c r="A62" s="212"/>
      <c r="B62" s="18" t="s">
        <v>169</v>
      </c>
      <c r="C62" s="18" t="s">
        <v>8</v>
      </c>
      <c r="D62" s="18">
        <v>193.3</v>
      </c>
      <c r="E62" s="18" t="s">
        <v>74</v>
      </c>
    </row>
    <row r="63" spans="1:5" x14ac:dyDescent="0.25">
      <c r="A63" s="212"/>
      <c r="B63" s="18" t="s">
        <v>169</v>
      </c>
      <c r="C63" s="18" t="s">
        <v>8</v>
      </c>
      <c r="D63" s="18">
        <v>665.3</v>
      </c>
      <c r="E63" s="18" t="s">
        <v>74</v>
      </c>
    </row>
    <row r="64" spans="1:5" x14ac:dyDescent="0.25">
      <c r="A64" s="212"/>
      <c r="B64" s="18" t="s">
        <v>169</v>
      </c>
      <c r="C64" s="18" t="s">
        <v>8</v>
      </c>
      <c r="D64" s="18">
        <v>698</v>
      </c>
      <c r="E64" s="18" t="s">
        <v>74</v>
      </c>
    </row>
    <row r="65" spans="1:5" x14ac:dyDescent="0.25">
      <c r="A65" s="212"/>
      <c r="B65" s="18" t="s">
        <v>169</v>
      </c>
      <c r="C65" s="18" t="s">
        <v>8</v>
      </c>
      <c r="D65" s="18">
        <v>801.2</v>
      </c>
      <c r="E65" s="18" t="s">
        <v>74</v>
      </c>
    </row>
    <row r="66" spans="1:5" x14ac:dyDescent="0.25">
      <c r="A66" s="212"/>
      <c r="B66" s="18" t="s">
        <v>131</v>
      </c>
      <c r="C66" s="18" t="s">
        <v>8</v>
      </c>
      <c r="D66" s="18">
        <v>39.799999999999997</v>
      </c>
      <c r="E66" s="18" t="s">
        <v>74</v>
      </c>
    </row>
    <row r="67" spans="1:5" x14ac:dyDescent="0.25">
      <c r="A67" s="212"/>
      <c r="B67" s="18" t="s">
        <v>131</v>
      </c>
      <c r="C67" s="18" t="s">
        <v>8</v>
      </c>
      <c r="D67" s="18">
        <v>54.9</v>
      </c>
      <c r="E67" s="18" t="s">
        <v>74</v>
      </c>
    </row>
    <row r="68" spans="1:5" x14ac:dyDescent="0.25">
      <c r="A68" s="212"/>
      <c r="B68" s="18" t="s">
        <v>131</v>
      </c>
      <c r="C68" s="18" t="s">
        <v>8</v>
      </c>
      <c r="D68" s="18">
        <v>75.900000000000006</v>
      </c>
      <c r="E68" s="18" t="s">
        <v>74</v>
      </c>
    </row>
    <row r="69" spans="1:5" x14ac:dyDescent="0.25">
      <c r="A69" s="212"/>
      <c r="B69" s="18" t="s">
        <v>131</v>
      </c>
      <c r="C69" s="18" t="s">
        <v>8</v>
      </c>
      <c r="D69" s="18">
        <v>78.2</v>
      </c>
      <c r="E69" s="18" t="s">
        <v>74</v>
      </c>
    </row>
    <row r="70" spans="1:5" x14ac:dyDescent="0.25">
      <c r="A70" s="212"/>
      <c r="B70" s="18" t="s">
        <v>131</v>
      </c>
      <c r="C70" s="18" t="s">
        <v>8</v>
      </c>
      <c r="D70" s="18">
        <v>97.9</v>
      </c>
      <c r="E70" s="18" t="s">
        <v>74</v>
      </c>
    </row>
    <row r="71" spans="1:5" x14ac:dyDescent="0.25">
      <c r="A71" s="212"/>
      <c r="B71" s="18" t="s">
        <v>131</v>
      </c>
      <c r="C71" s="18" t="s">
        <v>8</v>
      </c>
      <c r="D71" s="18">
        <v>128.5</v>
      </c>
      <c r="E71" s="18" t="s">
        <v>74</v>
      </c>
    </row>
    <row r="72" spans="1:5" x14ac:dyDescent="0.25">
      <c r="A72" s="212"/>
      <c r="B72" s="18" t="s">
        <v>142</v>
      </c>
      <c r="C72" s="18" t="s">
        <v>8</v>
      </c>
      <c r="D72" s="18">
        <v>31.8</v>
      </c>
      <c r="E72" s="18" t="s">
        <v>74</v>
      </c>
    </row>
    <row r="73" spans="1:5" x14ac:dyDescent="0.25">
      <c r="A73" s="212"/>
      <c r="B73" s="18" t="s">
        <v>142</v>
      </c>
      <c r="C73" s="18" t="s">
        <v>8</v>
      </c>
      <c r="D73" s="18">
        <v>39.4</v>
      </c>
      <c r="E73" s="18" t="s">
        <v>74</v>
      </c>
    </row>
    <row r="74" spans="1:5" x14ac:dyDescent="0.25">
      <c r="A74" s="212"/>
      <c r="B74" s="18" t="s">
        <v>142</v>
      </c>
      <c r="C74" s="18" t="s">
        <v>8</v>
      </c>
      <c r="D74" s="18">
        <v>45.1</v>
      </c>
      <c r="E74" s="18" t="s">
        <v>74</v>
      </c>
    </row>
    <row r="75" spans="1:5" x14ac:dyDescent="0.25">
      <c r="A75" s="212"/>
      <c r="B75" s="6" t="s">
        <v>171</v>
      </c>
      <c r="C75" s="6" t="s">
        <v>8</v>
      </c>
      <c r="D75" s="6">
        <v>30.5</v>
      </c>
      <c r="E75" s="6" t="s">
        <v>74</v>
      </c>
    </row>
    <row r="76" spans="1:5" x14ac:dyDescent="0.25">
      <c r="A76" s="212"/>
      <c r="B76" s="18" t="s">
        <v>171</v>
      </c>
      <c r="C76" s="18" t="s">
        <v>8</v>
      </c>
      <c r="D76" s="18">
        <v>47.7</v>
      </c>
      <c r="E76" s="18" t="s">
        <v>74</v>
      </c>
    </row>
    <row r="77" spans="1:5" x14ac:dyDescent="0.25">
      <c r="A77" s="212"/>
      <c r="B77" s="18" t="s">
        <v>171</v>
      </c>
      <c r="C77" s="18" t="s">
        <v>8</v>
      </c>
      <c r="D77" s="18">
        <v>66.099999999999994</v>
      </c>
      <c r="E77" s="18" t="s">
        <v>74</v>
      </c>
    </row>
    <row r="78" spans="1:5" x14ac:dyDescent="0.25">
      <c r="A78" s="212"/>
      <c r="B78" s="18" t="s">
        <v>171</v>
      </c>
      <c r="C78" s="18" t="s">
        <v>8</v>
      </c>
      <c r="D78" s="18">
        <v>-19.2</v>
      </c>
      <c r="E78" s="18" t="s">
        <v>74</v>
      </c>
    </row>
    <row r="79" spans="1:5" x14ac:dyDescent="0.25">
      <c r="A79" s="212"/>
      <c r="B79" s="18" t="s">
        <v>171</v>
      </c>
      <c r="C79" s="18" t="s">
        <v>8</v>
      </c>
      <c r="D79" s="18">
        <v>5.8</v>
      </c>
      <c r="E79" s="18" t="s">
        <v>74</v>
      </c>
    </row>
    <row r="80" spans="1:5" x14ac:dyDescent="0.25">
      <c r="A80" s="213"/>
      <c r="B80" s="18" t="s">
        <v>171</v>
      </c>
      <c r="C80" s="18" t="s">
        <v>8</v>
      </c>
      <c r="D80" s="18">
        <v>32.200000000000003</v>
      </c>
      <c r="E80" s="18" t="s">
        <v>74</v>
      </c>
    </row>
    <row r="81" spans="1:5" x14ac:dyDescent="0.25">
      <c r="A81" s="215" t="s">
        <v>1</v>
      </c>
      <c r="B81" s="18" t="s">
        <v>145</v>
      </c>
      <c r="C81" s="18" t="s">
        <v>7</v>
      </c>
      <c r="D81" s="18">
        <v>13.8</v>
      </c>
      <c r="E81" s="18" t="s">
        <v>62</v>
      </c>
    </row>
    <row r="82" spans="1:5" x14ac:dyDescent="0.25">
      <c r="A82" s="216"/>
      <c r="B82" s="18" t="s">
        <v>146</v>
      </c>
      <c r="C82" s="18" t="s">
        <v>7</v>
      </c>
      <c r="D82" s="18">
        <v>7.7</v>
      </c>
      <c r="E82" s="18" t="s">
        <v>56</v>
      </c>
    </row>
    <row r="83" spans="1:5" x14ac:dyDescent="0.25">
      <c r="A83" s="215" t="s">
        <v>0</v>
      </c>
      <c r="B83" s="18" t="s">
        <v>0</v>
      </c>
      <c r="C83" s="18" t="s">
        <v>7</v>
      </c>
      <c r="D83" s="18">
        <v>7.7</v>
      </c>
      <c r="E83" s="18" t="s">
        <v>62</v>
      </c>
    </row>
    <row r="84" spans="1:5" x14ac:dyDescent="0.25">
      <c r="A84" s="217"/>
      <c r="B84" s="18" t="s">
        <v>0</v>
      </c>
      <c r="C84" s="18" t="s">
        <v>7</v>
      </c>
      <c r="D84" s="18">
        <v>8.3000000000000007</v>
      </c>
      <c r="E84" s="18" t="s">
        <v>56</v>
      </c>
    </row>
    <row r="85" spans="1:5" x14ac:dyDescent="0.25">
      <c r="A85" s="217"/>
      <c r="B85" s="6" t="s">
        <v>0</v>
      </c>
      <c r="C85" s="6" t="s">
        <v>7</v>
      </c>
      <c r="D85" s="6">
        <v>12.2</v>
      </c>
      <c r="E85" s="6" t="s">
        <v>74</v>
      </c>
    </row>
    <row r="86" spans="1:5" x14ac:dyDescent="0.25">
      <c r="A86" s="216"/>
      <c r="B86" s="54" t="s">
        <v>0</v>
      </c>
      <c r="C86" s="54" t="s">
        <v>147</v>
      </c>
      <c r="D86" s="54">
        <v>10.4</v>
      </c>
      <c r="E86" s="54" t="s">
        <v>70</v>
      </c>
    </row>
    <row r="87" spans="1:5" ht="15" customHeight="1" x14ac:dyDescent="0.25">
      <c r="A87" s="211" t="s">
        <v>148</v>
      </c>
      <c r="B87" s="18" t="s">
        <v>149</v>
      </c>
      <c r="C87" s="18" t="s">
        <v>7</v>
      </c>
      <c r="D87" s="18">
        <v>19.399999999999999</v>
      </c>
      <c r="E87" s="18" t="s">
        <v>62</v>
      </c>
    </row>
    <row r="88" spans="1:5" x14ac:dyDescent="0.25">
      <c r="A88" s="212"/>
      <c r="B88" s="210" t="s">
        <v>150</v>
      </c>
      <c r="C88" s="210" t="s">
        <v>7</v>
      </c>
      <c r="D88" s="210">
        <v>7.2</v>
      </c>
      <c r="E88" s="210" t="s">
        <v>56</v>
      </c>
    </row>
    <row r="89" spans="1:5" x14ac:dyDescent="0.25">
      <c r="A89" s="212"/>
      <c r="B89" s="210"/>
      <c r="C89" s="210"/>
      <c r="D89" s="210"/>
      <c r="E89" s="210"/>
    </row>
    <row r="90" spans="1:5" x14ac:dyDescent="0.25">
      <c r="A90" s="212"/>
      <c r="B90" s="210" t="s">
        <v>151</v>
      </c>
      <c r="C90" s="210" t="s">
        <v>7</v>
      </c>
      <c r="D90" s="210">
        <v>6.4</v>
      </c>
      <c r="E90" s="210" t="s">
        <v>56</v>
      </c>
    </row>
    <row r="91" spans="1:5" x14ac:dyDescent="0.25">
      <c r="A91" s="212"/>
      <c r="B91" s="210"/>
      <c r="C91" s="210"/>
      <c r="D91" s="210"/>
      <c r="E91" s="210"/>
    </row>
    <row r="92" spans="1:5" x14ac:dyDescent="0.25">
      <c r="A92" s="212"/>
      <c r="B92" s="210" t="s">
        <v>152</v>
      </c>
      <c r="C92" s="210" t="s">
        <v>7</v>
      </c>
      <c r="D92" s="210">
        <v>-22.6</v>
      </c>
      <c r="E92" s="210" t="s">
        <v>56</v>
      </c>
    </row>
    <row r="93" spans="1:5" x14ac:dyDescent="0.25">
      <c r="A93" s="212"/>
      <c r="B93" s="210"/>
      <c r="C93" s="210"/>
      <c r="D93" s="210"/>
      <c r="E93" s="210"/>
    </row>
    <row r="94" spans="1:5" x14ac:dyDescent="0.25">
      <c r="A94" s="212"/>
      <c r="B94" s="210" t="s">
        <v>152</v>
      </c>
      <c r="C94" s="210" t="s">
        <v>7</v>
      </c>
      <c r="D94" s="210">
        <v>-27</v>
      </c>
      <c r="E94" s="210" t="s">
        <v>59</v>
      </c>
    </row>
    <row r="95" spans="1:5" x14ac:dyDescent="0.25">
      <c r="A95" s="212"/>
      <c r="B95" s="210"/>
      <c r="C95" s="210"/>
      <c r="D95" s="210"/>
      <c r="E95" s="210"/>
    </row>
    <row r="96" spans="1:5" x14ac:dyDescent="0.25">
      <c r="A96" s="212"/>
      <c r="B96" s="18" t="s">
        <v>153</v>
      </c>
      <c r="C96" s="18" t="s">
        <v>7</v>
      </c>
      <c r="D96" s="18">
        <v>1</v>
      </c>
      <c r="E96" s="18" t="s">
        <v>59</v>
      </c>
    </row>
    <row r="97" spans="1:5" x14ac:dyDescent="0.25">
      <c r="A97" s="212"/>
      <c r="B97" s="210" t="s">
        <v>151</v>
      </c>
      <c r="C97" s="210" t="s">
        <v>7</v>
      </c>
      <c r="D97" s="210">
        <v>1</v>
      </c>
      <c r="E97" s="210" t="s">
        <v>59</v>
      </c>
    </row>
    <row r="98" spans="1:5" x14ac:dyDescent="0.25">
      <c r="A98" s="212"/>
      <c r="B98" s="210"/>
      <c r="C98" s="210"/>
      <c r="D98" s="210"/>
      <c r="E98" s="210"/>
    </row>
    <row r="99" spans="1:5" x14ac:dyDescent="0.25">
      <c r="A99" s="212"/>
      <c r="B99" s="210" t="s">
        <v>150</v>
      </c>
      <c r="C99" s="210" t="s">
        <v>7</v>
      </c>
      <c r="D99" s="210">
        <v>2</v>
      </c>
      <c r="E99" s="210" t="s">
        <v>59</v>
      </c>
    </row>
    <row r="100" spans="1:5" x14ac:dyDescent="0.25">
      <c r="A100" s="212"/>
      <c r="B100" s="210"/>
      <c r="C100" s="210"/>
      <c r="D100" s="210"/>
      <c r="E100" s="210"/>
    </row>
    <row r="101" spans="1:5" x14ac:dyDescent="0.25">
      <c r="A101" s="212"/>
      <c r="B101" s="18" t="s">
        <v>149</v>
      </c>
      <c r="C101" s="18" t="s">
        <v>7</v>
      </c>
      <c r="D101" s="18">
        <v>11.9</v>
      </c>
      <c r="E101" s="18" t="s">
        <v>74</v>
      </c>
    </row>
    <row r="102" spans="1:5" x14ac:dyDescent="0.25">
      <c r="A102" s="212"/>
      <c r="B102" s="18" t="s">
        <v>149</v>
      </c>
      <c r="C102" s="18" t="s">
        <v>7</v>
      </c>
      <c r="D102" s="18">
        <v>17.7</v>
      </c>
      <c r="E102" s="18" t="s">
        <v>74</v>
      </c>
    </row>
    <row r="103" spans="1:5" x14ac:dyDescent="0.25">
      <c r="A103" s="212"/>
      <c r="B103" s="18" t="s">
        <v>149</v>
      </c>
      <c r="C103" s="18" t="s">
        <v>7</v>
      </c>
      <c r="D103" s="18">
        <v>26</v>
      </c>
      <c r="E103" s="18" t="s">
        <v>74</v>
      </c>
    </row>
    <row r="104" spans="1:5" x14ac:dyDescent="0.25">
      <c r="A104" s="212"/>
      <c r="B104" s="18" t="s">
        <v>149</v>
      </c>
      <c r="C104" s="18" t="s">
        <v>7</v>
      </c>
      <c r="D104" s="18">
        <v>-1.7</v>
      </c>
      <c r="E104" s="18" t="s">
        <v>74</v>
      </c>
    </row>
    <row r="105" spans="1:5" x14ac:dyDescent="0.25">
      <c r="A105" s="212"/>
      <c r="B105" s="18" t="s">
        <v>149</v>
      </c>
      <c r="C105" s="18" t="s">
        <v>7</v>
      </c>
      <c r="D105" s="18">
        <v>-2</v>
      </c>
      <c r="E105" s="18" t="s">
        <v>74</v>
      </c>
    </row>
    <row r="106" spans="1:5" x14ac:dyDescent="0.25">
      <c r="A106" s="212"/>
      <c r="B106" s="18" t="s">
        <v>149</v>
      </c>
      <c r="C106" s="18" t="s">
        <v>7</v>
      </c>
      <c r="D106" s="18">
        <v>-4.4000000000000004</v>
      </c>
      <c r="E106" s="18" t="s">
        <v>74</v>
      </c>
    </row>
    <row r="107" spans="1:5" x14ac:dyDescent="0.25">
      <c r="A107" s="212"/>
      <c r="B107" s="54" t="s">
        <v>217</v>
      </c>
      <c r="C107" s="54" t="s">
        <v>7</v>
      </c>
      <c r="D107" s="54">
        <v>9</v>
      </c>
      <c r="E107" s="54" t="s">
        <v>74</v>
      </c>
    </row>
    <row r="108" spans="1:5" x14ac:dyDescent="0.25">
      <c r="A108" s="212"/>
      <c r="B108" s="54" t="s">
        <v>217</v>
      </c>
      <c r="C108" s="54" t="s">
        <v>7</v>
      </c>
      <c r="D108" s="54">
        <v>13.6</v>
      </c>
      <c r="E108" s="54" t="s">
        <v>74</v>
      </c>
    </row>
    <row r="109" spans="1:5" x14ac:dyDescent="0.25">
      <c r="A109" s="214" t="s">
        <v>148</v>
      </c>
      <c r="B109" s="18" t="s">
        <v>164</v>
      </c>
      <c r="C109" s="18" t="s">
        <v>155</v>
      </c>
      <c r="D109" s="6">
        <v>37.4</v>
      </c>
      <c r="E109" s="18" t="s">
        <v>62</v>
      </c>
    </row>
    <row r="110" spans="1:5" x14ac:dyDescent="0.25">
      <c r="A110" s="214"/>
      <c r="B110" s="18" t="s">
        <v>165</v>
      </c>
      <c r="C110" s="18" t="s">
        <v>160</v>
      </c>
      <c r="D110" s="6">
        <v>24.74</v>
      </c>
      <c r="E110" s="18" t="s">
        <v>59</v>
      </c>
    </row>
    <row r="111" spans="1:5" x14ac:dyDescent="0.25">
      <c r="A111" s="214"/>
      <c r="B111" s="18" t="s">
        <v>165</v>
      </c>
      <c r="C111" s="18" t="s">
        <v>147</v>
      </c>
      <c r="D111" s="6">
        <v>14.164999999999999</v>
      </c>
      <c r="E111" s="18" t="s">
        <v>70</v>
      </c>
    </row>
    <row r="112" spans="1:5" x14ac:dyDescent="0.25">
      <c r="A112" s="214"/>
      <c r="B112" s="18" t="s">
        <v>166</v>
      </c>
      <c r="C112" s="18" t="s">
        <v>160</v>
      </c>
      <c r="D112" s="6">
        <v>-15.16</v>
      </c>
      <c r="E112" s="18" t="s">
        <v>59</v>
      </c>
    </row>
    <row r="113" spans="1:5" x14ac:dyDescent="0.25">
      <c r="A113" s="214"/>
      <c r="B113" s="18" t="s">
        <v>167</v>
      </c>
      <c r="C113" s="18" t="s">
        <v>160</v>
      </c>
      <c r="D113" s="6">
        <v>26.83</v>
      </c>
      <c r="E113" s="18" t="s">
        <v>59</v>
      </c>
    </row>
    <row r="114" spans="1:5" x14ac:dyDescent="0.25">
      <c r="A114" s="214"/>
      <c r="B114" s="18" t="s">
        <v>166</v>
      </c>
      <c r="C114" s="18" t="s">
        <v>147</v>
      </c>
      <c r="D114" s="6">
        <v>-4.1688000000000001</v>
      </c>
      <c r="E114" s="18" t="s">
        <v>70</v>
      </c>
    </row>
    <row r="115" spans="1:5" x14ac:dyDescent="0.25">
      <c r="A115" s="214"/>
      <c r="B115" s="18" t="s">
        <v>168</v>
      </c>
      <c r="C115" s="18" t="s">
        <v>147</v>
      </c>
      <c r="D115" s="6">
        <v>13.173999999999999</v>
      </c>
      <c r="E115" s="18" t="s">
        <v>70</v>
      </c>
    </row>
    <row r="116" spans="1:5" x14ac:dyDescent="0.25">
      <c r="A116" s="211" t="s">
        <v>178</v>
      </c>
      <c r="B116" s="18" t="s">
        <v>154</v>
      </c>
      <c r="C116" s="18" t="s">
        <v>155</v>
      </c>
      <c r="D116" s="18">
        <v>27</v>
      </c>
      <c r="E116" s="18" t="s">
        <v>85</v>
      </c>
    </row>
    <row r="117" spans="1:5" x14ac:dyDescent="0.25">
      <c r="A117" s="212"/>
      <c r="B117" s="18" t="s">
        <v>154</v>
      </c>
      <c r="C117" s="18" t="s">
        <v>155</v>
      </c>
      <c r="D117" s="18">
        <v>48.1</v>
      </c>
      <c r="E117" s="18" t="s">
        <v>85</v>
      </c>
    </row>
    <row r="118" spans="1:5" x14ac:dyDescent="0.25">
      <c r="A118" s="212"/>
      <c r="B118" s="18" t="s">
        <v>154</v>
      </c>
      <c r="C118" s="18" t="s">
        <v>155</v>
      </c>
      <c r="D118" s="18">
        <v>66.400000000000006</v>
      </c>
      <c r="E118" s="18" t="s">
        <v>85</v>
      </c>
    </row>
    <row r="119" spans="1:5" x14ac:dyDescent="0.25">
      <c r="A119" s="212"/>
      <c r="B119" s="18" t="s">
        <v>156</v>
      </c>
      <c r="C119" s="18" t="s">
        <v>155</v>
      </c>
      <c r="D119" s="18">
        <v>86</v>
      </c>
      <c r="E119" s="18" t="s">
        <v>85</v>
      </c>
    </row>
    <row r="120" spans="1:5" x14ac:dyDescent="0.25">
      <c r="A120" s="212"/>
      <c r="B120" s="18" t="s">
        <v>156</v>
      </c>
      <c r="C120" s="18" t="s">
        <v>155</v>
      </c>
      <c r="D120" s="18">
        <v>113.8</v>
      </c>
      <c r="E120" s="18" t="s">
        <v>85</v>
      </c>
    </row>
    <row r="121" spans="1:5" x14ac:dyDescent="0.25">
      <c r="A121" s="212"/>
      <c r="B121" s="18" t="s">
        <v>156</v>
      </c>
      <c r="C121" s="18" t="s">
        <v>155</v>
      </c>
      <c r="D121" s="18">
        <v>218.2</v>
      </c>
      <c r="E121" s="18" t="s">
        <v>85</v>
      </c>
    </row>
    <row r="122" spans="1:5" x14ac:dyDescent="0.25">
      <c r="A122" s="212"/>
      <c r="B122" s="18" t="s">
        <v>149</v>
      </c>
      <c r="C122" s="18" t="s">
        <v>155</v>
      </c>
      <c r="D122" s="18">
        <v>18.600000000000001</v>
      </c>
      <c r="E122" s="18" t="s">
        <v>85</v>
      </c>
    </row>
    <row r="123" spans="1:5" x14ac:dyDescent="0.25">
      <c r="A123" s="212"/>
      <c r="B123" s="18" t="s">
        <v>149</v>
      </c>
      <c r="C123" s="18" t="s">
        <v>155</v>
      </c>
      <c r="D123" s="18">
        <v>40.299999999999997</v>
      </c>
      <c r="E123" s="18" t="s">
        <v>85</v>
      </c>
    </row>
    <row r="124" spans="1:5" x14ac:dyDescent="0.25">
      <c r="A124" s="212"/>
      <c r="B124" s="18" t="s">
        <v>149</v>
      </c>
      <c r="C124" s="18" t="s">
        <v>155</v>
      </c>
      <c r="D124" s="18">
        <v>102</v>
      </c>
      <c r="E124" s="18" t="s">
        <v>85</v>
      </c>
    </row>
    <row r="125" spans="1:5" x14ac:dyDescent="0.25">
      <c r="A125" s="212"/>
      <c r="B125" s="18" t="s">
        <v>157</v>
      </c>
      <c r="C125" s="18" t="s">
        <v>155</v>
      </c>
      <c r="D125" s="18">
        <v>52.2</v>
      </c>
      <c r="E125" s="18" t="s">
        <v>62</v>
      </c>
    </row>
    <row r="126" spans="1:5" x14ac:dyDescent="0.25">
      <c r="A126" s="212"/>
      <c r="B126" s="18" t="s">
        <v>158</v>
      </c>
      <c r="C126" s="18" t="s">
        <v>155</v>
      </c>
      <c r="D126" s="18">
        <v>52.2</v>
      </c>
      <c r="E126" s="18" t="s">
        <v>62</v>
      </c>
    </row>
    <row r="127" spans="1:5" x14ac:dyDescent="0.25">
      <c r="A127" s="212"/>
      <c r="B127" s="18" t="s">
        <v>159</v>
      </c>
      <c r="C127" s="18" t="s">
        <v>160</v>
      </c>
      <c r="D127" s="18">
        <v>79.17</v>
      </c>
      <c r="E127" s="18" t="s">
        <v>59</v>
      </c>
    </row>
    <row r="128" spans="1:5" x14ac:dyDescent="0.25">
      <c r="A128" s="212"/>
      <c r="B128" s="18" t="s">
        <v>161</v>
      </c>
      <c r="C128" s="18" t="s">
        <v>160</v>
      </c>
      <c r="D128" s="18">
        <v>31.64</v>
      </c>
      <c r="E128" s="18" t="s">
        <v>59</v>
      </c>
    </row>
    <row r="129" spans="1:5" x14ac:dyDescent="0.25">
      <c r="A129" s="212"/>
      <c r="B129" s="18" t="s">
        <v>162</v>
      </c>
      <c r="C129" s="18" t="s">
        <v>147</v>
      </c>
      <c r="D129" s="18">
        <v>10.148</v>
      </c>
      <c r="E129" s="18" t="s">
        <v>70</v>
      </c>
    </row>
    <row r="130" spans="1:5" x14ac:dyDescent="0.25">
      <c r="A130" s="212"/>
      <c r="B130" s="18" t="s">
        <v>159</v>
      </c>
      <c r="C130" s="18" t="s">
        <v>147</v>
      </c>
      <c r="D130" s="18">
        <v>54.207999999999998</v>
      </c>
      <c r="E130" s="18" t="s">
        <v>70</v>
      </c>
    </row>
    <row r="131" spans="1:5" x14ac:dyDescent="0.25">
      <c r="A131" s="212"/>
      <c r="B131" s="18" t="s">
        <v>161</v>
      </c>
      <c r="C131" s="18" t="s">
        <v>147</v>
      </c>
      <c r="D131" s="18">
        <v>18.7</v>
      </c>
      <c r="E131" s="18" t="s">
        <v>70</v>
      </c>
    </row>
    <row r="132" spans="1:5" x14ac:dyDescent="0.25">
      <c r="A132" s="213"/>
      <c r="B132" s="18" t="s">
        <v>163</v>
      </c>
      <c r="C132" s="18" t="s">
        <v>147</v>
      </c>
      <c r="D132" s="18">
        <v>43.045000000000002</v>
      </c>
      <c r="E132" s="18" t="s">
        <v>70</v>
      </c>
    </row>
    <row r="133" spans="1:5" x14ac:dyDescent="0.25">
      <c r="A133" s="181" t="s">
        <v>2</v>
      </c>
      <c r="B133" s="6" t="s">
        <v>144</v>
      </c>
      <c r="C133" s="6" t="s">
        <v>8</v>
      </c>
      <c r="D133" s="6">
        <v>68.099999999999994</v>
      </c>
      <c r="E133" s="6" t="s">
        <v>62</v>
      </c>
    </row>
    <row r="134" spans="1:5" x14ac:dyDescent="0.25">
      <c r="A134" s="181"/>
      <c r="B134" s="6" t="s">
        <v>170</v>
      </c>
      <c r="C134" s="6" t="s">
        <v>8</v>
      </c>
      <c r="D134" s="6">
        <v>14.1</v>
      </c>
      <c r="E134" s="6" t="s">
        <v>74</v>
      </c>
    </row>
    <row r="135" spans="1:5" x14ac:dyDescent="0.25">
      <c r="A135" s="181"/>
      <c r="B135" s="6" t="s">
        <v>170</v>
      </c>
      <c r="C135" s="6" t="s">
        <v>8</v>
      </c>
      <c r="D135" s="6">
        <v>50.7</v>
      </c>
      <c r="E135" s="6" t="s">
        <v>74</v>
      </c>
    </row>
    <row r="136" spans="1:5" x14ac:dyDescent="0.25">
      <c r="A136" s="181"/>
      <c r="B136" s="52" t="s">
        <v>170</v>
      </c>
      <c r="C136" s="52" t="s">
        <v>8</v>
      </c>
      <c r="D136" s="52">
        <v>193.2</v>
      </c>
      <c r="E136" s="52" t="s">
        <v>74</v>
      </c>
    </row>
    <row r="137" spans="1:5" x14ac:dyDescent="0.25">
      <c r="B137" s="51"/>
      <c r="C137" s="51"/>
      <c r="D137" s="51"/>
      <c r="E137" s="51"/>
    </row>
  </sheetData>
  <mergeCells count="72">
    <mergeCell ref="A23:A80"/>
    <mergeCell ref="A133:A136"/>
    <mergeCell ref="A3:A4"/>
    <mergeCell ref="A5:A6"/>
    <mergeCell ref="A1:E1"/>
    <mergeCell ref="A87:A108"/>
    <mergeCell ref="A109:A115"/>
    <mergeCell ref="A12:A17"/>
    <mergeCell ref="A18:A22"/>
    <mergeCell ref="A10:E10"/>
    <mergeCell ref="A81:A82"/>
    <mergeCell ref="A83:A86"/>
    <mergeCell ref="A116:A132"/>
    <mergeCell ref="B99:B100"/>
    <mergeCell ref="C99:C100"/>
    <mergeCell ref="D99:D100"/>
    <mergeCell ref="E99:E100"/>
    <mergeCell ref="B94:B95"/>
    <mergeCell ref="C94:C95"/>
    <mergeCell ref="C97:C98"/>
    <mergeCell ref="D94:D95"/>
    <mergeCell ref="E94:E95"/>
    <mergeCell ref="B97:B98"/>
    <mergeCell ref="D97:D98"/>
    <mergeCell ref="E97:E98"/>
    <mergeCell ref="B90:B91"/>
    <mergeCell ref="C90:C91"/>
    <mergeCell ref="D90:D91"/>
    <mergeCell ref="E90:E91"/>
    <mergeCell ref="B92:B93"/>
    <mergeCell ref="C92:C93"/>
    <mergeCell ref="D92:D93"/>
    <mergeCell ref="E92:E93"/>
    <mergeCell ref="B88:B89"/>
    <mergeCell ref="C88:C89"/>
    <mergeCell ref="D88:D89"/>
    <mergeCell ref="E88:E89"/>
    <mergeCell ref="B37:B38"/>
    <mergeCell ref="C37:C38"/>
    <mergeCell ref="C39:C40"/>
    <mergeCell ref="D37:D38"/>
    <mergeCell ref="E37:E38"/>
    <mergeCell ref="B39:B40"/>
    <mergeCell ref="D39:D40"/>
    <mergeCell ref="E39:E40"/>
    <mergeCell ref="B29:B31"/>
    <mergeCell ref="C29:C31"/>
    <mergeCell ref="D29:D31"/>
    <mergeCell ref="E29:E31"/>
    <mergeCell ref="B35:B36"/>
    <mergeCell ref="C35:C36"/>
    <mergeCell ref="D35:D36"/>
    <mergeCell ref="E35:E36"/>
    <mergeCell ref="B24:B25"/>
    <mergeCell ref="C24:C25"/>
    <mergeCell ref="C26:C27"/>
    <mergeCell ref="D24:D25"/>
    <mergeCell ref="E24:E25"/>
    <mergeCell ref="B26:B27"/>
    <mergeCell ref="D26:D27"/>
    <mergeCell ref="E26:E27"/>
    <mergeCell ref="G2:K2"/>
    <mergeCell ref="G3:K3"/>
    <mergeCell ref="G4:K4"/>
    <mergeCell ref="B20:B21"/>
    <mergeCell ref="C20:C21"/>
    <mergeCell ref="D20:D21"/>
    <mergeCell ref="E20:E21"/>
    <mergeCell ref="B18:B19"/>
    <mergeCell ref="C18:C19"/>
    <mergeCell ref="D18:D19"/>
    <mergeCell ref="E18:E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2" sqref="B12"/>
    </sheetView>
  </sheetViews>
  <sheetFormatPr baseColWidth="10" defaultRowHeight="15" x14ac:dyDescent="0.25"/>
  <cols>
    <col min="1" max="1" width="11.42578125" customWidth="1"/>
    <col min="2" max="2" width="82" customWidth="1"/>
    <col min="3" max="3" width="14.85546875" customWidth="1"/>
    <col min="4" max="4" width="35.5703125" customWidth="1"/>
    <col min="5" max="5" width="6.5703125" bestFit="1" customWidth="1"/>
    <col min="6" max="6" width="81.7109375" bestFit="1" customWidth="1"/>
  </cols>
  <sheetData>
    <row r="1" spans="1:6" ht="30" x14ac:dyDescent="0.25">
      <c r="A1" s="68" t="s">
        <v>99</v>
      </c>
      <c r="B1" s="12" t="s">
        <v>55</v>
      </c>
      <c r="C1" s="12" t="s">
        <v>100</v>
      </c>
      <c r="D1" s="12" t="s">
        <v>101</v>
      </c>
      <c r="E1" s="12" t="s">
        <v>97</v>
      </c>
      <c r="F1" s="12" t="s">
        <v>191</v>
      </c>
    </row>
    <row r="2" spans="1:6" ht="30" x14ac:dyDescent="0.25">
      <c r="A2" s="6" t="s">
        <v>56</v>
      </c>
      <c r="B2" s="57" t="s">
        <v>57</v>
      </c>
      <c r="C2" s="55" t="s">
        <v>180</v>
      </c>
      <c r="D2" s="57" t="s">
        <v>58</v>
      </c>
      <c r="E2" s="18">
        <v>2021</v>
      </c>
      <c r="F2" s="56"/>
    </row>
    <row r="3" spans="1:6" x14ac:dyDescent="0.25">
      <c r="A3" s="6" t="s">
        <v>59</v>
      </c>
      <c r="B3" s="57" t="s">
        <v>60</v>
      </c>
      <c r="C3" s="55" t="s">
        <v>181</v>
      </c>
      <c r="D3" s="57" t="s">
        <v>61</v>
      </c>
      <c r="E3" s="18">
        <v>2021</v>
      </c>
      <c r="F3" s="56"/>
    </row>
    <row r="4" spans="1:6" x14ac:dyDescent="0.25">
      <c r="A4" s="6" t="s">
        <v>62</v>
      </c>
      <c r="B4" s="57" t="s">
        <v>63</v>
      </c>
      <c r="C4" s="55" t="s">
        <v>182</v>
      </c>
      <c r="D4" s="57" t="s">
        <v>64</v>
      </c>
      <c r="E4" s="18">
        <v>2018</v>
      </c>
      <c r="F4" s="56"/>
    </row>
    <row r="5" spans="1:6" ht="30" x14ac:dyDescent="0.25">
      <c r="A5" s="6" t="s">
        <v>65</v>
      </c>
      <c r="B5" s="57" t="s">
        <v>66</v>
      </c>
      <c r="C5" s="55" t="s">
        <v>183</v>
      </c>
      <c r="D5" s="57" t="s">
        <v>67</v>
      </c>
      <c r="E5" s="18">
        <v>2013</v>
      </c>
      <c r="F5" s="56"/>
    </row>
    <row r="6" spans="1:6" ht="30" x14ac:dyDescent="0.25">
      <c r="A6" s="6" t="s">
        <v>68</v>
      </c>
      <c r="B6" s="57" t="s">
        <v>213</v>
      </c>
      <c r="C6" s="55" t="s">
        <v>182</v>
      </c>
      <c r="D6" s="57" t="s">
        <v>69</v>
      </c>
      <c r="E6" s="18">
        <v>2017</v>
      </c>
      <c r="F6" s="56"/>
    </row>
    <row r="7" spans="1:6" x14ac:dyDescent="0.25">
      <c r="A7" s="6" t="s">
        <v>70</v>
      </c>
      <c r="B7" s="57" t="s">
        <v>98</v>
      </c>
      <c r="C7" s="55"/>
      <c r="D7" s="57"/>
      <c r="E7" s="18">
        <v>2021</v>
      </c>
      <c r="F7" s="56"/>
    </row>
    <row r="8" spans="1:6" ht="30" x14ac:dyDescent="0.25">
      <c r="A8" s="6" t="s">
        <v>71</v>
      </c>
      <c r="B8" s="57" t="s">
        <v>72</v>
      </c>
      <c r="C8" s="55" t="s">
        <v>184</v>
      </c>
      <c r="D8" s="57" t="s">
        <v>73</v>
      </c>
      <c r="E8" s="18">
        <v>2017</v>
      </c>
      <c r="F8" s="56"/>
    </row>
    <row r="9" spans="1:6" x14ac:dyDescent="0.25">
      <c r="A9" s="6" t="s">
        <v>74</v>
      </c>
      <c r="B9" s="57" t="s">
        <v>75</v>
      </c>
      <c r="C9" s="55" t="s">
        <v>185</v>
      </c>
      <c r="D9" s="57" t="s">
        <v>76</v>
      </c>
      <c r="E9" s="18">
        <v>2010</v>
      </c>
      <c r="F9" s="69" t="s">
        <v>216</v>
      </c>
    </row>
    <row r="10" spans="1:6" x14ac:dyDescent="0.25">
      <c r="A10" s="54" t="s">
        <v>77</v>
      </c>
      <c r="B10" s="57" t="s">
        <v>78</v>
      </c>
      <c r="C10" s="55" t="s">
        <v>79</v>
      </c>
      <c r="D10" s="57"/>
      <c r="E10" s="18">
        <v>2021</v>
      </c>
      <c r="F10" s="56"/>
    </row>
    <row r="11" spans="1:6" ht="30" x14ac:dyDescent="0.25">
      <c r="A11" s="6" t="s">
        <v>80</v>
      </c>
      <c r="B11" s="57" t="s">
        <v>81</v>
      </c>
      <c r="C11" s="55" t="s">
        <v>186</v>
      </c>
      <c r="D11" s="57" t="s">
        <v>215</v>
      </c>
      <c r="E11" s="18">
        <v>2008</v>
      </c>
      <c r="F11" s="56"/>
    </row>
    <row r="12" spans="1:6" x14ac:dyDescent="0.25">
      <c r="A12" s="6" t="s">
        <v>82</v>
      </c>
      <c r="B12" s="57" t="s">
        <v>83</v>
      </c>
      <c r="C12" s="55" t="s">
        <v>187</v>
      </c>
      <c r="D12" s="57" t="s">
        <v>84</v>
      </c>
      <c r="E12" s="18">
        <v>2013</v>
      </c>
      <c r="F12" s="56"/>
    </row>
    <row r="13" spans="1:6" ht="30" x14ac:dyDescent="0.25">
      <c r="A13" s="6" t="s">
        <v>85</v>
      </c>
      <c r="B13" s="57" t="s">
        <v>86</v>
      </c>
      <c r="C13" s="55" t="s">
        <v>182</v>
      </c>
      <c r="D13" s="57" t="s">
        <v>87</v>
      </c>
      <c r="E13" s="18">
        <v>2014</v>
      </c>
      <c r="F13" s="56"/>
    </row>
    <row r="14" spans="1:6" x14ac:dyDescent="0.25">
      <c r="A14" s="6" t="s">
        <v>88</v>
      </c>
      <c r="B14" s="57" t="s">
        <v>89</v>
      </c>
      <c r="C14" s="55" t="s">
        <v>90</v>
      </c>
      <c r="D14" s="57"/>
      <c r="E14" s="18">
        <v>2016</v>
      </c>
      <c r="F14" s="56"/>
    </row>
    <row r="15" spans="1:6" ht="30" x14ac:dyDescent="0.25">
      <c r="A15" s="6" t="s">
        <v>91</v>
      </c>
      <c r="B15" s="57" t="s">
        <v>92</v>
      </c>
      <c r="C15" s="55" t="s">
        <v>188</v>
      </c>
      <c r="D15" s="57" t="s">
        <v>93</v>
      </c>
      <c r="E15" s="18">
        <v>2021</v>
      </c>
      <c r="F15" s="56"/>
    </row>
    <row r="16" spans="1:6" ht="30" x14ac:dyDescent="0.25">
      <c r="A16" s="6" t="s">
        <v>94</v>
      </c>
      <c r="B16" s="57" t="s">
        <v>95</v>
      </c>
      <c r="C16" s="55" t="s">
        <v>189</v>
      </c>
      <c r="D16" s="57" t="s">
        <v>67</v>
      </c>
      <c r="E16" s="18">
        <v>2015</v>
      </c>
      <c r="F16" s="56"/>
    </row>
    <row r="17" spans="1:6" x14ac:dyDescent="0.25">
      <c r="A17" s="54" t="s">
        <v>96</v>
      </c>
      <c r="B17" s="57" t="s">
        <v>192</v>
      </c>
      <c r="C17" s="55" t="s">
        <v>190</v>
      </c>
      <c r="D17" s="57" t="s">
        <v>214</v>
      </c>
      <c r="E17" s="18">
        <v>2013</v>
      </c>
      <c r="F17" s="56"/>
    </row>
    <row r="18" spans="1:6" x14ac:dyDescent="0.25">
      <c r="A18" s="6" t="s">
        <v>195</v>
      </c>
      <c r="B18" s="60" t="s">
        <v>193</v>
      </c>
      <c r="C18" s="58" t="s">
        <v>194</v>
      </c>
      <c r="D18" s="67" t="s">
        <v>196</v>
      </c>
      <c r="E18" s="6">
        <v>2014</v>
      </c>
      <c r="F18" s="14" t="s">
        <v>212</v>
      </c>
    </row>
  </sheetData>
  <hyperlinks>
    <hyperlink ref="F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Synthesis</vt:lpstr>
      <vt:lpstr>Available biomass</vt:lpstr>
      <vt:lpstr>FT process</vt:lpstr>
      <vt:lpstr>AtJ process</vt:lpstr>
      <vt:lpstr>HEFA process</vt:lpstr>
      <vt:lpstr>Emission factors</vt:lpstr>
      <vt:lpstr>Selectivity</vt:lpstr>
      <vt:lpstr>References</vt:lpstr>
    </vt:vector>
  </TitlesOfParts>
  <Company>ISAE-SupAero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t.planes</dc:creator>
  <cp:lastModifiedBy>t.planes</cp:lastModifiedBy>
  <dcterms:created xsi:type="dcterms:W3CDTF">2022-02-18T13:01:49Z</dcterms:created>
  <dcterms:modified xsi:type="dcterms:W3CDTF">2022-03-15T12:33:57Z</dcterms:modified>
</cp:coreProperties>
</file>