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DDD06E24-89FA-473A-810A-75A8AA07691C}" xr6:coauthVersionLast="47" xr6:coauthVersionMax="47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Cost Summary_OLD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12" hidden="1">'Cost Summary_OLD'!$A$1:$F$37</definedName>
    <definedName name="_xlnm._FilterDatabase" localSheetId="8" hidden="1">'Cost Summary-V1'!$B$1:$C$1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1" l="1"/>
  <c r="I14" i="17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F31" i="15"/>
  <c r="G31" i="15"/>
  <c r="E31" i="15"/>
  <c r="E32" i="15"/>
  <c r="F32" i="15"/>
  <c r="G32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3" i="15"/>
  <c r="F3" i="15"/>
  <c r="G3" i="15"/>
  <c r="G6" i="15"/>
  <c r="F6" i="15"/>
  <c r="E6" i="15"/>
  <c r="F5" i="15"/>
  <c r="E5" i="15" s="1"/>
  <c r="E4" i="15"/>
  <c r="F4" i="15"/>
  <c r="G4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I34" i="10" s="1"/>
  <c r="C34" i="10"/>
  <c r="B34" i="10"/>
  <c r="D33" i="10"/>
  <c r="I33" i="10" s="1"/>
  <c r="C33" i="10"/>
  <c r="B33" i="10"/>
  <c r="D32" i="10"/>
  <c r="I32" i="10" s="1"/>
  <c r="C32" i="10"/>
  <c r="B32" i="10"/>
  <c r="D31" i="10"/>
  <c r="I31" i="10" s="1"/>
  <c r="C31" i="10"/>
  <c r="B31" i="10"/>
  <c r="E30" i="11"/>
  <c r="D30" i="11"/>
  <c r="I30" i="11" s="1"/>
  <c r="C30" i="11"/>
  <c r="B30" i="11"/>
  <c r="D29" i="11"/>
  <c r="I29" i="11" s="1"/>
  <c r="C29" i="11"/>
  <c r="B29" i="11"/>
  <c r="D28" i="11"/>
  <c r="I28" i="11" s="1"/>
  <c r="C28" i="11"/>
  <c r="B28" i="11"/>
  <c r="D32" i="9"/>
  <c r="I32" i="9" s="1"/>
  <c r="C32" i="9"/>
  <c r="B32" i="9"/>
  <c r="D31" i="9"/>
  <c r="I31" i="9" s="1"/>
  <c r="C31" i="9"/>
  <c r="B31" i="9"/>
  <c r="E30" i="9"/>
  <c r="D30" i="9"/>
  <c r="I30" i="9" s="1"/>
  <c r="C30" i="9"/>
  <c r="B30" i="9"/>
  <c r="D29" i="9"/>
  <c r="I29" i="9" s="1"/>
  <c r="C29" i="9"/>
  <c r="B29" i="9"/>
  <c r="F30" i="10"/>
  <c r="E30" i="10"/>
  <c r="D30" i="10"/>
  <c r="I30" i="10" s="1"/>
  <c r="C30" i="10"/>
  <c r="B30" i="10"/>
  <c r="E29" i="10"/>
  <c r="E28" i="10"/>
  <c r="E27" i="10"/>
  <c r="F26" i="10"/>
  <c r="E26" i="10"/>
  <c r="D26" i="10"/>
  <c r="I26" i="10" s="1"/>
  <c r="C26" i="10"/>
  <c r="B26" i="10"/>
  <c r="F25" i="10"/>
  <c r="E25" i="10"/>
  <c r="D25" i="10"/>
  <c r="I25" i="10" s="1"/>
  <c r="C25" i="10"/>
  <c r="B25" i="10"/>
  <c r="F24" i="10"/>
  <c r="E24" i="10"/>
  <c r="D24" i="10"/>
  <c r="I24" i="10" s="1"/>
  <c r="C24" i="10"/>
  <c r="B24" i="10"/>
  <c r="F23" i="10"/>
  <c r="E23" i="10"/>
  <c r="D23" i="10"/>
  <c r="I23" i="10" s="1"/>
  <c r="C23" i="10"/>
  <c r="B23" i="10"/>
  <c r="D22" i="10"/>
  <c r="I22" i="10" s="1"/>
  <c r="C22" i="10"/>
  <c r="B22" i="10"/>
  <c r="D21" i="10"/>
  <c r="I21" i="10" s="1"/>
  <c r="C21" i="10"/>
  <c r="B21" i="10"/>
  <c r="D20" i="10"/>
  <c r="I20" i="10" s="1"/>
  <c r="C20" i="10"/>
  <c r="B20" i="10"/>
  <c r="F19" i="10"/>
  <c r="E19" i="10"/>
  <c r="D19" i="10"/>
  <c r="I19" i="10" s="1"/>
  <c r="C19" i="10"/>
  <c r="B19" i="10"/>
  <c r="F27" i="11"/>
  <c r="E27" i="11"/>
  <c r="D27" i="11"/>
  <c r="C27" i="11"/>
  <c r="B27" i="11"/>
  <c r="F26" i="11"/>
  <c r="E26" i="11"/>
  <c r="D26" i="11"/>
  <c r="I26" i="11" s="1"/>
  <c r="C26" i="11"/>
  <c r="B26" i="11"/>
  <c r="F25" i="11"/>
  <c r="E25" i="11"/>
  <c r="D25" i="11"/>
  <c r="I25" i="11" s="1"/>
  <c r="C25" i="11"/>
  <c r="B25" i="11"/>
  <c r="F24" i="11"/>
  <c r="D24" i="11"/>
  <c r="I24" i="11" s="1"/>
  <c r="C24" i="11"/>
  <c r="B24" i="11"/>
  <c r="F23" i="11"/>
  <c r="E23" i="11"/>
  <c r="D23" i="11"/>
  <c r="I23" i="11" s="1"/>
  <c r="C23" i="11"/>
  <c r="B23" i="11"/>
  <c r="F28" i="9"/>
  <c r="E28" i="9"/>
  <c r="D28" i="9"/>
  <c r="I28" i="9" s="1"/>
  <c r="C28" i="9"/>
  <c r="B28" i="9"/>
  <c r="F27" i="9"/>
  <c r="E27" i="9"/>
  <c r="D27" i="9"/>
  <c r="I27" i="9" s="1"/>
  <c r="C27" i="9"/>
  <c r="B27" i="9"/>
  <c r="F26" i="9"/>
  <c r="E26" i="9"/>
  <c r="D26" i="9"/>
  <c r="I26" i="9" s="1"/>
  <c r="C26" i="9"/>
  <c r="B26" i="9"/>
  <c r="F25" i="9"/>
  <c r="E25" i="9"/>
  <c r="D25" i="9"/>
  <c r="I25" i="9" s="1"/>
  <c r="C25" i="9"/>
  <c r="B25" i="9"/>
  <c r="F24" i="9"/>
  <c r="E24" i="9"/>
  <c r="D24" i="9"/>
  <c r="I24" i="9" s="1"/>
  <c r="C24" i="9"/>
  <c r="B24" i="9"/>
  <c r="F23" i="9"/>
  <c r="E23" i="9"/>
  <c r="D23" i="9"/>
  <c r="I23" i="9" s="1"/>
  <c r="C23" i="9"/>
  <c r="B23" i="9"/>
  <c r="F22" i="9"/>
  <c r="E22" i="9"/>
  <c r="D22" i="9"/>
  <c r="I22" i="9" s="1"/>
  <c r="C22" i="9"/>
  <c r="B22" i="9"/>
  <c r="F21" i="9"/>
  <c r="E21" i="9"/>
  <c r="D21" i="9"/>
  <c r="I21" i="9" s="1"/>
  <c r="C21" i="9"/>
  <c r="B21" i="9"/>
  <c r="B54" i="11" l="1"/>
  <c r="D54" i="11"/>
  <c r="C54" i="11"/>
  <c r="B57" i="11"/>
  <c r="D57" i="11"/>
  <c r="C57" i="11"/>
  <c r="C49" i="9"/>
  <c r="B49" i="9"/>
  <c r="D49" i="9"/>
  <c r="D50" i="9"/>
  <c r="B50" i="9"/>
  <c r="D48" i="9"/>
  <c r="C50" i="9"/>
  <c r="B48" i="9"/>
  <c r="C48" i="9"/>
  <c r="D55" i="11"/>
  <c r="B55" i="11"/>
  <c r="C55" i="11"/>
  <c r="D51" i="10"/>
  <c r="D58" i="11"/>
  <c r="C58" i="11"/>
  <c r="B58" i="11"/>
  <c r="D48" i="10"/>
  <c r="C48" i="10"/>
  <c r="B48" i="10"/>
  <c r="C51" i="10"/>
  <c r="B51" i="10"/>
  <c r="E51" i="11"/>
  <c r="F51" i="11"/>
  <c r="G51" i="11"/>
  <c r="E50" i="11"/>
  <c r="E37" i="15" s="1"/>
  <c r="F50" i="11"/>
  <c r="F37" i="15" s="1"/>
  <c r="G50" i="11"/>
  <c r="G37" i="15" s="1"/>
  <c r="E52" i="11"/>
  <c r="E38" i="15" s="1"/>
  <c r="F28" i="15"/>
  <c r="D46" i="9"/>
  <c r="C46" i="9"/>
  <c r="B46" i="9"/>
  <c r="C44" i="9"/>
  <c r="B44" i="9"/>
  <c r="D44" i="9"/>
  <c r="D45" i="9"/>
  <c r="C45" i="9"/>
  <c r="B45" i="9"/>
  <c r="C73" i="10"/>
  <c r="F29" i="15"/>
  <c r="F30" i="15"/>
  <c r="F18" i="15"/>
  <c r="G10" i="15"/>
  <c r="E26" i="15"/>
  <c r="G40" i="9"/>
  <c r="G52" i="11"/>
  <c r="G38" i="15" s="1"/>
  <c r="G41" i="9"/>
  <c r="G14" i="15" s="1"/>
  <c r="F45" i="10"/>
  <c r="F21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2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B52" i="11" s="1"/>
  <c r="D52" i="11" l="1"/>
  <c r="G35" i="15" s="1"/>
  <c r="C52" i="11"/>
  <c r="F35" i="15" s="1"/>
  <c r="E35" i="15"/>
  <c r="B45" i="10"/>
  <c r="E20" i="15" s="1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B41" i="9" s="1"/>
  <c r="E29" i="11"/>
  <c r="E32" i="9"/>
  <c r="C42" i="9" s="1"/>
  <c r="D51" i="11" l="1"/>
  <c r="B50" i="11"/>
  <c r="B51" i="11"/>
  <c r="C51" i="11"/>
  <c r="B48" i="11"/>
  <c r="E34" i="15"/>
  <c r="C50" i="11"/>
  <c r="F34" i="15" s="1"/>
  <c r="D50" i="11"/>
  <c r="G34" i="15" s="1"/>
  <c r="C48" i="11"/>
  <c r="D48" i="11"/>
  <c r="B42" i="9"/>
  <c r="E13" i="15" s="1"/>
  <c r="D42" i="9"/>
  <c r="F13" i="15"/>
  <c r="B40" i="9"/>
  <c r="D40" i="9"/>
  <c r="C40" i="9"/>
  <c r="D41" i="9"/>
  <c r="E11" i="15"/>
  <c r="C41" i="9"/>
  <c r="G13" i="15" l="1"/>
  <c r="F11" i="15"/>
  <c r="G11" i="15"/>
  <c r="K86" i="11"/>
  <c r="K85" i="11"/>
  <c r="K84" i="11"/>
  <c r="J86" i="11"/>
  <c r="J85" i="11"/>
  <c r="J84" i="11"/>
  <c r="I86" i="11"/>
  <c r="I85" i="11"/>
  <c r="I84" i="11"/>
  <c r="K83" i="11"/>
  <c r="K82" i="11"/>
  <c r="K81" i="11"/>
  <c r="J83" i="11"/>
  <c r="J82" i="11"/>
  <c r="J81" i="11"/>
  <c r="I83" i="11"/>
  <c r="I82" i="11"/>
  <c r="I81" i="11"/>
  <c r="K80" i="11"/>
  <c r="K79" i="11"/>
  <c r="J80" i="11"/>
  <c r="J79" i="11"/>
  <c r="F65" i="11" s="1"/>
  <c r="I80" i="11"/>
  <c r="I79" i="11"/>
  <c r="K78" i="11"/>
  <c r="J78" i="11"/>
  <c r="I78" i="11"/>
  <c r="J71" i="9"/>
  <c r="K71" i="9"/>
  <c r="L71" i="9"/>
  <c r="G64" i="11" l="1"/>
  <c r="G65" i="11"/>
  <c r="F71" i="11"/>
  <c r="G68" i="11"/>
  <c r="G66" i="11"/>
  <c r="G72" i="11"/>
  <c r="G71" i="11"/>
  <c r="G70" i="11"/>
  <c r="G69" i="11"/>
  <c r="G67" i="11"/>
  <c r="F68" i="11"/>
  <c r="F20" i="11"/>
  <c r="E20" i="11"/>
  <c r="G33" i="15" s="1"/>
  <c r="D20" i="11"/>
  <c r="F33" i="15" s="1"/>
  <c r="C20" i="11"/>
  <c r="E33" i="15" s="1"/>
  <c r="B20" i="11"/>
  <c r="H9" i="11"/>
  <c r="B60" i="11"/>
  <c r="G11" i="11"/>
  <c r="I10" i="11"/>
  <c r="H10" i="11"/>
  <c r="G10" i="11"/>
  <c r="F16" i="10"/>
  <c r="E16" i="10"/>
  <c r="G19" i="15" s="1"/>
  <c r="D16" i="10"/>
  <c r="F19" i="15" s="1"/>
  <c r="C16" i="10"/>
  <c r="E19" i="15" s="1"/>
  <c r="B16" i="10"/>
  <c r="B53" i="10"/>
  <c r="G10" i="10"/>
  <c r="I9" i="10"/>
  <c r="H9" i="10"/>
  <c r="G9" i="10"/>
  <c r="B52" i="9"/>
  <c r="C63" i="10" l="1"/>
  <c r="D66" i="11"/>
  <c r="E67" i="11"/>
  <c r="D67" i="11"/>
  <c r="C57" i="10"/>
  <c r="E68" i="11"/>
  <c r="K89" i="11"/>
  <c r="J89" i="11"/>
  <c r="I89" i="11"/>
  <c r="D68" i="11"/>
  <c r="K87" i="11"/>
  <c r="J87" i="11"/>
  <c r="I87" i="11"/>
  <c r="C60" i="10"/>
  <c r="D70" i="11"/>
  <c r="D69" i="11"/>
  <c r="C61" i="10"/>
  <c r="D64" i="11"/>
  <c r="E71" i="11"/>
  <c r="D71" i="11"/>
  <c r="K88" i="11"/>
  <c r="J88" i="11"/>
  <c r="I88" i="11"/>
  <c r="E70" i="11"/>
  <c r="E72" i="11"/>
  <c r="C65" i="10"/>
  <c r="C71" i="11"/>
  <c r="D72" i="11"/>
  <c r="E69" i="11"/>
  <c r="E64" i="11"/>
  <c r="C62" i="10"/>
  <c r="C65" i="11"/>
  <c r="C64" i="10"/>
  <c r="C68" i="11"/>
  <c r="D65" i="11"/>
  <c r="J72" i="10"/>
  <c r="K72" i="10"/>
  <c r="I72" i="10"/>
  <c r="E65" i="11"/>
  <c r="E66" i="11"/>
  <c r="C58" i="10"/>
  <c r="C59" i="10"/>
  <c r="K71" i="10"/>
  <c r="J71" i="10"/>
  <c r="I71" i="10"/>
  <c r="I73" i="10"/>
  <c r="K73" i="10"/>
  <c r="J73" i="10"/>
  <c r="G11" i="9"/>
  <c r="G10" i="9"/>
  <c r="I10" i="9"/>
  <c r="H10" i="9"/>
  <c r="H9" i="9"/>
  <c r="D56" i="9" l="1"/>
  <c r="C57" i="9"/>
  <c r="D60" i="9"/>
  <c r="H68" i="11"/>
  <c r="H71" i="11"/>
  <c r="H66" i="11"/>
  <c r="H64" i="11"/>
  <c r="H69" i="11"/>
  <c r="H70" i="11"/>
  <c r="H72" i="11"/>
  <c r="H65" i="11"/>
  <c r="H67" i="11"/>
  <c r="D57" i="10"/>
  <c r="D58" i="10"/>
  <c r="D65" i="10"/>
  <c r="D62" i="10"/>
  <c r="D64" i="10"/>
  <c r="D60" i="10"/>
  <c r="D59" i="10"/>
  <c r="D63" i="10"/>
  <c r="D61" i="10"/>
  <c r="D58" i="9"/>
  <c r="D64" i="9"/>
  <c r="D57" i="9"/>
  <c r="D61" i="9"/>
  <c r="D62" i="9"/>
  <c r="C63" i="9"/>
  <c r="C60" i="9"/>
  <c r="D63" i="9"/>
  <c r="D59" i="9"/>
  <c r="F18" i="9"/>
  <c r="E18" i="9"/>
  <c r="G9" i="15" s="1"/>
  <c r="D18" i="9"/>
  <c r="F9" i="15" s="1"/>
  <c r="C18" i="9"/>
  <c r="E9" i="15" s="1"/>
  <c r="B18" i="9"/>
  <c r="B14" i="9"/>
  <c r="B13" i="9"/>
  <c r="B20" i="7"/>
  <c r="D70" i="7"/>
  <c r="E8" i="15" l="1"/>
  <c r="E7" i="15"/>
  <c r="G8" i="15"/>
  <c r="G7" i="15"/>
  <c r="F60" i="9"/>
  <c r="F57" i="9"/>
  <c r="F63" i="9"/>
  <c r="L69" i="9"/>
  <c r="J69" i="9"/>
  <c r="K69" i="9"/>
  <c r="G59" i="9" s="1"/>
  <c r="K70" i="9"/>
  <c r="J70" i="9"/>
  <c r="L70" i="9"/>
  <c r="L68" i="9"/>
  <c r="J68" i="9"/>
  <c r="K68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F7" i="15" l="1"/>
  <c r="F8" i="15"/>
  <c r="G60" i="9"/>
  <c r="G63" i="9"/>
  <c r="G61" i="9"/>
  <c r="G62" i="9"/>
  <c r="G58" i="9"/>
  <c r="G64" i="9"/>
  <c r="G56" i="9"/>
  <c r="G57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<sst xmlns="http://schemas.openxmlformats.org/spreadsheetml/2006/main" count="3015" uniqueCount="850">
  <si>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</si>
  <si>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</si>
  <si>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</si>
  <si>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</si>
  <si>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</si>
  <si>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</si>
  <si>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</si>
  <si>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</si>
  <si>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</si>
  <si>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</si>
  <si>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</si>
  <si>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</si>
  <si>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</si>
  <si>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</si>
  <si>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</si>
  <si>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</si>
  <si>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</si>
  <si>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</si>
  <si>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</si>
  <si>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</si>
  <si>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</si>
  <si>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</si>
  <si>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</si>
  <si>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</si>
  <si>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</si>
  <si>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</si>
  <si>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</si>
  <si>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</si>
  <si>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</si>
  <si>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</si>
  <si>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</si>
  <si>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</si>
  <si>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</si>
  <si>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</si>
  <si>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</si>
  <si>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</si>
  <si>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</si>
  <si>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</si>
  <si>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</si>
  <si>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</si>
  <si>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</si>
  <si>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</si>
  <si>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</si>
  <si>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</si>
  <si>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</si>
  <si>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</si>
  <si>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</si>
  <si>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</si>
  <si>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</si>
  <si>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</si>
  <si>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</si>
  <si>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</si>
  <si>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</si>
  <si>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</si>
  <si>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</si>
  <si>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</si>
  <si>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</si>
  <si>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</si>
  <si>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</si>
  <si>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</si>
  <si>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</si>
  <si>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</si>
  <si>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</si>
  <si>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</si>
  <si>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</si>
  <si>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</si>
  <si>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</si>
  <si>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</si>
  <si>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</si>
  <si>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</si>
  <si>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</si>
  <si>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</si>
  <si>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</si>
  <si>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</si>
  <si>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</si>
  <si>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</si>
  <si>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</si>
  <si>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</si>
  <si>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</si>
  <si>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</si>
  <si>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</si>
  <si>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</si>
  <si>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</si>
  <si>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</si>
  <si>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</si>
  <si>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</si>
  <si>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</si>
  <si>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</si>
  <si>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</si>
  <si>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</si>
  <si>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</si>
  <si>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</si>
  <si>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</si>
  <si>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</si>
  <si>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</si>
  <si>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</si>
  <si>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</si>
  <si>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</si>
  <si>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</si>
  <si>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</si>
  <si>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</si>
  <si>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</si>
  <si>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</si>
  <si>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</si>
  <si>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</si>
  <si>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</si>
  <si>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</si>
  <si>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</si>
  <si>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</si>
  <si>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</si>
  <si>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</si>
  <si>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</si>
  <si>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</si>
  <si>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</si>
  <si>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</si>
  <si>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</si>
  <si>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</si>
  <si>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</si>
  <si>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</si>
  <si>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</si>
  <si>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</si>
  <si>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</si>
  <si>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</si>
  <si>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</si>
  <si>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</si>
  <si>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</si>
  <si>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</si>
  <si>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</si>
  <si>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</si>
  <si>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</si>
  <si>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</si>
  <si>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</si>
  <si>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</si>
  <si>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</si>
  <si>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</si>
  <si>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</si>
  <si>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</si>
  <si>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</si>
  <si>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</si>
  <si>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</si>
  <si>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</si>
  <si>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</si>
  <si>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</si>
  <si>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</si>
  <si>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</si>
  <si>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</si>
  <si>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</si>
  <si>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</si>
  <si>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</si>
  <si>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</si>
  <si>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</si>
  <si>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</si>
  <si>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</si>
  <si>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</si>
  <si>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</si>
  <si>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</si>
  <si>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</si>
  <si>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</si>
  <si>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</si>
  <si>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</si>
  <si>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</si>
  <si>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</si>
  <si>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</si>
  <si>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</si>
  <si>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</si>
  <si>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</si>
  <si>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</si>
  <si>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</si>
  <si>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</si>
  <si>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</si>
  <si>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</si>
  <si>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</si>
  <si>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</si>
  <si>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</si>
  <si>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</si>
  <si>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</si>
  <si>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</si>
  <si>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</si>
  <si>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</si>
  <si>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</si>
  <si>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</si>
  <si>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</si>
  <si>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</si>
  <si>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</si>
  <si>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</si>
  <si>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</si>
  <si>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</si>
  <si>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</si>
  <si>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</si>
  <si>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</si>
  <si>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</si>
  <si>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</si>
  <si>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</si>
  <si>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</si>
  <si>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</si>
  <si>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</si>
  <si>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</si>
  <si>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</si>
  <si>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</si>
  <si>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</si>
  <si>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</si>
  <si>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</si>
  <si>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</si>
  <si>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</si>
  <si>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</si>
  <si>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</si>
  <si>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</si>
  <si>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</si>
  <si>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</si>
  <si>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</si>
  <si>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</si>
  <si>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</si>
  <si>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</si>
  <si>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</si>
  <si>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</si>
  <si>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</si>
  <si>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</si>
  <si>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</si>
  <si>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</si>
  <si>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</si>
  <si>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</si>
  <si>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</si>
  <si>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</si>
  <si>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</si>
  <si>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</si>
  <si>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</si>
  <si>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</si>
  <si>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</si>
  <si>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</si>
  <si>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</si>
  <si>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</si>
  <si>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</si>
  <si>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</si>
  <si>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</si>
  <si>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</si>
  <si>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</si>
  <si>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</si>
  <si>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</si>
  <si>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</si>
  <si>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</si>
  <si>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</si>
  <si>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</si>
  <si>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</si>
  <si>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</si>
  <si>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</si>
  <si>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</si>
  <si>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</si>
  <si>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</si>
  <si>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</si>
  <si>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</si>
  <si>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</si>
  <si>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</si>
  <si>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</si>
  <si>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</si>
  <si>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</si>
  <si>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</si>
  <si>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</si>
  <si>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</si>
  <si>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</si>
  <si>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</si>
  <si>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</si>
  <si>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</si>
  <si>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</si>
  <si>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</si>
  <si>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</si>
  <si>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</si>
  <si>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</si>
  <si>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</si>
  <si>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</si>
  <si>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</si>
  <si>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</si>
  <si>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</si>
  <si>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</si>
  <si>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</si>
  <si>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</si>
  <si>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</si>
  <si>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</si>
  <si>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</si>
  <si>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</si>
  <si>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</si>
  <si>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</si>
  <si>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</si>
  <si>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</si>
  <si>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</si>
  <si>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</si>
  <si>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</si>
  <si>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</si>
  <si>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</si>
  <si>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</si>
  <si>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</si>
  <si>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</si>
  <si>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</si>
  <si>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</si>
  <si>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</si>
  <si>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</si>
  <si>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</si>
  <si>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</si>
  <si>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</si>
  <si>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</si>
  <si>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</si>
  <si>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</si>
  <si>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</si>
  <si>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</si>
  <si>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</si>
  <si>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</si>
  <si>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</si>
  <si>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</si>
  <si>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</si>
  <si>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</si>
  <si>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</si>
  <si>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</si>
  <si>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</si>
  <si>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</si>
  <si>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</si>
  <si>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</si>
  <si>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</si>
  <si>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</si>
  <si>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</si>
  <si>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</si>
  <si>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</si>
  <si>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</si>
  <si>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</si>
  <si>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</si>
  <si>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</si>
  <si>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</si>
  <si>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</si>
  <si>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</si>
  <si>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</si>
  <si>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</si>
  <si>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</si>
  <si>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</si>
  <si>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</si>
  <si>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</si>
  <si>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</si>
  <si>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</si>
  <si>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</si>
  <si>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</si>
  <si>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</si>
  <si>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</si>
  <si>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</si>
  <si>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</si>
  <si>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</si>
  <si>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</si>
  <si>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</si>
  <si>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</si>
  <si>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</si>
  <si>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</si>
  <si>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</si>
  <si>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</si>
  <si>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</si>
  <si>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</si>
  <si>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</si>
  <si>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</si>
  <si>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</si>
  <si>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</si>
  <si>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</si>
  <si>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</si>
  <si>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</si>
  <si>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</si>
  <si>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</si>
  <si>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</si>
  <si>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</si>
  <si>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</si>
  <si>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</si>
  <si>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</si>
  <si>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</si>
  <si>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</si>
  <si>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</si>
  <si>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</si>
  <si>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</si>
  <si>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</si>
  <si>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</si>
  <si>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</si>
  <si>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</si>
  <si>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</si>
  <si>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</si>
  <si>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</si>
  <si>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</si>
  <si>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</si>
  <si>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</si>
  <si>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</si>
  <si>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</si>
  <si>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</si>
  <si>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</si>
  <si>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</si>
  <si>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</si>
  <si>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</si>
  <si>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</si>
  <si>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</si>
  <si>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</si>
  <si>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</si>
  <si>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</si>
  <si>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</si>
  <si>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</si>
  <si>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</si>
  <si>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</si>
  <si>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</si>
  <si>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</si>
  <si>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</si>
  <si>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</si>
  <si>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</si>
  <si>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</si>
  <si>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</si>
  <si>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</si>
  <si>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</si>
  <si>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</si>
  <si>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</si>
  <si>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</si>
  <si>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</si>
  <si>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</si>
  <si>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</si>
  <si>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</si>
  <si>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</si>
  <si>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</si>
  <si>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</si>
  <si>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</si>
  <si>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</si>
  <si>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</si>
  <si>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</si>
  <si>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</si>
  <si>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</si>
  <si>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</si>
  <si>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</si>
  <si>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</si>
  <si>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</si>
  <si>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</si>
  <si>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</si>
  <si>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</si>
  <si>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</si>
  <si>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</si>
  <si>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</si>
  <si>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</si>
  <si>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</si>
  <si>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</si>
  <si>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</si>
  <si>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</si>
  <si>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</si>
  <si>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</si>
  <si>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</si>
  <si>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</si>
  <si>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</si>
  <si>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</si>
  <si>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</si>
  <si>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</si>
  <si>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</si>
  <si>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</si>
  <si>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</si>
  <si>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</si>
  <si>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</si>
  <si>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</si>
  <si>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</si>
  <si>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</si>
  <si>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</si>
  <si>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</si>
  <si>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</si>
  <si>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</si>
  <si>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</si>
  <si>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</si>
  <si>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</si>
  <si>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</si>
  <si>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</si>
  <si>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</si>
  <si>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</si>
  <si>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</si>
  <si>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</si>
  <si>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</si>
  <si>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</si>
  <si>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</si>
  <si>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</si>
  <si>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</si>
  <si>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</si>
  <si>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</si>
  <si>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</si>
  <si>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</si>
  <si>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</si>
  <si>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</si>
  <si>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</si>
  <si>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</si>
  <si>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</si>
  <si>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</si>
  <si>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</si>
  <si>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</si>
  <si>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</si>
  <si>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</si>
  <si>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</si>
  <si>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</si>
  <si>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</si>
  <si>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</si>
  <si>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</si>
  <si>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</si>
  <si>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</si>
  <si>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</si>
  <si>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</si>
  <si>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</si>
  <si>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</si>
  <si>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</si>
  <si>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</si>
  <si>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</si>
  <si>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</si>
  <si>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</si>
  <si>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</si>
  <si>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</si>
  <si>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</si>
  <si>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</si>
  <si>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</si>
  <si>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</si>
  <si>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</si>
  <si>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</si>
  <si>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</si>
  <si>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</si>
  <si>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</si>
  <si>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</si>
  <si>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</si>
  <si>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</si>
  <si>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</si>
  <si>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</si>
  <si>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</si>
  <si>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</si>
  <si>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</si>
  <si>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</si>
  <si>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</si>
  <si>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</si>
  <si>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</si>
  <si>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</si>
  <si>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</si>
  <si>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</si>
  <si>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</si>
  <si>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</si>
  <si>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</si>
  <si>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</si>
  <si>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</si>
  <si>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</si>
  <si>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</si>
  <si>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</si>
  <si>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</si>
  <si>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</si>
  <si>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</si>
  <si>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</si>
  <si>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</si>
  <si>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</si>
  <si>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</si>
  <si>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</si>
  <si>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</si>
  <si>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</si>
  <si>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</si>
  <si>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</si>
  <si>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</si>
  <si>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</si>
  <si>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</si>
  <si>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</si>
  <si>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</si>
  <si>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</si>
  <si>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</si>
  <si>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</si>
  <si>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</si>
  <si>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</si>
  <si>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</si>
  <si>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</si>
  <si>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</si>
  <si>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</si>
  <si>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</si>
  <si>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</si>
  <si>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</si>
  <si>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</si>
  <si>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</si>
  <si>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</si>
  <si>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</si>
  <si>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</si>
  <si>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</si>
  <si>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</si>
  <si>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</si>
  <si>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</si>
  <si>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</si>
  <si>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</si>
  <si>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</si>
  <si>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</si>
  <si>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</si>
  <si>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</si>
  <si>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</si>
  <si>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</si>
  <si>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</si>
  <si>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</si>
  <si>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</si>
  <si>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</si>
  <si>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</si>
  <si>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</si>
  <si>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</si>
  <si>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</si>
  <si>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</si>
  <si>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</si>
  <si>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</si>
  <si>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</si>
  <si>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</si>
  <si>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</si>
  <si>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</si>
  <si>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</si>
  <si>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</si>
  <si>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</si>
  <si>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</si>
  <si>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</si>
  <si>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</si>
  <si>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</si>
  <si>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</si>
  <si>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</si>
  <si>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</si>
  <si>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</si>
  <si>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</si>
  <si>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</si>
  <si>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</si>
  <si>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</si>
  <si>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</si>
  <si>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</si>
  <si>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</si>
  <si>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</si>
  <si>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</si>
  <si>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</si>
  <si>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</si>
  <si>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</si>
  <si>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</si>
  <si>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</si>
  <si>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</si>
  <si>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</si>
  <si>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</si>
  <si>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</si>
  <si>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</si>
  <si>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</si>
  <si>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</si>
  <si>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</si>
  <si>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</si>
  <si>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</si>
  <si>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</si>
  <si>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</si>
  <si>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</si>
  <si>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</si>
  <si>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</si>
  <si>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</si>
  <si>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</si>
  <si>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</si>
  <si>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</si>
  <si>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</si>
  <si>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</si>
  <si>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</si>
  <si>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</si>
  <si>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</si>
  <si>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</si>
  <si>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</si>
  <si>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</si>
  <si>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</si>
  <si>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</si>
  <si>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</si>
  <si>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</si>
  <si>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</si>
  <si>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</si>
  <si>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</si>
  <si>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</si>
  <si>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</si>
  <si>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</si>
  <si>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</si>
  <si>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</si>
  <si>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</si>
  <si>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</si>
  <si>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</si>
  <si>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</si>
  <si>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</si>
  <si>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</si>
  <si>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</si>
  <si>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</si>
  <si>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</si>
  <si>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</si>
  <si>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</si>
  <si>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</si>
  <si>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</si>
  <si>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</si>
  <si>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</si>
  <si>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</si>
  <si>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</si>
  <si>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</si>
  <si>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</si>
  <si>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</si>
  <si>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</si>
  <si>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</si>
  <si>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</si>
  <si>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</si>
  <si>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</si>
  <si>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</si>
  <si>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</si>
  <si>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</si>
  <si>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</si>
  <si>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</si>
  <si>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</si>
  <si>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</si>
  <si>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</si>
  <si>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</si>
  <si>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</si>
  <si>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</si>
  <si>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</si>
  <si>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</si>
  <si>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</si>
  <si>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</si>
  <si>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</si>
  <si>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</si>
  <si>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</si>
  <si>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</si>
  <si>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</si>
  <si>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</si>
  <si>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</si>
  <si>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</si>
  <si>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</si>
  <si>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</si>
  <si>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</si>
  <si>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</si>
  <si>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</si>
  <si>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</si>
  <si>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</si>
  <si>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</si>
  <si>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</si>
  <si>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</si>
  <si>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</si>
  <si>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</si>
  <si>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</si>
  <si>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</si>
  <si>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</si>
  <si>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</si>
  <si>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</si>
  <si>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</si>
  <si>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</si>
  <si>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</si>
  <si>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</si>
  <si>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</si>
  <si>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</si>
  <si>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</si>
  <si>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</si>
  <si>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</si>
  <si>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</si>
  <si>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</si>
  <si>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</si>
  <si>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</si>
  <si>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</si>
  <si>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</si>
  <si>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</si>
  <si>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</si>
  <si>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</si>
  <si>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</si>
  <si>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</si>
  <si>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</si>
  <si>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</si>
  <si>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</si>
  <si>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</si>
  <si>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</si>
  <si>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</si>
  <si>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</si>
  <si>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</si>
  <si>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</si>
  <si>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</si>
  <si>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</si>
  <si>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</si>
  <si>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</si>
  <si>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</si>
  <si>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</si>
  <si>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</si>
  <si>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</si>
  <si>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</si>
  <si>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</si>
  <si>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</si>
  <si>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</si>
  <si>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</si>
  <si>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</si>
  <si>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</si>
  <si>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</si>
  <si>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</si>
  <si>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</si>
  <si>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</si>
  <si>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</si>
  <si>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</si>
  <si>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</si>
  <si>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</si>
  <si>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</si>
  <si>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</si>
  <si>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</si>
  <si>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</si>
  <si>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</si>
  <si>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</si>
  <si>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</si>
  <si>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</si>
  <si>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</si>
  <si>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</si>
  <si>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</si>
  <si>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</si>
  <si>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</si>
  <si>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</si>
  <si>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</si>
  <si>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</si>
  <si>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</si>
  <si>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</si>
  <si>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</si>
  <si>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</si>
  <si>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</si>
  <si>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</si>
  <si>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</si>
  <si>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</si>
  <si>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</si>
  <si>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</si>
  <si>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</si>
  <si>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</si>
  <si>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</si>
  <si>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</si>
  <si>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</si>
  <si>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</si>
  <si>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</si>
  <si>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</si>
  <si>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</si>
  <si>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</si>
  <si>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</si>
  <si>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</si>
  <si>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</si>
  <si>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</si>
  <si>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</si>
  <si>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</si>
  <si>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</si>
  <si>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</si>
  <si>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</si>
  <si>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</si>
  <si>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</si>
  <si>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</si>
  <si>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</si>
  <si>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</si>
  <si>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</si>
  <si>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</si>
  <si>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</si>
  <si>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</si>
  <si>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</si>
  <si>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</si>
  <si>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</si>
  <si>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</si>
  <si>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</si>
  <si>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</si>
  <si>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</si>
  <si>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</si>
  <si>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</si>
  <si>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</si>
  <si>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</si>
  <si>
    <t>MFSP OPEX summary</t>
  </si>
  <si>
    <t>Direct use as VAR OPEX Feedstock in AeroMAPS</t>
  </si>
  <si>
    <t>Use as feedstock cost in aeromaps</t>
  </si>
  <si>
    <t>Use as CAPEX in AeroMAPS</t>
  </si>
  <si>
    <t>FT-Others (= residue + Biomass</t>
  </si>
  <si>
    <t>FT-Others</t>
  </si>
  <si>
    <t xml:space="preserve">Feedstock Cost (€2020 /MJ) - Median Plant Efficiency - 35.3 MJ/L </t>
  </si>
  <si>
    <t>Feedstock Cost Summary [E/MJ input)</t>
  </si>
  <si>
    <t>Feedstock Cost Summary [€/MJ input]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</si>
</sst>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  <numFmt numFmtId="168" formatCode="_-* #,##0\ &quot;€&quot;_-;\-* #,##0\ &quot;€&quot;_-;_-* &quot;-&quot;??\ &quot;€&quot;_-;_-@_-"/>
    <numFmt numFmtId="169" formatCode="_-[$$-409]* #,##0.00_ ;_-[$$-409]* \-#,##0.00\ ;_-[$$-409]* &quot;-&quot;??_ ;_-@_ "/>
    <numFmt numFmtId="170" formatCode="_-* #,##0.00\ [$€-40C]_-;\-* #,##0.00\ [$€-40C]_-;_-* &quot;-&quot;??\ [$€-40C]_-;_-@_-"/>
    <numFmt numFmtId="171" formatCode="0.0000"/>
    <numFmt numFmtId="172" formatCode="_-* #,##0.0000\ &quot;€&quot;_-;\-* #,##0.0000\ &quot;€&quot;_-;_-* &quot;-&quot;????\ &quot;€&quot;_-;_-@_-"/>
    <numFmt numFmtId="173" formatCode="_-* #,##0.000000\ &quot;€&quot;_-;\-* #,##0.0000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610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6" borderId="9" xfId="0" applyFill="1" applyBorder="1"/>
    <xf numFmtId="166" fontId="0" fillId="0" borderId="1" xfId="0" applyNumberFormat="1" applyBorder="1"/>
    <xf numFmtId="0" fontId="0" fillId="0" borderId="5" xfId="0" applyBorder="1"/>
    <xf numFmtId="0" fontId="13" fillId="6" borderId="0" xfId="0" applyFont="1" applyFill="1" applyBorder="1"/>
    <xf numFmtId="0" fontId="13" fillId="6" borderId="9" xfId="0" applyFont="1" applyFill="1" applyBorder="1"/>
    <xf numFmtId="0" fontId="0" fillId="0" borderId="8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Fill="1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4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44" fontId="0" fillId="0" borderId="9" xfId="2" applyFont="1" applyBorder="1"/>
    <xf numFmtId="0" fontId="0" fillId="0" borderId="27" xfId="0" applyBorder="1"/>
    <xf numFmtId="0" fontId="0" fillId="0" borderId="4" xfId="0" applyBorder="1"/>
    <xf numFmtId="44" fontId="0" fillId="0" borderId="20" xfId="2" applyFont="1" applyBorder="1"/>
    <xf numFmtId="44" fontId="0" fillId="0" borderId="6" xfId="2" applyFont="1" applyBorder="1"/>
    <xf numFmtId="0" fontId="0" fillId="0" borderId="22" xfId="0" applyBorder="1"/>
    <xf numFmtId="44" fontId="0" fillId="0" borderId="21" xfId="2" applyFont="1" applyBorder="1"/>
    <xf numFmtId="44" fontId="0" fillId="0" borderId="10" xfId="2" applyFont="1" applyBorder="1"/>
    <xf numFmtId="0" fontId="0" fillId="0" borderId="21" xfId="0" applyFill="1" applyBorder="1"/>
    <xf numFmtId="44" fontId="0" fillId="0" borderId="23" xfId="2" applyFont="1" applyBorder="1"/>
    <xf numFmtId="44" fontId="0" fillId="0" borderId="23" xfId="2" applyFont="1" applyBorder="1" applyAlignment="1">
      <alignment vertical="center" wrapText="1"/>
    </xf>
    <xf numFmtId="0" fontId="0" fillId="0" borderId="10" xfId="0" applyFill="1" applyBorder="1"/>
    <xf numFmtId="44" fontId="0" fillId="0" borderId="19" xfId="2" applyFont="1" applyBorder="1" applyAlignment="1">
      <alignment vertical="center" wrapText="1"/>
    </xf>
    <xf numFmtId="44" fontId="0" fillId="0" borderId="20" xfId="2" applyFont="1" applyFill="1" applyBorder="1" applyAlignment="1">
      <alignment wrapText="1"/>
    </xf>
    <xf numFmtId="44" fontId="0" fillId="0" borderId="6" xfId="2" applyFont="1" applyFill="1" applyBorder="1" applyAlignment="1">
      <alignment wrapText="1"/>
    </xf>
    <xf numFmtId="4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2" xfId="0" applyFill="1" applyBorder="1"/>
    <xf numFmtId="44" fontId="0" fillId="0" borderId="3" xfId="2" applyFont="1" applyFill="1" applyBorder="1"/>
    <xf numFmtId="44" fontId="0" fillId="0" borderId="4" xfId="2" applyFont="1" applyFill="1" applyBorder="1"/>
    <xf numFmtId="44" fontId="0" fillId="0" borderId="2" xfId="2" applyFont="1" applyFill="1" applyBorder="1" applyAlignment="1">
      <alignment wrapText="1"/>
    </xf>
    <xf numFmtId="44" fontId="0" fillId="0" borderId="3" xfId="2" applyFont="1" applyFill="1" applyBorder="1" applyAlignment="1">
      <alignment wrapText="1"/>
    </xf>
    <xf numFmtId="4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 applyBorder="1"/>
    <xf numFmtId="44" fontId="0" fillId="0" borderId="21" xfId="2" applyFont="1" applyBorder="1" applyAlignment="1">
      <alignment vertical="center" wrapText="1"/>
    </xf>
    <xf numFmtId="4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 applyBorder="1"/>
    <xf numFmtId="1" fontId="0" fillId="0" borderId="9" xfId="0" applyNumberFormat="1" applyBorder="1"/>
    <xf numFmtId="44" fontId="16" fillId="0" borderId="0" xfId="0" applyNumberFormat="1" applyFont="1" applyBorder="1"/>
    <xf numFmtId="44" fontId="0" fillId="0" borderId="0" xfId="0" applyNumberFormat="1" applyBorder="1"/>
    <xf numFmtId="0" fontId="0" fillId="0" borderId="5" xfId="0" applyFill="1" applyBorder="1"/>
    <xf numFmtId="0" fontId="0" fillId="6" borderId="0" xfId="0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44" fontId="0" fillId="0" borderId="22" xfId="2" applyFont="1" applyBorder="1"/>
    <xf numFmtId="44" fontId="0" fillId="0" borderId="6" xfId="2" applyFont="1" applyFill="1" applyBorder="1"/>
    <xf numFmtId="44" fontId="0" fillId="0" borderId="22" xfId="2" applyFont="1" applyFill="1" applyBorder="1"/>
    <xf numFmtId="0" fontId="0" fillId="0" borderId="1" xfId="0" applyFill="1" applyBorder="1"/>
    <xf numFmtId="44" fontId="0" fillId="0" borderId="20" xfId="2" applyFont="1" applyFill="1" applyBorder="1"/>
    <xf numFmtId="0" fontId="0" fillId="6" borderId="15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8" xfId="0" applyBorder="1"/>
    <xf numFmtId="0" fontId="0" fillId="0" borderId="31" xfId="0" applyFill="1" applyBorder="1"/>
    <xf numFmtId="0" fontId="0" fillId="0" borderId="35" xfId="0" applyFill="1" applyBorder="1"/>
    <xf numFmtId="0" fontId="0" fillId="0" borderId="40" xfId="0" applyFill="1" applyBorder="1"/>
    <xf numFmtId="4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Border="1" applyAlignment="1">
      <alignment vertical="center"/>
    </xf>
    <xf numFmtId="0" fontId="17" fillId="6" borderId="0" xfId="0" applyFont="1" applyFill="1" applyBorder="1"/>
    <xf numFmtId="0" fontId="1" fillId="5" borderId="1" xfId="0" applyFont="1" applyFill="1" applyBorder="1" applyAlignment="1">
      <alignment vertical="center"/>
    </xf>
    <xf numFmtId="4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0" fillId="0" borderId="25" xfId="0" applyFill="1" applyBorder="1"/>
    <xf numFmtId="4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6" fontId="0" fillId="0" borderId="7" xfId="0" applyNumberFormat="1" applyBorder="1"/>
    <xf numFmtId="9" fontId="3" fillId="0" borderId="5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0" xfId="2" applyFont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0" borderId="21" xfId="0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2" fontId="0" fillId="0" borderId="9" xfId="0" applyNumberFormat="1" applyFill="1" applyBorder="1"/>
    <xf numFmtId="44" fontId="0" fillId="0" borderId="21" xfId="0" applyNumberFormat="1" applyBorder="1"/>
    <xf numFmtId="164" fontId="0" fillId="0" borderId="21" xfId="3" applyFont="1" applyBorder="1"/>
    <xf numFmtId="164" fontId="6" fillId="0" borderId="23" xfId="3" applyFont="1" applyBorder="1"/>
    <xf numFmtId="0" fontId="0" fillId="0" borderId="41" xfId="0" applyBorder="1"/>
    <xf numFmtId="164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4" fontId="6" fillId="6" borderId="5" xfId="3" applyFont="1" applyFill="1" applyBorder="1"/>
    <xf numFmtId="164" fontId="6" fillId="6" borderId="8" xfId="3" applyFont="1" applyFill="1" applyBorder="1"/>
    <xf numFmtId="164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Fill="1" applyBorder="1" applyAlignment="1">
      <alignment wrapText="1"/>
    </xf>
    <xf numFmtId="2" fontId="0" fillId="0" borderId="15" xfId="0" applyNumberFormat="1" applyFill="1" applyBorder="1"/>
    <xf numFmtId="0" fontId="0" fillId="0" borderId="41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38" xfId="0" applyNumberFormat="1" applyFill="1" applyBorder="1"/>
    <xf numFmtId="0" fontId="0" fillId="0" borderId="44" xfId="0" applyBorder="1" applyAlignment="1">
      <alignment horizontal="center" vertical="center"/>
    </xf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64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7" fontId="0" fillId="0" borderId="0" xfId="3" applyNumberFormat="1" applyFont="1"/>
    <xf numFmtId="168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69" fontId="26" fillId="15" borderId="53" xfId="2" applyNumberFormat="1" applyFont="1" applyFill="1" applyBorder="1"/>
    <xf numFmtId="170" fontId="27" fillId="15" borderId="53" xfId="2" applyNumberFormat="1" applyFont="1" applyFill="1" applyBorder="1"/>
    <xf numFmtId="170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69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0" fontId="27" fillId="15" borderId="53" xfId="0" applyNumberFormat="1" applyFont="1" applyFill="1" applyBorder="1"/>
    <xf numFmtId="170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69" fontId="30" fillId="17" borderId="53" xfId="2" applyNumberFormat="1" applyFont="1" applyFill="1" applyBorder="1"/>
    <xf numFmtId="4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69" fontId="30" fillId="18" borderId="53" xfId="2" applyNumberFormat="1" applyFont="1" applyFill="1" applyBorder="1"/>
    <xf numFmtId="4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69" fontId="30" fillId="18" borderId="58" xfId="2" applyNumberFormat="1" applyFont="1" applyFill="1" applyBorder="1"/>
    <xf numFmtId="4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Fill="1" applyBorder="1"/>
    <xf numFmtId="44" fontId="0" fillId="0" borderId="19" xfId="2" applyFont="1" applyBorder="1"/>
    <xf numFmtId="164" fontId="0" fillId="0" borderId="0" xfId="3" applyFont="1"/>
    <xf numFmtId="2" fontId="0" fillId="0" borderId="0" xfId="0" applyNumberFormat="1" applyBorder="1"/>
    <xf numFmtId="0" fontId="0" fillId="0" borderId="10" xfId="0" applyBorder="1"/>
    <xf numFmtId="2" fontId="0" fillId="0" borderId="9" xfId="0" applyNumberFormat="1" applyBorder="1"/>
    <xf numFmtId="44" fontId="0" fillId="0" borderId="9" xfId="0" applyNumberFormat="1" applyBorder="1"/>
    <xf numFmtId="44" fontId="0" fillId="0" borderId="5" xfId="2" applyFont="1" applyBorder="1" applyAlignment="1">
      <alignment vertical="center" wrapText="1"/>
    </xf>
    <xf numFmtId="44" fontId="0" fillId="0" borderId="0" xfId="0" applyNumberFormat="1"/>
    <xf numFmtId="2" fontId="0" fillId="0" borderId="0" xfId="0" applyNumberFormat="1"/>
    <xf numFmtId="44" fontId="0" fillId="6" borderId="0" xfId="2" applyFont="1" applyFill="1" applyBorder="1"/>
    <xf numFmtId="44" fontId="0" fillId="6" borderId="23" xfId="2" applyFont="1" applyFill="1" applyBorder="1"/>
    <xf numFmtId="44" fontId="0" fillId="0" borderId="8" xfId="0" applyNumberFormat="1" applyFill="1" applyBorder="1"/>
    <xf numFmtId="171" fontId="0" fillId="0" borderId="8" xfId="0" applyNumberFormat="1" applyFill="1" applyBorder="1"/>
    <xf numFmtId="172" fontId="0" fillId="0" borderId="0" xfId="2" applyNumberFormat="1" applyFont="1" applyBorder="1"/>
    <xf numFmtId="172" fontId="0" fillId="0" borderId="23" xfId="2" applyNumberFormat="1" applyFont="1" applyBorder="1"/>
    <xf numFmtId="172" fontId="0" fillId="0" borderId="9" xfId="2" applyNumberFormat="1" applyFont="1" applyBorder="1"/>
    <xf numFmtId="172" fontId="0" fillId="0" borderId="19" xfId="2" applyNumberFormat="1" applyFont="1" applyBorder="1"/>
    <xf numFmtId="44" fontId="0" fillId="6" borderId="21" xfId="2" applyFont="1" applyFill="1" applyBorder="1"/>
    <xf numFmtId="0" fontId="0" fillId="6" borderId="0" xfId="0" applyFill="1"/>
    <xf numFmtId="44" fontId="0" fillId="6" borderId="6" xfId="2" applyFont="1" applyFill="1" applyBorder="1" applyAlignment="1">
      <alignment vertical="center"/>
    </xf>
    <xf numFmtId="44" fontId="0" fillId="6" borderId="22" xfId="2" applyFont="1" applyFill="1" applyBorder="1" applyAlignment="1">
      <alignment vertical="center"/>
    </xf>
    <xf numFmtId="171" fontId="0" fillId="0" borderId="7" xfId="0" applyNumberFormat="1" applyFill="1" applyBorder="1"/>
    <xf numFmtId="44" fontId="0" fillId="0" borderId="8" xfId="2" applyFont="1" applyBorder="1" applyAlignment="1">
      <alignment vertical="center" wrapText="1"/>
    </xf>
    <xf numFmtId="0" fontId="0" fillId="6" borderId="0" xfId="0" applyFill="1" applyBorder="1" applyAlignment="1">
      <alignment vertical="center"/>
    </xf>
    <xf numFmtId="44" fontId="0" fillId="0" borderId="22" xfId="2" applyFont="1" applyBorder="1" applyAlignment="1">
      <alignment vertical="center" wrapText="1"/>
    </xf>
    <xf numFmtId="44" fontId="0" fillId="0" borderId="7" xfId="2" applyFont="1" applyBorder="1" applyAlignment="1">
      <alignment vertical="center" wrapText="1"/>
    </xf>
    <xf numFmtId="171" fontId="0" fillId="0" borderId="1" xfId="0" applyNumberFormat="1" applyFill="1" applyBorder="1" applyAlignment="1">
      <alignment wrapText="1"/>
    </xf>
    <xf numFmtId="44" fontId="0" fillId="0" borderId="7" xfId="0" applyNumberFormat="1" applyFill="1" applyBorder="1"/>
    <xf numFmtId="0" fontId="0" fillId="0" borderId="20" xfId="0" applyBorder="1"/>
    <xf numFmtId="44" fontId="0" fillId="6" borderId="0" xfId="2" applyFont="1" applyFill="1" applyBorder="1" applyAlignment="1">
      <alignment wrapText="1"/>
    </xf>
    <xf numFmtId="44" fontId="0" fillId="6" borderId="21" xfId="2" applyFont="1" applyFill="1" applyBorder="1" applyAlignment="1">
      <alignment wrapText="1"/>
    </xf>
    <xf numFmtId="44" fontId="0" fillId="6" borderId="23" xfId="2" applyFont="1" applyFill="1" applyBorder="1" applyAlignment="1">
      <alignment wrapText="1"/>
    </xf>
    <xf numFmtId="44" fontId="0" fillId="6" borderId="9" xfId="2" applyFont="1" applyFill="1" applyBorder="1" applyAlignment="1">
      <alignment wrapText="1"/>
    </xf>
    <xf numFmtId="44" fontId="0" fillId="6" borderId="19" xfId="2" applyFont="1" applyFill="1" applyBorder="1" applyAlignment="1">
      <alignment wrapText="1"/>
    </xf>
    <xf numFmtId="172" fontId="0" fillId="0" borderId="21" xfId="2" applyNumberFormat="1" applyFont="1" applyBorder="1" applyAlignment="1">
      <alignment vertical="center" wrapText="1"/>
    </xf>
    <xf numFmtId="172" fontId="0" fillId="0" borderId="10" xfId="2" applyNumberFormat="1" applyFont="1" applyBorder="1" applyAlignment="1">
      <alignment vertical="center" wrapText="1"/>
    </xf>
    <xf numFmtId="172" fontId="0" fillId="0" borderId="5" xfId="0" applyNumberFormat="1" applyFill="1" applyBorder="1"/>
    <xf numFmtId="172" fontId="0" fillId="0" borderId="8" xfId="0" applyNumberFormat="1" applyFill="1" applyBorder="1"/>
    <xf numFmtId="172" fontId="0" fillId="0" borderId="7" xfId="0" applyNumberFormat="1" applyFill="1" applyBorder="1"/>
    <xf numFmtId="173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44" fontId="0" fillId="19" borderId="20" xfId="2" applyFont="1" applyFill="1" applyBorder="1" applyAlignment="1">
      <alignment horizontal="center" vertical="center"/>
    </xf>
    <xf numFmtId="44" fontId="0" fillId="19" borderId="6" xfId="2" applyFont="1" applyFill="1" applyBorder="1" applyAlignment="1">
      <alignment horizontal="center" vertical="center"/>
    </xf>
    <xf numFmtId="44" fontId="0" fillId="19" borderId="22" xfId="2" applyFont="1" applyFill="1" applyBorder="1" applyAlignment="1">
      <alignment horizontal="center" vertical="center"/>
    </xf>
    <xf numFmtId="44" fontId="0" fillId="19" borderId="10" xfId="2" applyFont="1" applyFill="1" applyBorder="1" applyAlignment="1">
      <alignment horizontal="center" vertical="center"/>
    </xf>
    <xf numFmtId="44" fontId="0" fillId="19" borderId="9" xfId="2" applyFont="1" applyFill="1" applyBorder="1" applyAlignment="1">
      <alignment horizontal="center" vertical="center"/>
    </xf>
    <xf numFmtId="44" fontId="0" fillId="19" borderId="19" xfId="2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44" fontId="0" fillId="19" borderId="21" xfId="2" applyFont="1" applyFill="1" applyBorder="1" applyAlignment="1">
      <alignment horizontal="center" vertical="center"/>
    </xf>
    <xf numFmtId="44" fontId="0" fillId="19" borderId="0" xfId="2" applyFont="1" applyFill="1" applyBorder="1" applyAlignment="1">
      <alignment horizontal="center" vertical="center"/>
    </xf>
    <xf numFmtId="44" fontId="0" fillId="19" borderId="23" xfId="2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37" xfId="0" applyFont="1" applyFill="1" applyBorder="1" applyAlignment="1">
      <alignment horizontal="center" vertical="center" wrapText="1"/>
    </xf>
    <xf numFmtId="0" fontId="0" fillId="19" borderId="21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44" fontId="0" fillId="19" borderId="10" xfId="2" applyFont="1" applyFill="1" applyBorder="1" applyAlignment="1">
      <alignment horizontal="center" wrapText="1"/>
    </xf>
    <xf numFmtId="44" fontId="0" fillId="19" borderId="9" xfId="2" applyFont="1" applyFill="1" applyBorder="1" applyAlignment="1">
      <alignment horizontal="center" wrapText="1"/>
    </xf>
    <xf numFmtId="44" fontId="0" fillId="19" borderId="19" xfId="2" applyFont="1" applyFill="1" applyBorder="1" applyAlignment="1">
      <alignment horizontal="center" wrapText="1"/>
    </xf>
    <xf numFmtId="0" fontId="0" fillId="19" borderId="2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Analysis-FT'!$A$64:$B$64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_("€"* #,##0.00_);_("€"* \(#,##0.00\);_("€"* "-"??_);_(@_)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Analysis-FT'!$A$65:$B$65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_("€"* #,##0.00_);_("€"* \(#,##0.00\);_("€"* "-"??_);_(@_)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Analysis-FT'!$A$66:$B$66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Analysis-FT'!$C$66:$E$66</c:f>
              <c:numCache>
                <c:formatCode>_("€"* #,##0.00_);_("€"* \(#,##0.00\);_("€"* "-"??_);_(@_)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Analysis-FT'!$A$67:$B$67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Analysis-FT'!$C$67:$E$67</c:f>
              <c:numCache>
                <c:formatCode>_("€"* #,##0.00_);_("€"* \(#,##0.00\);_("€"* "-"??_);_(@_)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Analysis-FT'!$A$68:$B$68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Analysis-FT'!$C$68:$E$68</c:f>
              <c:numCache>
                <c:formatCode>_("€"* #,##0.00_);_("€"* \(#,##0.00\);_("€"* "-"??_);_(@_)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Analysis-FT'!$A$69:$B$69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Analysis-FT'!$C$69:$E$69</c:f>
              <c:numCache>
                <c:formatCode>_("€"* #,##0.00_);_("€"* \(#,##0.00\);_("€"* "-"??_);_(@_)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Analysis-FT'!$A$70:$B$70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Analysis-FT'!$C$70:$E$70</c:f>
              <c:numCache>
                <c:formatCode>_("€"* #,##0.00_);_("€"* \(#,##0.00\);_("€"* "-"??_);_(@_)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Analysis-FT'!$A$71:$B$71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Analysis-FT'!$C$71:$E$71</c:f>
              <c:numCache>
                <c:formatCode>_("€"* #,##0.00_);_("€"* \(#,##0.00\);_("€"* "-"??_);_(@_)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Analysis-FT'!$A$72:$B$72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Analysis-FT'!$C$72:$E$72</c:f>
              <c:numCache>
                <c:formatCode>_("€"* #,##0.00_);_("€"* \(#,##0.00\);_("€"* "-"??_);_(@_)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74</xdr:row>
      <xdr:rowOff>132397</xdr:rowOff>
    </xdr:from>
    <xdr:to>
      <xdr:col>3</xdr:col>
      <xdr:colOff>805815</xdr:colOff>
      <xdr:row>95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30" sqref="C30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419" t="s">
        <v>210</v>
      </c>
      <c r="B1" s="419"/>
      <c r="D1" s="420" t="s">
        <v>112</v>
      </c>
      <c r="E1" s="420"/>
      <c r="F1" s="420"/>
    </row>
    <row r="2" spans="1:6" x14ac:dyDescent="0.25">
      <c r="A2" s="419"/>
      <c r="B2" s="419"/>
      <c r="D2" s="20" t="s">
        <v>7</v>
      </c>
      <c r="E2" s="418" t="s">
        <v>38</v>
      </c>
      <c r="F2" s="418"/>
    </row>
    <row r="3" spans="1:6" x14ac:dyDescent="0.25">
      <c r="A3" s="419"/>
      <c r="B3" s="419"/>
      <c r="D3" s="20" t="s">
        <v>10</v>
      </c>
      <c r="E3" s="418" t="s">
        <v>40</v>
      </c>
      <c r="F3" s="418"/>
    </row>
    <row r="4" spans="1:6" x14ac:dyDescent="0.25">
      <c r="A4" s="419"/>
      <c r="B4" s="419"/>
      <c r="D4" s="20" t="s">
        <v>8</v>
      </c>
      <c r="E4" s="418" t="s">
        <v>39</v>
      </c>
      <c r="F4" s="418"/>
    </row>
    <row r="5" spans="1:6" x14ac:dyDescent="0.25">
      <c r="A5" s="419"/>
      <c r="B5" s="419"/>
      <c r="D5" s="20" t="s">
        <v>32</v>
      </c>
      <c r="E5" s="418" t="s">
        <v>41</v>
      </c>
      <c r="F5" s="418"/>
    </row>
    <row r="6" spans="1:6" x14ac:dyDescent="0.25">
      <c r="A6" s="419"/>
      <c r="B6" s="419"/>
      <c r="D6" s="20" t="s">
        <v>33</v>
      </c>
      <c r="E6" s="418" t="s">
        <v>42</v>
      </c>
      <c r="F6" s="418"/>
    </row>
    <row r="7" spans="1:6" x14ac:dyDescent="0.25">
      <c r="A7" s="419"/>
      <c r="B7" s="419"/>
      <c r="D7" s="20" t="s">
        <v>45</v>
      </c>
      <c r="E7" s="418" t="s">
        <v>46</v>
      </c>
      <c r="F7" s="418"/>
    </row>
    <row r="8" spans="1:6" x14ac:dyDescent="0.25">
      <c r="A8" s="419"/>
      <c r="B8" s="419"/>
      <c r="D8" s="20" t="s">
        <v>35</v>
      </c>
      <c r="E8" s="418" t="s">
        <v>43</v>
      </c>
      <c r="F8" s="418"/>
    </row>
    <row r="9" spans="1:6" x14ac:dyDescent="0.25">
      <c r="A9" s="419"/>
      <c r="B9" s="419"/>
      <c r="D9" s="20" t="s">
        <v>36</v>
      </c>
      <c r="E9" s="418" t="s">
        <v>50</v>
      </c>
      <c r="F9" s="418"/>
    </row>
    <row r="10" spans="1:6" x14ac:dyDescent="0.25">
      <c r="A10" s="419"/>
      <c r="B10" s="419"/>
      <c r="D10" s="20" t="s">
        <v>37</v>
      </c>
      <c r="E10" s="418" t="s">
        <v>44</v>
      </c>
      <c r="F10" s="418"/>
    </row>
    <row r="11" spans="1:6" x14ac:dyDescent="0.25">
      <c r="A11" s="419"/>
      <c r="B11" s="419"/>
      <c r="D11" s="20" t="s">
        <v>48</v>
      </c>
      <c r="E11" s="418" t="s">
        <v>47</v>
      </c>
      <c r="F11" s="418"/>
    </row>
    <row r="12" spans="1:6" x14ac:dyDescent="0.25">
      <c r="A12" s="2"/>
      <c r="B12" s="65"/>
      <c r="C12" s="65"/>
      <c r="D12" s="65"/>
      <c r="E12" s="65"/>
      <c r="F12" s="65"/>
    </row>
    <row r="13" spans="1:6" x14ac:dyDescent="0.25">
      <c r="A13" s="421" t="s">
        <v>20</v>
      </c>
      <c r="B13" s="422"/>
      <c r="C13" s="422"/>
      <c r="D13" s="422"/>
      <c r="E13" s="422"/>
      <c r="F13" s="423"/>
    </row>
    <row r="14" spans="1:6" x14ac:dyDescent="0.25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x14ac:dyDescent="0.25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x14ac:dyDescent="0.25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x14ac:dyDescent="0.25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x14ac:dyDescent="0.25">
      <c r="A18" s="5"/>
      <c r="B18" s="1"/>
      <c r="C18" s="1"/>
      <c r="D18" s="1"/>
      <c r="E18" s="1"/>
      <c r="F18" s="1"/>
    </row>
    <row r="19" spans="1:6" x14ac:dyDescent="0.25">
      <c r="A19" s="424" t="s">
        <v>23</v>
      </c>
      <c r="B19" s="425"/>
      <c r="C19" s="425"/>
      <c r="D19" s="425"/>
      <c r="E19" s="426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456</v>
      </c>
      <c r="C21" s="6" t="s">
        <v>282</v>
      </c>
      <c r="D21" s="83" t="s">
        <v>418</v>
      </c>
      <c r="E21" s="83" t="s">
        <v>417</v>
      </c>
      <c r="F21" s="4"/>
    </row>
    <row r="22" spans="1:6" x14ac:dyDescent="0.25">
      <c r="A22" s="11" t="s">
        <v>22</v>
      </c>
      <c r="B22" s="427" t="s">
        <v>308</v>
      </c>
      <c r="C22" s="428"/>
      <c r="D22" s="428"/>
      <c r="E22" s="429"/>
      <c r="F22" s="1"/>
    </row>
    <row r="23" spans="1:6" x14ac:dyDescent="0.25">
      <c r="A23" s="5"/>
      <c r="B23" s="3"/>
      <c r="C23" s="3"/>
      <c r="D23" s="4"/>
      <c r="E23" s="4"/>
      <c r="F23" s="1"/>
    </row>
    <row r="24" spans="1:6" x14ac:dyDescent="0.25">
      <c r="A24" s="424" t="s">
        <v>309</v>
      </c>
      <c r="B24" s="425"/>
      <c r="C24" s="425"/>
      <c r="D24" s="425"/>
      <c r="E24" s="426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416</v>
      </c>
      <c r="F26" s="4"/>
    </row>
    <row r="27" spans="1:6" x14ac:dyDescent="0.25">
      <c r="A27" s="5"/>
      <c r="B27" s="3"/>
      <c r="C27" s="3"/>
      <c r="D27" s="4"/>
      <c r="E27" s="4"/>
      <c r="F27" s="4"/>
    </row>
    <row r="28" spans="1:6" x14ac:dyDescent="0.25">
      <c r="A28" s="424" t="s">
        <v>29</v>
      </c>
      <c r="B28" s="425"/>
      <c r="C28" s="425"/>
      <c r="D28" s="425"/>
      <c r="E28" s="425"/>
      <c r="F28" s="426"/>
    </row>
    <row r="29" spans="1:6" x14ac:dyDescent="0.25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x14ac:dyDescent="0.25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x14ac:dyDescent="0.25">
      <c r="A31" s="11" t="s">
        <v>26</v>
      </c>
      <c r="B31" s="8"/>
      <c r="C31" s="8"/>
      <c r="D31" s="8"/>
      <c r="E31" s="8"/>
      <c r="F31" s="8"/>
    </row>
    <row r="32" spans="1:6" x14ac:dyDescent="0.25">
      <c r="A32" s="5"/>
      <c r="B32" s="9"/>
      <c r="C32" s="9"/>
      <c r="D32" s="9"/>
      <c r="E32" s="4"/>
      <c r="F32" s="4"/>
    </row>
    <row r="33" spans="1:6" x14ac:dyDescent="0.25">
      <c r="A33" s="424" t="s">
        <v>113</v>
      </c>
      <c r="B33" s="425"/>
      <c r="C33" s="425"/>
      <c r="D33" s="426"/>
      <c r="E33" s="4"/>
      <c r="F33" s="4"/>
    </row>
    <row r="34" spans="1:6" x14ac:dyDescent="0.25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x14ac:dyDescent="0.25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x14ac:dyDescent="0.25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x14ac:dyDescent="0.25">
      <c r="C38" s="13"/>
      <c r="D38" s="13"/>
    </row>
  </sheetData>
  <mergeCells count="18">
    <mergeCell ref="A13:F13"/>
    <mergeCell ref="A19:E19"/>
    <mergeCell ref="A24:E24"/>
    <mergeCell ref="A28:F28"/>
    <mergeCell ref="A33:D33"/>
    <mergeCell ref="B22:E22"/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9"/>
  <sheetViews>
    <sheetView topLeftCell="A39" zoomScale="85" zoomScaleNormal="85" workbookViewId="0">
      <selection activeCell="F49" sqref="F49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16.7109375" customWidth="1"/>
    <col min="5" max="5" width="19.7109375" customWidth="1"/>
    <col min="6" max="6" width="23.85546875" customWidth="1"/>
    <col min="7" max="7" width="20.28515625" customWidth="1"/>
    <col min="8" max="8" width="20.4257812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09" t="s">
        <v>539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1"/>
    </row>
    <row r="2" spans="1:12" ht="14.45" customHeight="1" x14ac:dyDescent="0.25">
      <c r="A2" s="512"/>
      <c r="B2" s="513"/>
      <c r="C2" s="513"/>
      <c r="D2" s="513"/>
      <c r="E2" s="513"/>
      <c r="F2" s="513"/>
      <c r="G2" s="513"/>
      <c r="H2" s="513"/>
      <c r="I2" s="513"/>
      <c r="J2" s="513"/>
      <c r="K2" s="513"/>
      <c r="L2" s="514"/>
    </row>
    <row r="3" spans="1:12" x14ac:dyDescent="0.25">
      <c r="A3" s="515" t="s">
        <v>314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7"/>
    </row>
    <row r="4" spans="1:12" x14ac:dyDescent="0.25">
      <c r="A4" s="481" t="s">
        <v>420</v>
      </c>
      <c r="B4" s="482"/>
      <c r="C4" s="483"/>
      <c r="D4" s="141"/>
      <c r="E4" s="518"/>
      <c r="F4" s="518"/>
      <c r="G4" s="518"/>
      <c r="H4" s="141"/>
      <c r="I4" s="518"/>
      <c r="J4" s="518"/>
      <c r="K4" s="518"/>
      <c r="L4" s="24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523" t="s">
        <v>563</v>
      </c>
    </row>
    <row r="6" spans="1:12" x14ac:dyDescent="0.25">
      <c r="A6" s="248">
        <v>0.4</v>
      </c>
      <c r="B6" s="243">
        <v>0.46</v>
      </c>
      <c r="C6" s="243">
        <v>0.49</v>
      </c>
      <c r="D6" s="141"/>
      <c r="E6" s="212"/>
      <c r="F6" s="212"/>
      <c r="G6" s="212"/>
      <c r="H6" s="141"/>
      <c r="I6" s="212"/>
      <c r="J6" s="212"/>
      <c r="K6" s="212"/>
      <c r="L6" s="524"/>
    </row>
    <row r="7" spans="1:12" x14ac:dyDescent="0.25">
      <c r="A7" s="515" t="s">
        <v>461</v>
      </c>
      <c r="B7" s="516"/>
      <c r="C7" s="516"/>
      <c r="D7" s="516"/>
      <c r="E7" s="516"/>
      <c r="F7" s="516"/>
      <c r="G7" s="516"/>
      <c r="H7" s="516"/>
      <c r="I7" s="516"/>
      <c r="J7" s="516"/>
      <c r="K7" s="516"/>
      <c r="L7" s="517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x14ac:dyDescent="0.25">
      <c r="A9" s="519" t="s">
        <v>565</v>
      </c>
      <c r="B9" s="250" t="s">
        <v>566</v>
      </c>
      <c r="C9" s="252" t="s">
        <v>9</v>
      </c>
      <c r="D9" s="139">
        <v>27.8</v>
      </c>
      <c r="E9" s="253" t="s">
        <v>9</v>
      </c>
      <c r="F9" s="90"/>
      <c r="G9" s="251"/>
      <c r="H9" s="254">
        <f>D9*35.3</f>
        <v>981.33999999999992</v>
      </c>
      <c r="I9" s="251"/>
      <c r="J9" s="141"/>
      <c r="K9" s="141"/>
      <c r="L9" s="245"/>
    </row>
    <row r="10" spans="1:12" ht="30" x14ac:dyDescent="0.25">
      <c r="A10" s="520"/>
      <c r="B10" s="151" t="s">
        <v>203</v>
      </c>
      <c r="C10" s="252">
        <v>0.3</v>
      </c>
      <c r="D10" s="139">
        <v>7.7</v>
      </c>
      <c r="E10" s="253">
        <v>12.6</v>
      </c>
      <c r="F10" s="202" t="s">
        <v>514</v>
      </c>
      <c r="G10" s="139">
        <f>C10*35.3</f>
        <v>10.589999999999998</v>
      </c>
      <c r="H10" s="139">
        <f>D10*35.3</f>
        <v>271.81</v>
      </c>
      <c r="I10" s="139">
        <f>E10*35.3</f>
        <v>444.78</v>
      </c>
      <c r="J10" s="142"/>
      <c r="K10" s="142"/>
      <c r="L10" s="167" t="s">
        <v>567</v>
      </c>
    </row>
    <row r="11" spans="1:12" ht="18" customHeight="1" x14ac:dyDescent="0.25">
      <c r="A11" s="525" t="s">
        <v>489</v>
      </c>
      <c r="B11" s="526"/>
      <c r="C11" s="527">
        <v>86.8</v>
      </c>
      <c r="D11" s="528"/>
      <c r="E11" s="529"/>
      <c r="F11" s="145"/>
      <c r="G11" s="527">
        <f>C11*35.3</f>
        <v>3064.0399999999995</v>
      </c>
      <c r="H11" s="528"/>
      <c r="I11" s="529"/>
      <c r="J11" s="141"/>
      <c r="K11" s="141"/>
      <c r="L11" s="167" t="s">
        <v>490</v>
      </c>
    </row>
    <row r="12" spans="1:12" x14ac:dyDescent="0.25">
      <c r="A12" s="515" t="s">
        <v>468</v>
      </c>
      <c r="B12" s="516"/>
      <c r="C12" s="516"/>
      <c r="D12" s="516"/>
      <c r="E12" s="516"/>
      <c r="F12" s="516"/>
      <c r="G12" s="516"/>
      <c r="H12" s="516"/>
      <c r="I12" s="516"/>
      <c r="J12" s="516"/>
      <c r="K12" s="516"/>
      <c r="L12" s="517"/>
    </row>
    <row r="13" spans="1:12" x14ac:dyDescent="0.25">
      <c r="A13" s="246" t="s">
        <v>466</v>
      </c>
      <c r="B13" s="247">
        <v>0.15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245" t="s">
        <v>462</v>
      </c>
    </row>
    <row r="14" spans="1:12" x14ac:dyDescent="0.25">
      <c r="A14" s="168" t="s">
        <v>467</v>
      </c>
      <c r="B14" s="143">
        <v>0.5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540</v>
      </c>
    </row>
    <row r="15" spans="1:12" x14ac:dyDescent="0.25">
      <c r="A15" s="515" t="s">
        <v>469</v>
      </c>
      <c r="B15" s="516"/>
      <c r="C15" s="516"/>
      <c r="D15" s="516"/>
      <c r="E15" s="516"/>
      <c r="F15" s="516"/>
      <c r="G15" s="516"/>
      <c r="H15" s="516"/>
      <c r="I15" s="516"/>
      <c r="J15" s="516"/>
      <c r="K15" s="516"/>
      <c r="L15" s="517"/>
    </row>
    <row r="16" spans="1:12" x14ac:dyDescent="0.25">
      <c r="A16" s="246" t="s">
        <v>471</v>
      </c>
      <c r="B16" s="157" t="s">
        <v>45</v>
      </c>
      <c r="C16" s="157" t="s">
        <v>35</v>
      </c>
      <c r="D16" s="157" t="s">
        <v>470</v>
      </c>
      <c r="E16" s="157" t="s">
        <v>37</v>
      </c>
      <c r="F16" s="157" t="s">
        <v>48</v>
      </c>
      <c r="G16" s="141"/>
      <c r="H16" s="141"/>
      <c r="I16" s="141"/>
      <c r="J16" s="141"/>
      <c r="K16" s="141"/>
      <c r="L16" s="245" t="s">
        <v>462</v>
      </c>
    </row>
    <row r="17" spans="1:12" x14ac:dyDescent="0.25">
      <c r="A17" s="17" t="s">
        <v>104</v>
      </c>
      <c r="B17" s="144">
        <v>9.48</v>
      </c>
      <c r="C17" s="144">
        <v>10.199999999999999</v>
      </c>
      <c r="D17" s="144">
        <v>11.55</v>
      </c>
      <c r="E17" s="144">
        <v>19.8</v>
      </c>
      <c r="F17" s="144">
        <v>27.3</v>
      </c>
      <c r="G17" s="141"/>
      <c r="H17" s="141"/>
      <c r="I17" s="141"/>
      <c r="J17" s="141"/>
      <c r="K17" s="141"/>
      <c r="L17" s="166"/>
    </row>
    <row r="18" spans="1:12" x14ac:dyDescent="0.25">
      <c r="A18" s="150" t="s">
        <v>1</v>
      </c>
      <c r="B18" s="144">
        <v>10</v>
      </c>
      <c r="C18" s="144">
        <v>29.6</v>
      </c>
      <c r="D18" s="144">
        <v>56.870000000000005</v>
      </c>
      <c r="E18" s="144">
        <v>102.9</v>
      </c>
      <c r="F18" s="144">
        <v>203.6</v>
      </c>
      <c r="G18" s="141"/>
      <c r="H18" s="141"/>
      <c r="I18" s="141"/>
      <c r="J18" s="141"/>
      <c r="K18" s="141"/>
      <c r="L18" s="166"/>
    </row>
    <row r="19" spans="1:12" x14ac:dyDescent="0.25">
      <c r="A19" s="150" t="s">
        <v>0</v>
      </c>
      <c r="B19" s="14">
        <v>5</v>
      </c>
      <c r="C19" s="14">
        <v>14.8</v>
      </c>
      <c r="D19" s="14">
        <v>17.12</v>
      </c>
      <c r="E19" s="14">
        <v>39.1</v>
      </c>
      <c r="F19" s="14">
        <v>59.47</v>
      </c>
      <c r="G19" s="141"/>
      <c r="H19" s="141"/>
      <c r="I19" s="141"/>
      <c r="J19" s="141"/>
      <c r="K19" s="141"/>
      <c r="L19" s="166"/>
    </row>
    <row r="20" spans="1:12" x14ac:dyDescent="0.25">
      <c r="A20" s="148" t="s">
        <v>34</v>
      </c>
      <c r="B20" s="158">
        <f>8*0.63</f>
        <v>5.04</v>
      </c>
      <c r="C20" s="158">
        <f>0.63*37</f>
        <v>23.31</v>
      </c>
      <c r="D20" s="158">
        <f>0.63*63</f>
        <v>39.69</v>
      </c>
      <c r="E20" s="158">
        <f>0.63*109</f>
        <v>68.67</v>
      </c>
      <c r="F20" s="158">
        <f>0.63*217</f>
        <v>136.71</v>
      </c>
      <c r="G20" s="142"/>
      <c r="H20" s="142"/>
      <c r="I20" s="142"/>
      <c r="J20" s="142"/>
      <c r="K20" s="142"/>
      <c r="L20" s="167" t="s">
        <v>472</v>
      </c>
    </row>
    <row r="21" spans="1:12" x14ac:dyDescent="0.25">
      <c r="A21" s="521" t="s">
        <v>473</v>
      </c>
      <c r="B21" s="516"/>
      <c r="C21" s="516"/>
      <c r="D21" s="516"/>
      <c r="E21" s="516"/>
      <c r="F21" s="516"/>
      <c r="G21" s="516"/>
      <c r="H21" s="516"/>
      <c r="I21" s="516"/>
      <c r="J21" s="516"/>
      <c r="K21" s="516"/>
      <c r="L21" s="522"/>
    </row>
    <row r="22" spans="1:12" ht="75" x14ac:dyDescent="0.25">
      <c r="A22" s="14" t="s">
        <v>227</v>
      </c>
      <c r="B22" s="160" t="s">
        <v>496</v>
      </c>
      <c r="C22" s="160" t="s">
        <v>493</v>
      </c>
      <c r="D22" s="160" t="s">
        <v>494</v>
      </c>
      <c r="E22" s="160" t="s">
        <v>495</v>
      </c>
      <c r="F22" s="161" t="s">
        <v>488</v>
      </c>
      <c r="G22" s="161" t="s">
        <v>487</v>
      </c>
      <c r="H22" s="180" t="s">
        <v>500</v>
      </c>
      <c r="I22" s="404" t="s">
        <v>847</v>
      </c>
      <c r="J22" s="201"/>
      <c r="K22" s="201"/>
      <c r="L22" s="166" t="s">
        <v>462</v>
      </c>
    </row>
    <row r="23" spans="1:12" x14ac:dyDescent="0.25">
      <c r="A23" s="257" t="str">
        <f>Biomass_Cost!B10</f>
        <v>Forest residues/ wheat straw</v>
      </c>
      <c r="B23" s="380">
        <f>Biomass_Cost!F10</f>
        <v>0.55156715111188925</v>
      </c>
      <c r="C23" s="380">
        <f>Biomass_Cost!H10</f>
        <v>0.54281211696725606</v>
      </c>
      <c r="D23" s="182">
        <f>Biomass_Cost!J10</f>
        <v>0.76168797058308524</v>
      </c>
      <c r="E23" s="380">
        <f>Biomass_Cost!Q10</f>
        <v>1.7641393801435821</v>
      </c>
      <c r="F23" s="138">
        <f>Biomass_Cost!Z10</f>
        <v>2060516.0639707232</v>
      </c>
      <c r="G23" s="205">
        <f>Biomass_Cost!AA10</f>
        <v>340</v>
      </c>
      <c r="H23" s="155" t="str">
        <f>Biomass_Cost!C10</f>
        <v>FT-Residue</v>
      </c>
      <c r="I23" s="415">
        <f>D23*$B$6/35.3</f>
        <v>9.9256789367767502E-3</v>
      </c>
      <c r="J23" s="141"/>
      <c r="K23" s="141"/>
      <c r="L23" t="str">
        <f>Biomass_Cost!R10</f>
        <v>[1]</v>
      </c>
    </row>
    <row r="24" spans="1:12" x14ac:dyDescent="0.25">
      <c r="A24" s="257" t="str">
        <f>Biomass_Cost!B11</f>
        <v>Biomass</v>
      </c>
      <c r="B24" s="380">
        <f>Biomass_Cost!F11</f>
        <v>0.56032218525652244</v>
      </c>
      <c r="C24" s="380">
        <f>Biomass_Cost!H11</f>
        <v>0.2101208194711959</v>
      </c>
      <c r="D24" s="175">
        <f>Biomass_Cost!J11</f>
        <v>0.32393626335142706</v>
      </c>
      <c r="E24" s="380">
        <f>Biomass_Cost!Q11</f>
        <v>1.0506040973559796</v>
      </c>
      <c r="F24" s="138">
        <f>Biomass_Cost!Z11</f>
        <v>2093222.6681607424</v>
      </c>
      <c r="G24" s="206">
        <f>Biomass_Cost!AA11</f>
        <v>0</v>
      </c>
      <c r="H24" s="155" t="str">
        <f>Biomass_Cost!C11</f>
        <v>FT-Biomass</v>
      </c>
      <c r="I24" s="415">
        <f>D24*$B$6/35.3</f>
        <v>4.2212657547211459E-3</v>
      </c>
      <c r="J24" s="141"/>
      <c r="K24" s="141"/>
      <c r="L24" t="str">
        <f>Biomass_Cost!R11</f>
        <v>[5]</v>
      </c>
    </row>
    <row r="25" spans="1:12" x14ac:dyDescent="0.25">
      <c r="A25" s="257" t="str">
        <f>Biomass_Cost!B12</f>
        <v>All wastes</v>
      </c>
      <c r="B25" s="380">
        <f>Biomass_Cost!F12</f>
        <v>0.58658728769042201</v>
      </c>
      <c r="C25" s="380">
        <f>Biomass_Cost!H12</f>
        <v>0.28891612677289441</v>
      </c>
      <c r="D25" s="175">
        <f>Biomass_Cost!J12</f>
        <v>0</v>
      </c>
      <c r="E25" s="380">
        <f>Biomass_Cost!Q12</f>
        <v>0.75293293643845194</v>
      </c>
      <c r="F25" s="138">
        <f>Biomass_Cost!Z12</f>
        <v>2191342.4807307739</v>
      </c>
      <c r="G25" s="206">
        <f>Biomass_Cost!AA12</f>
        <v>0</v>
      </c>
      <c r="H25" s="155" t="str">
        <f>Biomass_Cost!C12</f>
        <v>FT-MSW</v>
      </c>
      <c r="I25" s="415">
        <f t="shared" ref="I25:I30" si="0">D25*$B$6/35.3</f>
        <v>0</v>
      </c>
      <c r="J25" s="141"/>
      <c r="K25" s="141"/>
      <c r="L25" t="str">
        <f>Biomass_Cost!R12</f>
        <v>[5]</v>
      </c>
    </row>
    <row r="26" spans="1:12" x14ac:dyDescent="0.25">
      <c r="A26" s="257" t="str">
        <f>Biomass_Cost!B13</f>
        <v>MSW</v>
      </c>
      <c r="B26" s="380">
        <f>Biomass_Cost!F13</f>
        <v>0.81421817545088426</v>
      </c>
      <c r="C26" s="380">
        <f>Biomass_Cost!H13</f>
        <v>0.2976711609175276</v>
      </c>
      <c r="D26" s="175">
        <f>Biomass_Cost!J13</f>
        <v>0</v>
      </c>
      <c r="E26" s="380">
        <f>Biomass_Cost!Q13</f>
        <v>1.02433899492208</v>
      </c>
      <c r="F26" s="138">
        <f>Biomass_Cost!Z13</f>
        <v>3041714.1896710731</v>
      </c>
      <c r="G26" s="206">
        <f>Biomass_Cost!AA13</f>
        <v>244</v>
      </c>
      <c r="H26" s="155" t="str">
        <f>Biomass_Cost!C13</f>
        <v>FT-MSW</v>
      </c>
      <c r="I26" s="415">
        <f t="shared" si="0"/>
        <v>0</v>
      </c>
      <c r="J26" s="141"/>
      <c r="K26" s="141"/>
      <c r="L26" t="str">
        <f>Biomass_Cost!R13</f>
        <v>[2]</v>
      </c>
    </row>
    <row r="27" spans="1:12" x14ac:dyDescent="0.25">
      <c r="A27" s="257" t="str">
        <f>Biomass_Cost!B14</f>
        <v>Lignocellulose</v>
      </c>
      <c r="B27" s="380">
        <f>Biomass_Cost!F14</f>
        <v>0.90176851689721582</v>
      </c>
      <c r="C27" s="380">
        <f>Biomass_Cost!H14</f>
        <v>0.43775170723165818</v>
      </c>
      <c r="D27" s="175">
        <f>Biomass_Cost!J14</f>
        <v>0.65662756084748719</v>
      </c>
      <c r="E27" s="380">
        <f>Biomass_Cost!Q14</f>
        <v>1.7072316582034668</v>
      </c>
      <c r="F27" s="138">
        <f>Biomass_Cost!Z14</f>
        <v>3368780.2315711956</v>
      </c>
      <c r="G27" s="206">
        <f>Biomass_Cost!AA14</f>
        <v>247</v>
      </c>
      <c r="H27" s="155" t="str">
        <f>Biomass_Cost!C14</f>
        <v>FT-Biomass</v>
      </c>
      <c r="I27" s="415">
        <f>D27*$B$6/35.3</f>
        <v>8.5566197730834043E-3</v>
      </c>
      <c r="J27" s="141"/>
      <c r="K27" s="141"/>
      <c r="L27" t="str">
        <f>Biomass_Cost!R14</f>
        <v>[4]</v>
      </c>
    </row>
    <row r="28" spans="1:12" x14ac:dyDescent="0.25">
      <c r="A28" s="257" t="str">
        <f>Biomass_Cost!B53</f>
        <v>MSW</v>
      </c>
      <c r="B28" s="380">
        <f>Biomass_Cost!F53</f>
        <v>1.0930830305092212</v>
      </c>
      <c r="C28" s="380">
        <f>Biomass_Cost!H53</f>
        <v>0.27600346520358071</v>
      </c>
      <c r="D28" s="175">
        <f>Biomass_Cost!J53</f>
        <v>7.0847974200625747E-4</v>
      </c>
      <c r="E28" s="380">
        <f>Biomass_Cost!Q53</f>
        <v>1.369794975454808</v>
      </c>
      <c r="F28" s="209">
        <f>Biomass_Cost!Z53</f>
        <v>3500081.6342325201</v>
      </c>
      <c r="G28" s="206">
        <f>Biomass_Cost!AA53</f>
        <v>504.10958904109594</v>
      </c>
      <c r="H28" s="155" t="str">
        <f>Biomass_Cost!C53</f>
        <v>FT-MSW</v>
      </c>
      <c r="I28" s="415">
        <f t="shared" si="0"/>
        <v>9.2323139184951403E-6</v>
      </c>
      <c r="J28" s="141"/>
      <c r="K28" s="141"/>
      <c r="L28" t="str">
        <f>Biomass_Cost!R53</f>
        <v>[12]</v>
      </c>
    </row>
    <row r="29" spans="1:12" x14ac:dyDescent="0.25">
      <c r="A29" s="257" t="str">
        <f>Biomass_Cost!B54</f>
        <v>Agricultural residue</v>
      </c>
      <c r="B29" s="380">
        <f>Biomass_Cost!F54</f>
        <v>1.1044693120770297</v>
      </c>
      <c r="C29" s="380">
        <f>Biomass_Cost!H54</f>
        <v>0.27327075762731035</v>
      </c>
      <c r="D29" s="175">
        <f>Biomass_Cost!J54</f>
        <v>0.43267869957656696</v>
      </c>
      <c r="E29" s="380">
        <f>Biomass_Cost!Q54</f>
        <v>1.8104187692809071</v>
      </c>
      <c r="F29" s="209">
        <f>Biomass_Cost!Z54</f>
        <v>3528082.28730638</v>
      </c>
      <c r="G29" s="206">
        <f>Biomass_Cost!AA54</f>
        <v>504.10958904109594</v>
      </c>
      <c r="H29" s="155" t="str">
        <f>Biomass_Cost!C54</f>
        <v>FT-Residue</v>
      </c>
      <c r="I29" s="415">
        <f t="shared" si="0"/>
        <v>5.6383060001478982E-3</v>
      </c>
      <c r="J29" s="141"/>
      <c r="K29" s="141"/>
      <c r="L29" t="str">
        <f>Biomass_Cost!R54</f>
        <v>[12]</v>
      </c>
    </row>
    <row r="30" spans="1:12" x14ac:dyDescent="0.25">
      <c r="A30" s="257" t="str">
        <f>Biomass_Cost!B55</f>
        <v>Energy Crops</v>
      </c>
      <c r="B30" s="380">
        <f>Biomass_Cost!F55</f>
        <v>1.1044693120770297</v>
      </c>
      <c r="C30" s="380">
        <f>Biomass_Cost!H55</f>
        <v>0.27327075762731035</v>
      </c>
      <c r="D30" s="175">
        <f>Biomass_Cost!J55</f>
        <v>0.53515523368681228</v>
      </c>
      <c r="E30" s="380">
        <f>Biomass_Cost!Q55</f>
        <v>1.9128953033911522</v>
      </c>
      <c r="F30" s="209">
        <f>Biomass_Cost!Z55</f>
        <v>3528082.28730638</v>
      </c>
      <c r="G30" s="206">
        <f>Biomass_Cost!AA55</f>
        <v>504.10958904109594</v>
      </c>
      <c r="H30" s="155" t="str">
        <f>Biomass_Cost!C55</f>
        <v>FT-Biomass</v>
      </c>
      <c r="I30" s="415">
        <f t="shared" si="0"/>
        <v>6.9736942633408976E-3</v>
      </c>
      <c r="J30" s="141"/>
      <c r="K30" s="141"/>
      <c r="L30" t="str">
        <f>Biomass_Cost!R55</f>
        <v>[12]</v>
      </c>
    </row>
    <row r="31" spans="1:12" x14ac:dyDescent="0.25">
      <c r="A31" s="257" t="str">
        <f>Biomass_Cost!B62</f>
        <v>Hybrid poplar wood chips</v>
      </c>
      <c r="B31" s="380" t="s">
        <v>482</v>
      </c>
      <c r="C31" s="380" t="s">
        <v>482</v>
      </c>
      <c r="D31" s="175" t="s">
        <v>482</v>
      </c>
      <c r="E31" s="380">
        <f>Biomass_Cost!Q62</f>
        <v>1.0265655237576765</v>
      </c>
      <c r="F31" s="209">
        <f>Biomass_Cost!Z62</f>
        <v>1357050.4133426507</v>
      </c>
      <c r="G31" s="206">
        <f>Biomass_Cost!AA62</f>
        <v>318.463698630137</v>
      </c>
      <c r="H31" s="155" t="str">
        <f>Biomass_Cost!C62</f>
        <v>FT-Biomass</v>
      </c>
      <c r="I31" s="415" t="s">
        <v>482</v>
      </c>
      <c r="J31" s="141"/>
      <c r="K31" s="141"/>
      <c r="L31" t="str">
        <f>Biomass_Cost!R62</f>
        <v>[13]</v>
      </c>
    </row>
    <row r="32" spans="1:12" x14ac:dyDescent="0.25">
      <c r="A32" s="257" t="str">
        <f>Biomass_Cost!B63</f>
        <v>Hybrid poplar wood chips</v>
      </c>
      <c r="B32" s="380" t="s">
        <v>482</v>
      </c>
      <c r="C32" s="380" t="s">
        <v>482</v>
      </c>
      <c r="D32" s="175" t="s">
        <v>482</v>
      </c>
      <c r="E32" s="380">
        <f>Biomass_Cost!Q63</f>
        <v>0.95961559829521925</v>
      </c>
      <c r="F32" s="209">
        <f>Biomass_Cost!Z63</f>
        <v>1108161.9634284994</v>
      </c>
      <c r="G32" s="206">
        <f>Biomass_Cost!AA63</f>
        <v>275.24383561643833</v>
      </c>
      <c r="H32" s="155" t="str">
        <f>Biomass_Cost!C63</f>
        <v>FT-Biomass</v>
      </c>
      <c r="I32" s="415" t="s">
        <v>482</v>
      </c>
      <c r="J32" s="141"/>
      <c r="K32" s="141"/>
      <c r="L32" t="str">
        <f>Biomass_Cost!R63</f>
        <v>[13]</v>
      </c>
    </row>
    <row r="33" spans="1:12" x14ac:dyDescent="0.25">
      <c r="A33" s="257" t="str">
        <f>Biomass_Cost!B64</f>
        <v>Wood Chips</v>
      </c>
      <c r="B33" s="380" t="s">
        <v>482</v>
      </c>
      <c r="C33" s="380" t="s">
        <v>482</v>
      </c>
      <c r="D33" s="175" t="s">
        <v>482</v>
      </c>
      <c r="E33" s="380">
        <f>Biomass_Cost!Q64</f>
        <v>0.96115024520731174</v>
      </c>
      <c r="F33" s="209">
        <f>Biomass_Cost!Z64</f>
        <v>2419060.1193510327</v>
      </c>
      <c r="G33" s="206">
        <f>Biomass_Cost!AA64</f>
        <v>244.65753424657538</v>
      </c>
      <c r="H33" s="155" t="str">
        <f>Biomass_Cost!C64</f>
        <v>FT-Biomass</v>
      </c>
      <c r="I33" s="415" t="s">
        <v>482</v>
      </c>
      <c r="J33" s="141"/>
      <c r="K33" s="141"/>
      <c r="L33" t="str">
        <f>Biomass_Cost!R64</f>
        <v>[14]</v>
      </c>
    </row>
    <row r="34" spans="1:12" x14ac:dyDescent="0.25">
      <c r="A34" s="257" t="str">
        <f>Biomass_Cost!B65</f>
        <v>Corn stover</v>
      </c>
      <c r="B34" s="380" t="s">
        <v>482</v>
      </c>
      <c r="C34" s="380" t="s">
        <v>482</v>
      </c>
      <c r="D34" s="175" t="s">
        <v>482</v>
      </c>
      <c r="E34" s="380">
        <f>Biomass_Cost!Q65</f>
        <v>1.1354127275588812</v>
      </c>
      <c r="F34" s="209">
        <f>Biomass_Cost!Z65</f>
        <v>1663828.6791558466</v>
      </c>
      <c r="G34" s="206">
        <f>Biomass_Cost!AA65</f>
        <v>267.97800000000001</v>
      </c>
      <c r="H34" s="155" t="str">
        <f>Biomass_Cost!C65</f>
        <v>FT-Residue</v>
      </c>
      <c r="I34" s="415" t="s">
        <v>482</v>
      </c>
      <c r="J34" s="141"/>
      <c r="K34" s="141"/>
      <c r="L34" t="str">
        <f>Biomass_Cost!R65</f>
        <v>[15]</v>
      </c>
    </row>
    <row r="35" spans="1:12" x14ac:dyDescent="0.25">
      <c r="A35" s="257" t="str">
        <f>Biomass_Cost!B66</f>
        <v>Corn stover</v>
      </c>
      <c r="B35" s="380" t="s">
        <v>482</v>
      </c>
      <c r="C35" s="380" t="s">
        <v>482</v>
      </c>
      <c r="D35" s="175" t="s">
        <v>482</v>
      </c>
      <c r="E35" s="380">
        <f>Biomass_Cost!Q66</f>
        <v>1.0171405684381645</v>
      </c>
      <c r="F35" s="209">
        <f>Biomass_Cost!Z66</f>
        <v>2024658.9951173551</v>
      </c>
      <c r="G35" s="206">
        <f>Biomass_Cost!AA66</f>
        <v>267.97800000000001</v>
      </c>
      <c r="H35" s="155" t="str">
        <f>Biomass_Cost!C66</f>
        <v>FT-Residue</v>
      </c>
      <c r="I35" s="415" t="s">
        <v>482</v>
      </c>
      <c r="J35" s="141"/>
      <c r="K35" s="141"/>
      <c r="L35" t="str">
        <f>Biomass_Cost!R66</f>
        <v>[15]</v>
      </c>
    </row>
    <row r="36" spans="1:12" x14ac:dyDescent="0.25">
      <c r="A36" s="257" t="str">
        <f>Biomass_Cost!B67</f>
        <v>Wood</v>
      </c>
      <c r="B36" s="380" t="s">
        <v>482</v>
      </c>
      <c r="C36" s="380" t="s">
        <v>482</v>
      </c>
      <c r="D36" s="175" t="s">
        <v>482</v>
      </c>
      <c r="E36" s="380">
        <f>Biomass_Cost!Q67</f>
        <v>1.4233622183708838</v>
      </c>
      <c r="F36" s="209">
        <f>Biomass_Cost!Z67</f>
        <v>3135258.4361300846</v>
      </c>
      <c r="G36" s="206">
        <f>Biomass_Cost!AA67</f>
        <v>326.40000000000003</v>
      </c>
      <c r="H36" s="155" t="str">
        <f>Biomass_Cost!C67</f>
        <v>FT-Biomass</v>
      </c>
      <c r="I36" s="415" t="s">
        <v>482</v>
      </c>
      <c r="J36" s="141"/>
      <c r="K36" s="141"/>
      <c r="L36" t="str">
        <f>Biomass_Cost!R67</f>
        <v>[16]</v>
      </c>
    </row>
    <row r="37" spans="1:12" x14ac:dyDescent="0.25">
      <c r="A37" s="257" t="str">
        <f>Biomass_Cost!B68</f>
        <v>Wood</v>
      </c>
      <c r="B37" s="380" t="s">
        <v>482</v>
      </c>
      <c r="C37" s="380" t="s">
        <v>482</v>
      </c>
      <c r="D37" s="175" t="s">
        <v>482</v>
      </c>
      <c r="E37" s="380">
        <f>Biomass_Cost!Q68</f>
        <v>1.3988214904679377</v>
      </c>
      <c r="F37" s="209">
        <f>Biomass_Cost!Z68</f>
        <v>3567578.2444693651</v>
      </c>
      <c r="G37" s="206">
        <f>Biomass_Cost!AA68</f>
        <v>326.40000000000003</v>
      </c>
      <c r="H37" s="155" t="str">
        <f>Biomass_Cost!C68</f>
        <v>FT-Biomass</v>
      </c>
      <c r="I37" s="415" t="s">
        <v>482</v>
      </c>
      <c r="J37" s="141"/>
      <c r="K37" s="141"/>
      <c r="L37" t="str">
        <f>Biomass_Cost!R68</f>
        <v>[16]</v>
      </c>
    </row>
    <row r="38" spans="1:12" x14ac:dyDescent="0.25">
      <c r="A38" s="257" t="str">
        <f>Biomass_Cost!B69</f>
        <v>Poplar</v>
      </c>
      <c r="B38" s="380" t="s">
        <v>482</v>
      </c>
      <c r="C38" s="380" t="s">
        <v>482</v>
      </c>
      <c r="D38" s="175" t="s">
        <v>482</v>
      </c>
      <c r="E38" s="380">
        <f>Biomass_Cost!Q69</f>
        <v>1.1975378842667594</v>
      </c>
      <c r="F38" s="209">
        <f>Biomass_Cost!Z69</f>
        <v>4683813.312709732</v>
      </c>
      <c r="G38" s="206">
        <f>Biomass_Cost!AA69</f>
        <v>129.81744421906694</v>
      </c>
      <c r="H38" s="155" t="str">
        <f>Biomass_Cost!C69</f>
        <v>FT-Biomass</v>
      </c>
      <c r="I38" s="415" t="s">
        <v>482</v>
      </c>
      <c r="J38" s="141"/>
      <c r="K38" s="141"/>
      <c r="L38" t="str">
        <f>Biomass_Cost!R69</f>
        <v>[17]</v>
      </c>
    </row>
    <row r="39" spans="1:12" x14ac:dyDescent="0.25">
      <c r="A39" s="257" t="str">
        <f>Biomass_Cost!B70</f>
        <v>Torrefied Pellets</v>
      </c>
      <c r="B39" s="380" t="s">
        <v>482</v>
      </c>
      <c r="C39" s="380" t="s">
        <v>482</v>
      </c>
      <c r="D39" s="175" t="s">
        <v>482</v>
      </c>
      <c r="E39" s="380">
        <f>Biomass_Cost!Q70</f>
        <v>1.0508733838609008</v>
      </c>
      <c r="F39" s="209">
        <f>Biomass_Cost!Z70</f>
        <v>1109298.1443178414</v>
      </c>
      <c r="G39" s="206">
        <f>Biomass_Cost!AA70</f>
        <v>1465.0670553935859</v>
      </c>
      <c r="H39" s="155" t="str">
        <f>Biomass_Cost!C70</f>
        <v>FT-Biomass</v>
      </c>
      <c r="I39" s="415" t="s">
        <v>482</v>
      </c>
      <c r="J39" s="141"/>
      <c r="K39" s="141"/>
      <c r="L39" t="str">
        <f>Biomass_Cost!R70</f>
        <v>[18]</v>
      </c>
    </row>
    <row r="40" spans="1:12" x14ac:dyDescent="0.25">
      <c r="A40" s="257" t="str">
        <f>Biomass_Cost!B71</f>
        <v>Eucalyptus</v>
      </c>
      <c r="B40" s="380" t="s">
        <v>482</v>
      </c>
      <c r="C40" s="380" t="s">
        <v>482</v>
      </c>
      <c r="D40" s="175" t="s">
        <v>482</v>
      </c>
      <c r="E40" s="380">
        <f>Biomass_Cost!Q71</f>
        <v>1.3707044137316098</v>
      </c>
      <c r="F40" s="209">
        <f>Biomass_Cost!Z71</f>
        <v>1165894.9884156904</v>
      </c>
      <c r="G40" s="206">
        <f>Biomass_Cost!AA71</f>
        <v>1464</v>
      </c>
      <c r="H40" s="155" t="str">
        <f>Biomass_Cost!C71</f>
        <v>FT-Biomass</v>
      </c>
      <c r="I40" s="415" t="s">
        <v>482</v>
      </c>
      <c r="J40" s="141"/>
      <c r="K40" s="141"/>
      <c r="L40" t="str">
        <f>Biomass_Cost!R71</f>
        <v>[18]</v>
      </c>
    </row>
    <row r="41" spans="1:12" x14ac:dyDescent="0.25">
      <c r="A41" s="257" t="str">
        <f>Biomass_Cost!B72</f>
        <v>Corn Stover</v>
      </c>
      <c r="B41" s="380" t="s">
        <v>482</v>
      </c>
      <c r="C41" s="380" t="s">
        <v>482</v>
      </c>
      <c r="D41" s="175" t="s">
        <v>482</v>
      </c>
      <c r="E41" s="380">
        <f>Biomass_Cost!Q72</f>
        <v>0.89886840931744749</v>
      </c>
      <c r="F41" s="209">
        <f>Biomass_Cost!Z72</f>
        <v>1566103.801916271</v>
      </c>
      <c r="G41" s="206">
        <f>Biomass_Cost!AA72</f>
        <v>285.84320000000002</v>
      </c>
      <c r="H41" s="155" t="str">
        <f>Biomass_Cost!C72</f>
        <v>FT-Residue</v>
      </c>
      <c r="I41" s="415" t="s">
        <v>482</v>
      </c>
      <c r="J41" s="141"/>
      <c r="K41" s="141"/>
      <c r="L41" t="str">
        <f>Biomass_Cost!R72</f>
        <v>[19]</v>
      </c>
    </row>
    <row r="42" spans="1:12" x14ac:dyDescent="0.25">
      <c r="A42" s="257" t="str">
        <f>Biomass_Cost!B73</f>
        <v>Corn Stover</v>
      </c>
      <c r="B42" s="380" t="s">
        <v>482</v>
      </c>
      <c r="C42" s="380" t="s">
        <v>482</v>
      </c>
      <c r="D42" s="175" t="s">
        <v>482</v>
      </c>
      <c r="E42" s="380">
        <f>Biomass_Cost!Q73</f>
        <v>1.0171405684381642</v>
      </c>
      <c r="F42" s="209">
        <f>Biomass_Cost!Z73</f>
        <v>1478401.9890089601</v>
      </c>
      <c r="G42" s="206">
        <f>Biomass_Cost!AA73</f>
        <v>369.416</v>
      </c>
      <c r="H42" s="155" t="str">
        <f>Biomass_Cost!C73</f>
        <v>FT-Residue</v>
      </c>
      <c r="I42" s="415" t="s">
        <v>482</v>
      </c>
      <c r="J42" s="141"/>
      <c r="K42" s="141"/>
      <c r="L42" t="str">
        <f>Biomass_Cost!R73</f>
        <v>[19]</v>
      </c>
    </row>
    <row r="43" spans="1:12" x14ac:dyDescent="0.25">
      <c r="A43" s="257" t="str">
        <f>Biomass_Cost!B74</f>
        <v>Wood Chips</v>
      </c>
      <c r="B43" s="380" t="s">
        <v>482</v>
      </c>
      <c r="C43" s="380" t="s">
        <v>482</v>
      </c>
      <c r="D43" s="175" t="s">
        <v>482</v>
      </c>
      <c r="E43" s="380">
        <f>Biomass_Cost!Q74</f>
        <v>1.3809563758389263</v>
      </c>
      <c r="F43" s="209">
        <f>Biomass_Cost!Z74</f>
        <v>2748207.2958534299</v>
      </c>
      <c r="G43" s="206">
        <f>Biomass_Cost!AA74</f>
        <v>83.884</v>
      </c>
      <c r="H43" s="155" t="str">
        <f>Biomass_Cost!C74</f>
        <v>FT-Biomass</v>
      </c>
      <c r="I43" s="415" t="s">
        <v>482</v>
      </c>
      <c r="J43" s="141"/>
      <c r="K43" s="141"/>
      <c r="L43" t="str">
        <f>Biomass_Cost!R74</f>
        <v>[20]</v>
      </c>
    </row>
    <row r="44" spans="1:12" x14ac:dyDescent="0.25">
      <c r="A44" s="257" t="str">
        <f>Biomass_Cost!B75</f>
        <v>Black liquor, hog fuel and forestry residues</v>
      </c>
      <c r="B44" s="380" t="s">
        <v>482</v>
      </c>
      <c r="C44" s="380" t="s">
        <v>482</v>
      </c>
      <c r="D44" s="175" t="s">
        <v>482</v>
      </c>
      <c r="E44" s="380" t="str">
        <f>Biomass_Cost!Q75</f>
        <v>N/A</v>
      </c>
      <c r="F44" s="209">
        <f>Biomass_Cost!Z75</f>
        <v>664666.12237240758</v>
      </c>
      <c r="G44" s="206">
        <f>Biomass_Cost!AA75</f>
        <v>675.80439999999999</v>
      </c>
      <c r="H44" s="155" t="str">
        <f>Biomass_Cost!C75</f>
        <v>FT-Residue</v>
      </c>
      <c r="I44" s="415" t="s">
        <v>482</v>
      </c>
      <c r="J44" s="141"/>
      <c r="K44" s="141"/>
      <c r="L44" t="str">
        <f>Biomass_Cost!R75</f>
        <v>[21]</v>
      </c>
    </row>
    <row r="45" spans="1:12" x14ac:dyDescent="0.25">
      <c r="A45" s="381" t="str">
        <f>Biomass_Cost!B76</f>
        <v>Black liquor, hog fuel and forestry residues</v>
      </c>
      <c r="B45" s="382" t="s">
        <v>482</v>
      </c>
      <c r="C45" s="382" t="s">
        <v>482</v>
      </c>
      <c r="D45" s="178" t="s">
        <v>482</v>
      </c>
      <c r="E45" s="382">
        <f>Biomass_Cost!Q76</f>
        <v>0.59941718429003021</v>
      </c>
      <c r="F45" s="383">
        <f>Biomass_Cost!Z76</f>
        <v>1637687.3193730435</v>
      </c>
      <c r="G45" s="207">
        <f>Biomass_Cost!AA76</f>
        <v>454.52054794520546</v>
      </c>
      <c r="H45" s="156" t="str">
        <f>Biomass_Cost!C76</f>
        <v>FT-Residue</v>
      </c>
      <c r="I45" s="416" t="s">
        <v>482</v>
      </c>
      <c r="J45" s="142"/>
      <c r="K45" s="232"/>
      <c r="L45" t="str">
        <f>Biomass_Cost!R76</f>
        <v>[22]</v>
      </c>
    </row>
    <row r="46" spans="1:12" x14ac:dyDescent="0.25">
      <c r="A46" s="481" t="s">
        <v>501</v>
      </c>
      <c r="B46" s="482"/>
      <c r="C46" s="482"/>
      <c r="D46" s="483"/>
      <c r="E46" s="468" t="s">
        <v>502</v>
      </c>
      <c r="F46" s="469"/>
      <c r="G46" s="484"/>
      <c r="H46" s="141"/>
      <c r="I46" s="141"/>
      <c r="J46" s="141"/>
      <c r="K46" s="141"/>
      <c r="L46" s="222"/>
    </row>
    <row r="47" spans="1:12" ht="30" x14ac:dyDescent="0.25">
      <c r="A47" s="240" t="s">
        <v>227</v>
      </c>
      <c r="B47" s="221" t="s">
        <v>492</v>
      </c>
      <c r="C47" s="218" t="s">
        <v>497</v>
      </c>
      <c r="D47" s="219" t="s">
        <v>498</v>
      </c>
      <c r="E47" s="191" t="s">
        <v>503</v>
      </c>
      <c r="F47" s="192" t="s">
        <v>504</v>
      </c>
      <c r="G47" s="193" t="s">
        <v>505</v>
      </c>
      <c r="H47" s="141"/>
      <c r="I47" s="141"/>
      <c r="J47" s="141"/>
      <c r="K47" s="141"/>
      <c r="L47" s="222"/>
    </row>
    <row r="48" spans="1:12" x14ac:dyDescent="0.25">
      <c r="A48" s="195" t="s">
        <v>7</v>
      </c>
      <c r="B48" s="255">
        <f>+_xlfn.QUARTILE.EXC(E23:E45,1)</f>
        <v>1.0031429876304512</v>
      </c>
      <c r="C48" s="255">
        <f>+_xlfn.QUARTILE.EXC(E23:E45,2)</f>
        <v>1.0931430557098909</v>
      </c>
      <c r="D48" s="255">
        <f>+_xlfn.QUARTILE.EXC(E23:E45,3)</f>
        <v>1.4049566724436742</v>
      </c>
      <c r="E48" s="384">
        <f>+_xlfn.QUARTILE.EXC($F23:$F45,1)</f>
        <v>1478401.9890089601</v>
      </c>
      <c r="F48" s="402">
        <f>+_xlfn.QUARTILE.EXC($F23:$F45,2)</f>
        <v>2093222.6681607424</v>
      </c>
      <c r="G48" s="402">
        <f>+_xlfn.QUARTILE.EXC($F23:$F45,3)</f>
        <v>3368780.2315711956</v>
      </c>
      <c r="H48" s="141"/>
      <c r="I48" s="401"/>
      <c r="J48" s="141"/>
      <c r="K48" s="141"/>
      <c r="L48" s="222"/>
    </row>
    <row r="49" spans="1:12" x14ac:dyDescent="0.25">
      <c r="A49" s="189" t="s">
        <v>586</v>
      </c>
      <c r="B49" s="203">
        <f>_xlfn.QUARTILE.EXC((E24,E27,E30:E33,E36:E40,E43),1)</f>
        <v>1.0325751671572523</v>
      </c>
      <c r="C49" s="203">
        <f>_xlfn.QUARTILE.EXC((E24,E27,E30:E33,E36:E40,E43),2)</f>
        <v>1.2841211489991846</v>
      </c>
      <c r="D49" s="203">
        <f>_xlfn.QUARTILE.EXC((E24,E27,E30:E33,E36:E40,E43),3)</f>
        <v>1.4172270363951474</v>
      </c>
      <c r="E49" s="400">
        <f>_xlfn.QUARTILE.EXC(($F24,$F27,$F30:$F33,$F36:$F40,$F43),1)</f>
        <v>1213683.8446474303</v>
      </c>
      <c r="F49" s="188">
        <f>_xlfn.QUARTILE.EXC(($F24,$F27,$F30:$F33,$F36:$F40,$F43),2)</f>
        <v>2583633.7076022313</v>
      </c>
      <c r="G49" s="188">
        <f>_xlfn.QUARTILE.EXC(($F24,$F27,$F30:$F33,$F36:$F40,$F43),3)</f>
        <v>3488256.773372584</v>
      </c>
      <c r="H49" s="401"/>
      <c r="I49" s="401"/>
      <c r="J49" s="141"/>
      <c r="K49" s="141"/>
      <c r="L49" s="222"/>
    </row>
    <row r="50" spans="1:12" x14ac:dyDescent="0.25">
      <c r="A50" s="186" t="s">
        <v>587</v>
      </c>
      <c r="B50" s="203">
        <f>_xlfn.QUARTILE.EXC((E23,E29,E34:E35,E41:E42,E44:E45),1)</f>
        <v>0.89886840931744749</v>
      </c>
      <c r="C50" s="203">
        <f>_xlfn.QUARTILE.EXC((E23,E29,E34:E35,E41:E42,E44:E45),2)</f>
        <v>1.0171405684381645</v>
      </c>
      <c r="D50" s="203">
        <f>_xlfn.QUARTILE.EXC((E23,E29,E34:E35,E41:E42,E44:E45),3)</f>
        <v>1.7641393801435821</v>
      </c>
      <c r="E50" s="400">
        <f>_xlfn.QUARTILE.EXC(($F23,$F29,$F34:$F35,$F41:$F42,$F44:$F45),1)</f>
        <v>1500327.4422357879</v>
      </c>
      <c r="F50" s="188">
        <f>_xlfn.QUARTILE.EXC(($F23,$F29,$F34:$F35,$F41:$F42,$F44:$F45),2)</f>
        <v>1650757.9992644452</v>
      </c>
      <c r="G50" s="188">
        <f>_xlfn.QUARTILE.EXC(($F23,$F29,$F34:$F35,$F41:$F42,$F44:$F45),3)</f>
        <v>2051551.7967573812</v>
      </c>
      <c r="H50" s="401"/>
      <c r="I50" s="401"/>
      <c r="J50" s="141"/>
      <c r="K50" s="141"/>
      <c r="L50" s="222"/>
    </row>
    <row r="51" spans="1:12" x14ac:dyDescent="0.25">
      <c r="A51" s="186" t="s">
        <v>845</v>
      </c>
      <c r="B51" s="203">
        <f>+_xlfn.QUARTILE.EXC(($E$23:$E$24,$E$27,$E$29:$E$45),1)</f>
        <v>1.0171405684381642</v>
      </c>
      <c r="C51" s="203">
        <f>+_xlfn.QUARTILE.EXC(($E$23:$E$24,$E$27,$E$29:$E$45),2)</f>
        <v>1.1354127275588812</v>
      </c>
      <c r="D51" s="203">
        <f>+_xlfn.QUARTILE.EXC(($E$23:$E$24,$E$27,$E$29:$E$45),3)</f>
        <v>1.4233622183708838</v>
      </c>
      <c r="E51" s="400">
        <f>+_xlfn.QUARTILE.EXC(($F$23:$F$24,$F$27,$F$29:$F$45),1)</f>
        <v>1387388.3072592281</v>
      </c>
      <c r="F51" s="188">
        <f>+_xlfn.QUARTILE.EXC(($F$23:$F$24,$F$27,$F$29:$F$45),2)</f>
        <v>2042587.5295440392</v>
      </c>
      <c r="G51" s="188">
        <f>+_xlfn.QUARTILE.EXC(($F$23:$F$24,$F$27,$F$29:$F$45),3)</f>
        <v>3310399.7827109178</v>
      </c>
      <c r="H51" s="530" t="s">
        <v>844</v>
      </c>
      <c r="I51" s="531"/>
      <c r="J51" s="141"/>
      <c r="K51" s="141"/>
      <c r="L51" s="222"/>
    </row>
    <row r="52" spans="1:12" x14ac:dyDescent="0.25">
      <c r="A52" s="189" t="s">
        <v>588</v>
      </c>
      <c r="B52" s="204">
        <f>_xlfn.QUARTILE.EXC((E25:E26,E28),1)</f>
        <v>0.75293293643845194</v>
      </c>
      <c r="C52" s="204">
        <f>_xlfn.QUARTILE.EXC((E25:E26,E28),2)</f>
        <v>1.02433899492208</v>
      </c>
      <c r="D52" s="204">
        <f>_xlfn.QUARTILE.EXC((E25:E26,E28),3)</f>
        <v>1.369794975454808</v>
      </c>
      <c r="E52" s="403">
        <f>_xlfn.QUARTILE.EXC(($F25:$F26,$F28),1)</f>
        <v>2191342.4807307739</v>
      </c>
      <c r="F52" s="190">
        <f>_xlfn.QUARTILE.EXC(($F25:$F26,$F28),2)</f>
        <v>3041714.1896710731</v>
      </c>
      <c r="G52" s="190">
        <f>_xlfn.QUARTILE.EXC(($F25:$F26,$F28),3)</f>
        <v>3500081.6342325201</v>
      </c>
      <c r="H52" s="532"/>
      <c r="I52" s="533"/>
      <c r="J52" s="141"/>
      <c r="K52" s="141"/>
      <c r="L52" s="222"/>
    </row>
    <row r="53" spans="1:12" x14ac:dyDescent="0.25">
      <c r="A53" s="500" t="s">
        <v>841</v>
      </c>
      <c r="B53" s="501"/>
      <c r="C53" s="501"/>
      <c r="D53" s="502"/>
      <c r="E53" s="396"/>
      <c r="F53" s="397"/>
      <c r="G53" s="398"/>
      <c r="H53" s="141"/>
      <c r="I53" s="141"/>
      <c r="J53" s="141"/>
      <c r="K53" s="141"/>
      <c r="L53" s="222"/>
    </row>
    <row r="54" spans="1:12" x14ac:dyDescent="0.25">
      <c r="A54" s="186" t="s">
        <v>846</v>
      </c>
      <c r="B54" s="203">
        <f>+_xlfn.QUARTILE.EXC(($C$23:$C$24,$C$27,$C$29:$C$45),1)</f>
        <v>0.24169578854925311</v>
      </c>
      <c r="C54" s="203">
        <f>+_xlfn.QUARTILE.EXC(($C$23:$C$24,$C$27,$C$29:$C$45),2)</f>
        <v>0.27327075762731035</v>
      </c>
      <c r="D54" s="203">
        <f>+_xlfn.QUARTILE.EXC(($C$23:$C$24,$C$27,$C$29:$C$45),3)</f>
        <v>0.49028191209945715</v>
      </c>
      <c r="E54" s="503" t="s">
        <v>842</v>
      </c>
      <c r="F54" s="504"/>
      <c r="G54" s="505"/>
      <c r="H54" s="141"/>
      <c r="I54" s="141"/>
      <c r="J54" s="141"/>
      <c r="K54" s="141"/>
      <c r="L54" s="222"/>
    </row>
    <row r="55" spans="1:12" ht="28.9" customHeight="1" x14ac:dyDescent="0.25">
      <c r="A55" s="189" t="s">
        <v>588</v>
      </c>
      <c r="B55" s="204">
        <f>_xlfn.QUARTILE.EXC(($C$25:$C$26,$C$28),1)</f>
        <v>0.27600346520358071</v>
      </c>
      <c r="C55" s="204">
        <f>_xlfn.QUARTILE.EXC((C25:C26,C28),2)</f>
        <v>0.28891612677289441</v>
      </c>
      <c r="D55" s="204">
        <f>_xlfn.QUARTILE.EXC((C25:C26,C28),3)</f>
        <v>0.2976711609175276</v>
      </c>
      <c r="E55" s="506"/>
      <c r="F55" s="507"/>
      <c r="G55" s="508"/>
      <c r="H55" s="141"/>
      <c r="I55" s="141"/>
      <c r="J55" s="141"/>
      <c r="K55" s="141"/>
      <c r="L55" s="222"/>
    </row>
    <row r="56" spans="1:12" x14ac:dyDescent="0.25">
      <c r="A56" s="491" t="s">
        <v>849</v>
      </c>
      <c r="B56" s="482"/>
      <c r="C56" s="482"/>
      <c r="D56" s="483"/>
      <c r="E56" s="395"/>
      <c r="F56" s="387"/>
      <c r="G56" s="388"/>
      <c r="H56" s="141"/>
      <c r="I56" s="141"/>
      <c r="J56" s="141"/>
      <c r="K56" s="141"/>
      <c r="L56" s="222"/>
    </row>
    <row r="57" spans="1:12" x14ac:dyDescent="0.25">
      <c r="A57" s="186" t="s">
        <v>846</v>
      </c>
      <c r="B57" s="412">
        <f>+_xlfn.QUARTILE.EXC(($I$23:$I$24,$I$27,$I$29:$I$45),1)</f>
        <v>4.9297858774345216E-3</v>
      </c>
      <c r="C57" s="412">
        <f>+_xlfn.QUARTILE.EXC(($I$23:$I$24,$I$27,$I$29:$I$45),2)</f>
        <v>6.9736942633408976E-3</v>
      </c>
      <c r="D57" s="412">
        <f>+_xlfn.QUARTILE.EXC(($I$23:$I$24,$I$27,$I$29:$I$45),3)</f>
        <v>9.2411493549300772E-3</v>
      </c>
      <c r="E57" s="503" t="s">
        <v>843</v>
      </c>
      <c r="F57" s="504"/>
      <c r="G57" s="505"/>
      <c r="H57" s="141"/>
      <c r="I57" s="141"/>
      <c r="J57" s="141"/>
      <c r="K57" s="141"/>
      <c r="L57" s="222"/>
    </row>
    <row r="58" spans="1:12" x14ac:dyDescent="0.25">
      <c r="A58" s="189" t="s">
        <v>588</v>
      </c>
      <c r="B58" s="413">
        <f>_xlfn.QUARTILE.EXC(($I$25:$I$26,$I$28),1)</f>
        <v>0</v>
      </c>
      <c r="C58" s="413">
        <f>_xlfn.QUARTILE.EXC(($I$25:$I$26,$I$28),2)</f>
        <v>0</v>
      </c>
      <c r="D58" s="413">
        <f>_xlfn.QUARTILE.EXC(($I$25:$I$26,$I$28),3)</f>
        <v>9.2323139184951403E-6</v>
      </c>
      <c r="E58" s="506"/>
      <c r="F58" s="507"/>
      <c r="G58" s="508"/>
      <c r="H58" s="141"/>
      <c r="I58" s="141"/>
      <c r="J58" s="141"/>
      <c r="K58" s="141"/>
      <c r="L58" s="222"/>
    </row>
    <row r="59" spans="1:12" x14ac:dyDescent="0.25">
      <c r="A59" s="495" t="s">
        <v>491</v>
      </c>
      <c r="B59" s="496"/>
      <c r="C59" s="496"/>
      <c r="D59" s="496"/>
      <c r="E59" s="496"/>
      <c r="F59" s="496"/>
      <c r="G59" s="496"/>
      <c r="H59" s="496"/>
      <c r="I59" s="496"/>
      <c r="J59" s="496"/>
      <c r="K59" s="496"/>
      <c r="L59" s="497"/>
    </row>
    <row r="60" spans="1:12" x14ac:dyDescent="0.25">
      <c r="A60" s="225" t="s">
        <v>530</v>
      </c>
      <c r="B60" s="217">
        <f>11/1000*35.3</f>
        <v>0.38829999999999992</v>
      </c>
      <c r="C60" s="201"/>
      <c r="D60" s="201"/>
      <c r="E60" s="201"/>
      <c r="F60" s="201"/>
      <c r="G60" s="201"/>
      <c r="H60" s="201"/>
      <c r="I60" s="201"/>
      <c r="J60" s="201"/>
      <c r="K60" s="201"/>
      <c r="L60" s="231"/>
    </row>
    <row r="61" spans="1:12" x14ac:dyDescent="0.25">
      <c r="A61" s="498" t="s">
        <v>531</v>
      </c>
      <c r="B61" s="499"/>
      <c r="C61" s="141"/>
      <c r="D61" s="141"/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226"/>
      <c r="B62" s="154"/>
      <c r="C62" s="491" t="s">
        <v>529</v>
      </c>
      <c r="D62" s="482"/>
      <c r="E62" s="482"/>
      <c r="F62" s="468" t="s">
        <v>609</v>
      </c>
      <c r="G62" s="469"/>
      <c r="H62" s="469"/>
      <c r="I62" s="141"/>
      <c r="J62" s="141"/>
      <c r="K62" s="141"/>
      <c r="L62" s="222"/>
    </row>
    <row r="63" spans="1:12" x14ac:dyDescent="0.25">
      <c r="A63" s="494" t="s">
        <v>251</v>
      </c>
      <c r="B63" s="426"/>
      <c r="C63" s="14" t="s">
        <v>588</v>
      </c>
      <c r="D63" s="220" t="s">
        <v>589</v>
      </c>
      <c r="E63" s="220" t="s">
        <v>590</v>
      </c>
      <c r="F63" s="14" t="s">
        <v>588</v>
      </c>
      <c r="G63" s="220" t="s">
        <v>589</v>
      </c>
      <c r="H63" s="220" t="s">
        <v>590</v>
      </c>
      <c r="I63" s="141"/>
      <c r="J63" s="141"/>
      <c r="K63" s="141"/>
      <c r="L63" s="222"/>
    </row>
    <row r="64" spans="1:12" x14ac:dyDescent="0.25">
      <c r="A64" s="492" t="s">
        <v>591</v>
      </c>
      <c r="B64" s="210" t="s">
        <v>594</v>
      </c>
      <c r="C64" s="238"/>
      <c r="D64" s="238">
        <f>1/($G$11-$I$10)*1000000*($D$50-$B$60)</f>
        <v>525.27789533821863</v>
      </c>
      <c r="E64" s="238">
        <f>1/($G$11-$I$10)*1000000*($D$49-$B$60)</f>
        <v>392.83119522122576</v>
      </c>
      <c r="F64" s="267"/>
      <c r="G64" s="267">
        <f>($C$11-$E$10)*1000000*$B$14*(J$85+J$82)</f>
        <v>1262713340</v>
      </c>
      <c r="H64" s="267">
        <f>($C$11-$E$10)*1000000*$B$14*(J$88)</f>
        <v>677349540</v>
      </c>
      <c r="I64" s="141"/>
      <c r="J64" s="141"/>
      <c r="K64" s="141"/>
      <c r="L64" s="222"/>
    </row>
    <row r="65" spans="1:12" x14ac:dyDescent="0.25">
      <c r="A65" s="493"/>
      <c r="B65" s="147" t="s">
        <v>595</v>
      </c>
      <c r="C65" s="238">
        <f>1/($G$11-$H$9)*1000000*($D$52-$B$60)</f>
        <v>471.26085151716916</v>
      </c>
      <c r="D65" s="238">
        <f>1/($G$11-$H$10)*1000000*($D$50-$B$60)</f>
        <v>492.73855668894839</v>
      </c>
      <c r="E65" s="238">
        <f>1/($G$11-$H$10)*1000000*($D$49-$B$60)</f>
        <v>368.49651941106129</v>
      </c>
      <c r="F65" s="267">
        <f>($C$11-$D$9)*1000000*B$14*J$79</f>
        <v>156733500.00000003</v>
      </c>
      <c r="G65" s="267">
        <f>($C$11-$D$10)*1000000*$B$14*(J$85+J$82)</f>
        <v>1346100070</v>
      </c>
      <c r="H65" s="267">
        <f>($C$11-$D$10)*1000000*$B$14*(J$88)</f>
        <v>722080170</v>
      </c>
      <c r="I65" s="141"/>
      <c r="J65" s="141"/>
      <c r="K65" s="141"/>
      <c r="L65" s="222"/>
    </row>
    <row r="66" spans="1:12" x14ac:dyDescent="0.25">
      <c r="A66" s="493"/>
      <c r="B66" s="147" t="s">
        <v>596</v>
      </c>
      <c r="C66" s="238"/>
      <c r="D66" s="238">
        <f>1/($G$11-$G$10)*1000000*($D$50-$B$60)</f>
        <v>450.58520039417135</v>
      </c>
      <c r="E66" s="238">
        <f>1/($G$11-$G$10)*1000000*($D$49-$B$60)</f>
        <v>336.97196168109764</v>
      </c>
      <c r="F66" s="267"/>
      <c r="G66" s="267">
        <f>($C$11-$C$10)*1000000*$B$14*(J$85+J$82)</f>
        <v>1472031050.0000002</v>
      </c>
      <c r="H66" s="267">
        <f>($C$11-$C$10)*1000000*$B$14*(J$88)</f>
        <v>789632550</v>
      </c>
      <c r="I66" s="141"/>
      <c r="J66" s="141"/>
      <c r="K66" s="141"/>
      <c r="L66" s="222"/>
    </row>
    <row r="67" spans="1:12" x14ac:dyDescent="0.25">
      <c r="A67" s="493" t="s">
        <v>592</v>
      </c>
      <c r="B67" s="210" t="s">
        <v>594</v>
      </c>
      <c r="C67" s="238"/>
      <c r="D67" s="238">
        <f>1/($G$11-$I$10)*1000000*($C$50-$B$60)</f>
        <v>240.08329392201031</v>
      </c>
      <c r="E67" s="238">
        <f>1/($G$11-$I$10)*1000000*($C$49-$B$60)</f>
        <v>342.01306819452248</v>
      </c>
      <c r="F67" s="267"/>
      <c r="G67" s="267">
        <f>($C$11-$E$10)*1000000*$B$14*(J$85+J$82)</f>
        <v>1262713340</v>
      </c>
      <c r="H67" s="267">
        <f>($C$11-$E$10)*1000000*$B$14*(J$88)</f>
        <v>677349540</v>
      </c>
      <c r="I67" s="141"/>
      <c r="J67" s="141"/>
      <c r="K67" s="141"/>
      <c r="L67" s="222"/>
    </row>
    <row r="68" spans="1:12" x14ac:dyDescent="0.25">
      <c r="A68" s="493"/>
      <c r="B68" s="147" t="s">
        <v>595</v>
      </c>
      <c r="C68" s="238">
        <f>1/($G$11-$H$9)*1000000*($C$52-$B$60)</f>
        <v>305.39155659580365</v>
      </c>
      <c r="D68" s="238">
        <f>1/($G$11-$H$10)*1000000*($C$50-$B$60)</f>
        <v>225.21087748436364</v>
      </c>
      <c r="E68" s="238">
        <f>1/($G$11-$H$10)*1000000*($C$49-$B$60)</f>
        <v>320.82641795238391</v>
      </c>
      <c r="F68" s="267">
        <f>($C$11-$D$9)*1000000*B$14*J$79</f>
        <v>156733500.00000003</v>
      </c>
      <c r="G68" s="267">
        <f>($C$11-$D$10)*1000000*$B$14*(J$85+J$82)</f>
        <v>1346100070</v>
      </c>
      <c r="H68" s="267">
        <f>($C$11-$D$10)*1000000*$B$14*(J$88)</f>
        <v>722080170</v>
      </c>
      <c r="I68" s="141"/>
      <c r="J68" s="141"/>
      <c r="K68" s="141"/>
      <c r="L68" s="222"/>
    </row>
    <row r="69" spans="1:12" x14ac:dyDescent="0.25">
      <c r="A69" s="493"/>
      <c r="B69" s="147" t="s">
        <v>596</v>
      </c>
      <c r="C69" s="238"/>
      <c r="D69" s="238">
        <f>1/($G$11-$G$10)*1000000*($C$50-$B$60)</f>
        <v>205.94428218512328</v>
      </c>
      <c r="E69" s="238">
        <f>1/($G$11-$G$10)*1000000*($C$49-$B$60)</f>
        <v>293.37999606975222</v>
      </c>
      <c r="F69" s="267"/>
      <c r="G69" s="267">
        <f>($C$11-$C$10)*1000000*$B$14*(J$85+J$82)</f>
        <v>1472031050.0000002</v>
      </c>
      <c r="H69" s="267">
        <f>($C$11-$C$10)*1000000*$B$14*(J$88)</f>
        <v>789632550</v>
      </c>
      <c r="I69" s="141"/>
      <c r="J69" s="141"/>
      <c r="K69" s="141"/>
      <c r="L69" s="222"/>
    </row>
    <row r="70" spans="1:12" x14ac:dyDescent="0.25">
      <c r="A70" s="493" t="s">
        <v>593</v>
      </c>
      <c r="B70" s="210" t="s">
        <v>594</v>
      </c>
      <c r="C70" s="238"/>
      <c r="D70" s="238">
        <f>1/($G$11-$I$10)*1000000*($B$50-$B$60)</f>
        <v>194.92849481053722</v>
      </c>
      <c r="E70" s="238">
        <f>1/($G$11-$I$10)*1000000*($B$49-$B$60)</f>
        <v>245.9760264949843</v>
      </c>
      <c r="F70" s="267"/>
      <c r="G70" s="267">
        <f>($C$11-$E$10)*1000000*$B$14*(J$85+J$82)</f>
        <v>1262713340</v>
      </c>
      <c r="H70" s="267">
        <f>($C$11-$E$10)*1000000*$B$14*(J$88)</f>
        <v>677349540</v>
      </c>
      <c r="I70" s="141"/>
      <c r="J70" s="141"/>
      <c r="K70" s="141"/>
      <c r="L70" s="222"/>
    </row>
    <row r="71" spans="1:12" x14ac:dyDescent="0.25">
      <c r="A71" s="493"/>
      <c r="B71" s="147" t="s">
        <v>595</v>
      </c>
      <c r="C71" s="238">
        <f>1/($G$11-$H$9)*1000000*($B$52-$B$60)</f>
        <v>175.07703290846115</v>
      </c>
      <c r="D71" s="238">
        <f>1/($G$11-$H$10)*1000000*($B$50-$B$60)</f>
        <v>182.85327831784906</v>
      </c>
      <c r="E71" s="238">
        <f>1/($G$11-$H$10)*1000000*($B$49-$B$60)</f>
        <v>230.73857352626842</v>
      </c>
      <c r="F71" s="267">
        <f>($C$11-$D$9)*1000000*B$14*J$79</f>
        <v>156733500.00000003</v>
      </c>
      <c r="G71" s="267">
        <f>($C$11-$D$10)*1000000*$B$14*(J$85+J$82)</f>
        <v>1346100070</v>
      </c>
      <c r="H71" s="267">
        <f>($C$11-$D$10)*1000000*$B$14*(J$88)</f>
        <v>722080170</v>
      </c>
      <c r="I71" s="141"/>
      <c r="J71" s="141"/>
      <c r="K71" s="141"/>
      <c r="L71" s="222"/>
    </row>
    <row r="72" spans="1:12" ht="15.75" thickBot="1" x14ac:dyDescent="0.3">
      <c r="A72" s="493"/>
      <c r="B72" s="147" t="s">
        <v>596</v>
      </c>
      <c r="C72" s="241"/>
      <c r="D72" s="241">
        <f>1/($G$11-$G$10)*1000000*($B$50-$B$60)</f>
        <v>167.21033890106199</v>
      </c>
      <c r="E72" s="241">
        <f>1/($G$11-$G$10)*1000000*($B$49-$B$60)</f>
        <v>210.99908862344316</v>
      </c>
      <c r="F72" s="289"/>
      <c r="G72" s="289">
        <f>($C$11-$C$10)*1000000*$B$14*(J$85+J$82)</f>
        <v>1472031050.0000002</v>
      </c>
      <c r="H72" s="289">
        <f>($C$11-$C$10)*1000000*$B$14*(J$88)</f>
        <v>789632550</v>
      </c>
      <c r="I72" s="233"/>
      <c r="J72" s="233"/>
      <c r="K72" s="233"/>
      <c r="L72" s="234"/>
    </row>
    <row r="74" spans="1:12" x14ac:dyDescent="0.25">
      <c r="A74" t="s">
        <v>515</v>
      </c>
    </row>
    <row r="75" spans="1:12" ht="15.75" thickBot="1" x14ac:dyDescent="0.3"/>
    <row r="76" spans="1:12" ht="15.75" thickBot="1" x14ac:dyDescent="0.3">
      <c r="G76" s="270"/>
      <c r="H76" s="271"/>
      <c r="I76" s="272" t="s">
        <v>601</v>
      </c>
      <c r="J76" s="273"/>
      <c r="K76" s="274"/>
    </row>
    <row r="77" spans="1:12" ht="45" x14ac:dyDescent="0.25">
      <c r="G77" s="285"/>
      <c r="H77" s="286" t="s">
        <v>602</v>
      </c>
      <c r="I77" s="287" t="s">
        <v>606</v>
      </c>
      <c r="J77" s="287" t="s">
        <v>607</v>
      </c>
      <c r="K77" s="288" t="s">
        <v>608</v>
      </c>
    </row>
    <row r="78" spans="1:12" x14ac:dyDescent="0.25">
      <c r="G78" s="485" t="s">
        <v>104</v>
      </c>
      <c r="H78" s="257" t="s">
        <v>35</v>
      </c>
      <c r="I78" s="259">
        <f>$A$6*$C$17</f>
        <v>4.08</v>
      </c>
      <c r="J78" s="259">
        <f>$B$6*$C$17</f>
        <v>4.6920000000000002</v>
      </c>
      <c r="K78" s="276">
        <f>$C$6*$C$17</f>
        <v>4.9979999999999993</v>
      </c>
    </row>
    <row r="79" spans="1:12" x14ac:dyDescent="0.25">
      <c r="G79" s="486"/>
      <c r="H79" s="257" t="s">
        <v>36</v>
      </c>
      <c r="I79" s="259">
        <f>$A$6*$D$17</f>
        <v>4.62</v>
      </c>
      <c r="J79" s="259">
        <f>$B$6*$D$17</f>
        <v>5.3130000000000006</v>
      </c>
      <c r="K79" s="276">
        <f>$C$6*$D$17</f>
        <v>5.6595000000000004</v>
      </c>
    </row>
    <row r="80" spans="1:12" ht="15.75" thickBot="1" x14ac:dyDescent="0.3">
      <c r="G80" s="487"/>
      <c r="H80" s="277" t="s">
        <v>37</v>
      </c>
      <c r="I80" s="259">
        <f>$A$6*$E$17</f>
        <v>7.9200000000000008</v>
      </c>
      <c r="J80" s="259">
        <f>$B$6*$E$17</f>
        <v>9.1080000000000005</v>
      </c>
      <c r="K80" s="276">
        <f>$C$6*$E$17</f>
        <v>9.702</v>
      </c>
    </row>
    <row r="81" spans="7:11" x14ac:dyDescent="0.25">
      <c r="G81" s="488" t="s">
        <v>1</v>
      </c>
      <c r="H81" s="257" t="s">
        <v>35</v>
      </c>
      <c r="I81" s="259">
        <f>$A$6*$C$18</f>
        <v>11.840000000000002</v>
      </c>
      <c r="J81" s="259">
        <f>$B$6*$C$18</f>
        <v>13.616000000000001</v>
      </c>
      <c r="K81" s="276">
        <f>$C$6*$C$18</f>
        <v>14.504</v>
      </c>
    </row>
    <row r="82" spans="7:11" x14ac:dyDescent="0.25">
      <c r="G82" s="489"/>
      <c r="H82" s="257" t="s">
        <v>36</v>
      </c>
      <c r="I82" s="259">
        <f>$A$6*$D$18</f>
        <v>22.748000000000005</v>
      </c>
      <c r="J82" s="259">
        <f>$B$6*$D$18</f>
        <v>26.160200000000003</v>
      </c>
      <c r="K82" s="276">
        <f>$C$6*$D$18</f>
        <v>27.866300000000003</v>
      </c>
    </row>
    <row r="83" spans="7:11" ht="15.75" thickBot="1" x14ac:dyDescent="0.3">
      <c r="G83" s="490"/>
      <c r="H83" s="277" t="s">
        <v>37</v>
      </c>
      <c r="I83" s="259">
        <f>$A$6*$E$18</f>
        <v>41.160000000000004</v>
      </c>
      <c r="J83" s="259">
        <f>$B$6*$E$18</f>
        <v>47.334000000000003</v>
      </c>
      <c r="K83" s="276">
        <f>$C$6*$E$18</f>
        <v>50.420999999999999</v>
      </c>
    </row>
    <row r="84" spans="7:11" x14ac:dyDescent="0.25">
      <c r="G84" s="488" t="s">
        <v>0</v>
      </c>
      <c r="H84" s="257" t="s">
        <v>35</v>
      </c>
      <c r="I84" s="259">
        <f>$A$6*$C$19</f>
        <v>5.9200000000000008</v>
      </c>
      <c r="J84" s="259">
        <f>$B$6*$C$19</f>
        <v>6.8080000000000007</v>
      </c>
      <c r="K84" s="276">
        <f>$C$6*$C$19</f>
        <v>7.2519999999999998</v>
      </c>
    </row>
    <row r="85" spans="7:11" x14ac:dyDescent="0.25">
      <c r="G85" s="489"/>
      <c r="H85" s="257" t="s">
        <v>36</v>
      </c>
      <c r="I85" s="259">
        <f>$A$6*$D$19</f>
        <v>6.8480000000000008</v>
      </c>
      <c r="J85" s="259">
        <f>$B$6*$D$19</f>
        <v>7.8752000000000004</v>
      </c>
      <c r="K85" s="276">
        <f>$C$6*$D$19</f>
        <v>8.3887999999999998</v>
      </c>
    </row>
    <row r="86" spans="7:11" ht="15.75" thickBot="1" x14ac:dyDescent="0.3">
      <c r="G86" s="489"/>
      <c r="H86" s="277" t="s">
        <v>37</v>
      </c>
      <c r="I86" s="259">
        <f>$A$6*$E$19</f>
        <v>15.64</v>
      </c>
      <c r="J86" s="259">
        <f>$B$6*$E$19</f>
        <v>17.986000000000001</v>
      </c>
      <c r="K86" s="276">
        <f>$C$6*$E$19</f>
        <v>19.158999999999999</v>
      </c>
    </row>
    <row r="87" spans="7:11" x14ac:dyDescent="0.25">
      <c r="G87" s="437" t="s">
        <v>34</v>
      </c>
      <c r="H87" s="257" t="s">
        <v>35</v>
      </c>
      <c r="I87" s="259">
        <f>$A$6*$C$20</f>
        <v>9.3239999999999998</v>
      </c>
      <c r="J87" s="259">
        <f>$B$6*$C$20</f>
        <v>10.7226</v>
      </c>
      <c r="K87" s="276">
        <f>$C$6*$C$20</f>
        <v>11.421899999999999</v>
      </c>
    </row>
    <row r="88" spans="7:11" x14ac:dyDescent="0.25">
      <c r="G88" s="437"/>
      <c r="H88" s="257" t="s">
        <v>36</v>
      </c>
      <c r="I88" s="259">
        <f>$A$6*$D$20</f>
        <v>15.875999999999999</v>
      </c>
      <c r="J88" s="259">
        <f>$B$6*$D$20</f>
        <v>18.257400000000001</v>
      </c>
      <c r="K88" s="276">
        <f>$C$6*$D$20</f>
        <v>19.4481</v>
      </c>
    </row>
    <row r="89" spans="7:11" ht="15.75" thickBot="1" x14ac:dyDescent="0.3">
      <c r="G89" s="440"/>
      <c r="H89" s="277" t="s">
        <v>37</v>
      </c>
      <c r="I89" s="278">
        <f>$A$6*$E$20</f>
        <v>27.468000000000004</v>
      </c>
      <c r="J89" s="278">
        <f>$B$6*$E$20</f>
        <v>31.588200000000001</v>
      </c>
      <c r="K89" s="279">
        <f>$C$6*$E$20</f>
        <v>33.648299999999999</v>
      </c>
    </row>
  </sheetData>
  <mergeCells count="33">
    <mergeCell ref="A56:D56"/>
    <mergeCell ref="E57:G58"/>
    <mergeCell ref="H51:I52"/>
    <mergeCell ref="A12:L12"/>
    <mergeCell ref="A15:L15"/>
    <mergeCell ref="A9:A10"/>
    <mergeCell ref="A21:L21"/>
    <mergeCell ref="L5:L6"/>
    <mergeCell ref="A7:L7"/>
    <mergeCell ref="A11:B11"/>
    <mergeCell ref="C11:E11"/>
    <mergeCell ref="G11:I11"/>
    <mergeCell ref="A1:L2"/>
    <mergeCell ref="A3:L3"/>
    <mergeCell ref="A4:C4"/>
    <mergeCell ref="E4:G4"/>
    <mergeCell ref="I4:K4"/>
    <mergeCell ref="G87:G89"/>
    <mergeCell ref="F62:H62"/>
    <mergeCell ref="A46:D46"/>
    <mergeCell ref="E46:G46"/>
    <mergeCell ref="G78:G80"/>
    <mergeCell ref="G81:G83"/>
    <mergeCell ref="G84:G86"/>
    <mergeCell ref="C62:E62"/>
    <mergeCell ref="A64:A66"/>
    <mergeCell ref="A67:A69"/>
    <mergeCell ref="A70:A72"/>
    <mergeCell ref="A63:B63"/>
    <mergeCell ref="A59:L59"/>
    <mergeCell ref="A61:B61"/>
    <mergeCell ref="A53:D53"/>
    <mergeCell ref="E54:G5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N73"/>
  <sheetViews>
    <sheetView topLeftCell="A22" zoomScale="85" zoomScaleNormal="85" workbookViewId="0">
      <selection activeCell="F42" sqref="F42"/>
    </sheetView>
  </sheetViews>
  <sheetFormatPr baseColWidth="10" defaultRowHeight="15" x14ac:dyDescent="0.25"/>
  <cols>
    <col min="1" max="1" width="31.85546875" customWidth="1"/>
    <col min="2" max="2" width="41.85546875" customWidth="1"/>
    <col min="3" max="3" width="16.42578125" customWidth="1"/>
    <col min="4" max="4" width="16.7109375" customWidth="1"/>
    <col min="5" max="5" width="18.85546875" customWidth="1"/>
    <col min="6" max="6" width="19.7109375" customWidth="1"/>
    <col min="7" max="7" width="19.28515625" customWidth="1"/>
    <col min="8" max="8" width="17.8554687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37" t="s">
        <v>475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9"/>
    </row>
    <row r="2" spans="1:12" ht="14.45" customHeight="1" thickBot="1" x14ac:dyDescent="0.3">
      <c r="A2" s="540"/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2"/>
    </row>
    <row r="3" spans="1:12" x14ac:dyDescent="0.25">
      <c r="A3" s="547" t="s">
        <v>314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9"/>
    </row>
    <row r="4" spans="1:12" x14ac:dyDescent="0.25">
      <c r="A4" s="481" t="s">
        <v>422</v>
      </c>
      <c r="B4" s="482"/>
      <c r="C4" s="483"/>
      <c r="D4" s="141"/>
      <c r="E4" s="491" t="s">
        <v>423</v>
      </c>
      <c r="F4" s="482"/>
      <c r="G4" s="483"/>
      <c r="H4" s="138"/>
      <c r="I4" s="491" t="s">
        <v>424</v>
      </c>
      <c r="J4" s="482"/>
      <c r="K4" s="483"/>
      <c r="L4" s="162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139" t="s">
        <v>281</v>
      </c>
      <c r="F5" s="139" t="s">
        <v>279</v>
      </c>
      <c r="G5" s="139" t="s">
        <v>280</v>
      </c>
      <c r="H5" s="141"/>
      <c r="I5" s="139" t="s">
        <v>281</v>
      </c>
      <c r="J5" s="139" t="s">
        <v>279</v>
      </c>
      <c r="K5" s="139" t="s">
        <v>280</v>
      </c>
      <c r="L5" s="523" t="s">
        <v>465</v>
      </c>
    </row>
    <row r="6" spans="1:12" x14ac:dyDescent="0.25">
      <c r="A6" s="164">
        <v>0.42</v>
      </c>
      <c r="B6" s="140">
        <v>0.66</v>
      </c>
      <c r="C6" s="140">
        <v>0.85</v>
      </c>
      <c r="D6" s="142"/>
      <c r="E6" s="140">
        <v>0.71</v>
      </c>
      <c r="F6" s="140">
        <v>0.88</v>
      </c>
      <c r="G6" s="140">
        <v>0.92</v>
      </c>
      <c r="H6" s="142"/>
      <c r="I6" s="140">
        <v>0.08</v>
      </c>
      <c r="J6" s="140">
        <v>0.09</v>
      </c>
      <c r="K6" s="140">
        <v>0.11</v>
      </c>
      <c r="L6" s="545"/>
    </row>
    <row r="7" spans="1:12" x14ac:dyDescent="0.25">
      <c r="A7" s="550" t="s">
        <v>461</v>
      </c>
      <c r="B7" s="551"/>
      <c r="C7" s="551"/>
      <c r="D7" s="551"/>
      <c r="E7" s="551"/>
      <c r="F7" s="551"/>
      <c r="G7" s="551"/>
      <c r="H7" s="551"/>
      <c r="I7" s="551"/>
      <c r="J7" s="551"/>
      <c r="K7" s="551"/>
      <c r="L7" s="552"/>
    </row>
    <row r="8" spans="1:12" ht="30" x14ac:dyDescent="0.25">
      <c r="A8" s="165"/>
      <c r="B8" s="141"/>
      <c r="C8" s="152" t="s">
        <v>197</v>
      </c>
      <c r="D8" s="152" t="s">
        <v>198</v>
      </c>
      <c r="E8" s="152" t="s">
        <v>199</v>
      </c>
      <c r="F8" s="90" t="s">
        <v>562</v>
      </c>
      <c r="G8" s="152" t="s">
        <v>511</v>
      </c>
      <c r="H8" s="152" t="s">
        <v>512</v>
      </c>
      <c r="I8" s="152" t="s">
        <v>513</v>
      </c>
      <c r="J8" s="141"/>
      <c r="K8" s="141"/>
      <c r="L8" s="166" t="s">
        <v>462</v>
      </c>
    </row>
    <row r="9" spans="1:12" x14ac:dyDescent="0.25">
      <c r="A9" s="543" t="s">
        <v>8</v>
      </c>
      <c r="B9" s="153" t="s">
        <v>204</v>
      </c>
      <c r="C9" s="139" t="s">
        <v>9</v>
      </c>
      <c r="D9" s="139">
        <v>20.7</v>
      </c>
      <c r="E9" s="139" t="s">
        <v>9</v>
      </c>
      <c r="F9" s="202" t="s">
        <v>514</v>
      </c>
      <c r="G9" s="139" t="s">
        <v>9</v>
      </c>
      <c r="H9" s="139">
        <f>D9*35.3</f>
        <v>730.70999999999992</v>
      </c>
      <c r="I9" s="139" t="s">
        <v>9</v>
      </c>
      <c r="J9" s="141"/>
      <c r="K9" s="141"/>
      <c r="L9" s="167" t="s">
        <v>463</v>
      </c>
    </row>
    <row r="10" spans="1:12" ht="18" customHeight="1" x14ac:dyDescent="0.25">
      <c r="A10" s="544"/>
      <c r="B10" s="153" t="s">
        <v>205</v>
      </c>
      <c r="C10" s="139">
        <v>38.4</v>
      </c>
      <c r="D10" s="139">
        <v>59</v>
      </c>
      <c r="E10" s="139">
        <v>97.9</v>
      </c>
      <c r="F10" s="146"/>
      <c r="G10" s="139">
        <f>C10*35.3</f>
        <v>1355.5199999999998</v>
      </c>
      <c r="H10" s="139">
        <f>D10*35.3</f>
        <v>2082.6999999999998</v>
      </c>
      <c r="I10" s="139">
        <f>E10*35.3</f>
        <v>3455.87</v>
      </c>
      <c r="J10" s="142"/>
      <c r="K10" s="142"/>
      <c r="L10" s="167" t="s">
        <v>464</v>
      </c>
    </row>
    <row r="11" spans="1:12" ht="18" customHeight="1" x14ac:dyDescent="0.25">
      <c r="A11" s="525" t="s">
        <v>489</v>
      </c>
      <c r="B11" s="546"/>
      <c r="C11" s="527">
        <v>86.8</v>
      </c>
      <c r="D11" s="528"/>
      <c r="E11" s="529"/>
      <c r="F11" s="145"/>
      <c r="G11" s="527">
        <f>C11*35.3</f>
        <v>3064.0399999999995</v>
      </c>
      <c r="H11" s="528"/>
      <c r="I11" s="529"/>
      <c r="J11" s="141"/>
      <c r="K11" s="141"/>
      <c r="L11" s="167" t="s">
        <v>490</v>
      </c>
    </row>
    <row r="12" spans="1:12" x14ac:dyDescent="0.25">
      <c r="A12" s="550" t="s">
        <v>468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</row>
    <row r="13" spans="1:12" x14ac:dyDescent="0.25">
      <c r="A13" s="168" t="s">
        <v>466</v>
      </c>
      <c r="B13" s="143">
        <f>12.8/(12.8+68.1+1.8+1.6+4.2)</f>
        <v>0.14463276836158195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66" t="s">
        <v>462</v>
      </c>
    </row>
    <row r="14" spans="1:12" x14ac:dyDescent="0.25">
      <c r="A14" s="168" t="s">
        <v>467</v>
      </c>
      <c r="B14" s="143">
        <f>49.4/(49.4+23.3+7+6+4.2)</f>
        <v>0.54949944382647375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65</v>
      </c>
    </row>
    <row r="15" spans="1:12" x14ac:dyDescent="0.25">
      <c r="A15" s="550" t="s">
        <v>469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</row>
    <row r="16" spans="1:12" x14ac:dyDescent="0.25">
      <c r="A16" s="168" t="s">
        <v>471</v>
      </c>
      <c r="B16" s="144" t="s">
        <v>45</v>
      </c>
      <c r="C16" s="144" t="s">
        <v>35</v>
      </c>
      <c r="D16" s="144" t="s">
        <v>470</v>
      </c>
      <c r="E16" s="144" t="s">
        <v>37</v>
      </c>
      <c r="F16" s="144" t="s">
        <v>48</v>
      </c>
      <c r="G16" s="141"/>
      <c r="H16" s="141"/>
      <c r="I16" s="141"/>
      <c r="J16" s="141"/>
      <c r="K16" s="141"/>
      <c r="L16" s="166" t="s">
        <v>462</v>
      </c>
    </row>
    <row r="17" spans="1:12" x14ac:dyDescent="0.25">
      <c r="A17" s="169" t="s">
        <v>474</v>
      </c>
      <c r="B17" s="144" t="s">
        <v>9</v>
      </c>
      <c r="C17" s="144" t="s">
        <v>9</v>
      </c>
      <c r="D17" s="144">
        <v>1</v>
      </c>
      <c r="E17" s="144" t="s">
        <v>9</v>
      </c>
      <c r="F17" s="144" t="s">
        <v>9</v>
      </c>
      <c r="G17" s="141"/>
      <c r="H17" s="141"/>
      <c r="I17" s="141"/>
      <c r="J17" s="141"/>
      <c r="K17" s="141"/>
      <c r="L17" s="166"/>
    </row>
    <row r="18" spans="1:12" x14ac:dyDescent="0.25">
      <c r="A18" s="170" t="s">
        <v>34</v>
      </c>
      <c r="B18" s="14">
        <f>8*0.09</f>
        <v>0.72</v>
      </c>
      <c r="C18" s="14">
        <f>0.09*37</f>
        <v>3.33</v>
      </c>
      <c r="D18" s="14">
        <f>0.09*63</f>
        <v>5.67</v>
      </c>
      <c r="E18" s="14">
        <f>0.09*109</f>
        <v>9.81</v>
      </c>
      <c r="F18" s="14">
        <f>0.09*217</f>
        <v>19.529999999999998</v>
      </c>
      <c r="G18" s="142"/>
      <c r="H18" s="142"/>
      <c r="I18" s="142"/>
      <c r="J18" s="142"/>
      <c r="K18" s="142"/>
      <c r="L18" s="167" t="s">
        <v>472</v>
      </c>
    </row>
    <row r="19" spans="1:12" x14ac:dyDescent="0.25">
      <c r="A19" s="550" t="s">
        <v>473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2"/>
    </row>
    <row r="20" spans="1:12" ht="75" x14ac:dyDescent="0.25">
      <c r="A20" s="168" t="s">
        <v>227</v>
      </c>
      <c r="B20" s="160" t="s">
        <v>496</v>
      </c>
      <c r="C20" s="160" t="s">
        <v>493</v>
      </c>
      <c r="D20" s="160" t="s">
        <v>494</v>
      </c>
      <c r="E20" s="160" t="s">
        <v>495</v>
      </c>
      <c r="F20" s="161" t="s">
        <v>488</v>
      </c>
      <c r="G20" s="161" t="s">
        <v>487</v>
      </c>
      <c r="H20" s="180" t="s">
        <v>500</v>
      </c>
      <c r="I20" s="404" t="s">
        <v>847</v>
      </c>
      <c r="J20" s="201"/>
      <c r="K20" s="201"/>
      <c r="L20" s="166" t="s">
        <v>462</v>
      </c>
    </row>
    <row r="21" spans="1:12" x14ac:dyDescent="0.25">
      <c r="A21" s="171" t="str">
        <f>Biomass_Cost!B2</f>
        <v>UCO</v>
      </c>
      <c r="B21" s="181">
        <f>Biomass_Cost!F2</f>
        <v>8.7550341446331642E-2</v>
      </c>
      <c r="C21" s="182">
        <f>Biomass_Cost!H2</f>
        <v>0.22763088776046225</v>
      </c>
      <c r="D21" s="182">
        <f>Biomass_Cost!J2</f>
        <v>0.75293293643845205</v>
      </c>
      <c r="E21" s="182">
        <f>Biomass_Cost!Q2</f>
        <v>1.068114165645246</v>
      </c>
      <c r="F21" s="182">
        <f>Biomass_Cost!Z2</f>
        <v>327066.04190011555</v>
      </c>
      <c r="G21" s="205">
        <f>Biomass_Cost!AA2</f>
        <v>2075</v>
      </c>
      <c r="H21" s="183" t="str">
        <f>Biomass_Cost!C2</f>
        <v>HEFA-Waste</v>
      </c>
      <c r="I21" s="390">
        <f>D21*$F$6/35.3</f>
        <v>1.8769999548607304E-2</v>
      </c>
      <c r="J21" s="141"/>
      <c r="K21" s="141"/>
      <c r="L21" s="172" t="str">
        <f>Biomass_Cost!R2</f>
        <v>[1]</v>
      </c>
    </row>
    <row r="22" spans="1:12" x14ac:dyDescent="0.25">
      <c r="A22" s="171" t="str">
        <f>Biomass_Cost!B3</f>
        <v>Yellow grease</v>
      </c>
      <c r="B22" s="184">
        <f>Biomass_Cost!F3</f>
        <v>0.17510068289266328</v>
      </c>
      <c r="C22" s="175">
        <f>Biomass_Cost!H3</f>
        <v>0.16634564874803009</v>
      </c>
      <c r="D22" s="175">
        <f>Biomass_Cost!J3</f>
        <v>0.50779198038872342</v>
      </c>
      <c r="E22" s="175">
        <f>Biomass_Cost!Q3</f>
        <v>0.83172824374015042</v>
      </c>
      <c r="F22" s="175">
        <f>Biomass_Cost!Z3</f>
        <v>654132.08380023192</v>
      </c>
      <c r="G22" s="206">
        <f>Biomass_Cost!AA3</f>
        <v>244</v>
      </c>
      <c r="H22" s="155" t="str">
        <f>Biomass_Cost!C3</f>
        <v>HEFA-Waste</v>
      </c>
      <c r="I22" s="390">
        <f>D22*$F$6/35.3</f>
        <v>1.2658836904874692E-2</v>
      </c>
      <c r="J22" s="141"/>
      <c r="K22" s="141"/>
      <c r="L22" s="172" t="str">
        <f>Biomass_Cost!R3</f>
        <v>[2]</v>
      </c>
    </row>
    <row r="23" spans="1:12" x14ac:dyDescent="0.25">
      <c r="A23" s="171" t="str">
        <f>Biomass_Cost!B4</f>
        <v>Tallow</v>
      </c>
      <c r="B23" s="184">
        <f>Biomass_Cost!F4</f>
        <v>0.17510068289266328</v>
      </c>
      <c r="C23" s="175">
        <f>Biomass_Cost!H4</f>
        <v>0.16634564874803009</v>
      </c>
      <c r="D23" s="175">
        <f>Biomass_Cost!J4</f>
        <v>0.63911749255822092</v>
      </c>
      <c r="E23" s="175">
        <f>Biomass_Cost!Q4</f>
        <v>0.96743127298196452</v>
      </c>
      <c r="F23" s="175">
        <f>Biomass_Cost!Z4</f>
        <v>654132.08380023192</v>
      </c>
      <c r="G23" s="206">
        <f>Biomass_Cost!AA4</f>
        <v>244</v>
      </c>
      <c r="H23" s="155" t="str">
        <f>Biomass_Cost!C4</f>
        <v>HEFA-Waste</v>
      </c>
      <c r="I23" s="390">
        <f>D23*$F$6/35.3</f>
        <v>1.5932674035445734E-2</v>
      </c>
      <c r="J23" s="141"/>
      <c r="K23" s="141"/>
      <c r="L23" s="172" t="str">
        <f>Biomass_Cost!R4</f>
        <v>[2]</v>
      </c>
    </row>
    <row r="24" spans="1:12" x14ac:dyDescent="0.25">
      <c r="A24" s="171" t="str">
        <f>Biomass_Cost!B5</f>
        <v>Soybean oil</v>
      </c>
      <c r="B24" s="184">
        <f>Biomass_Cost!F5</f>
        <v>0.17510068289266328</v>
      </c>
      <c r="C24" s="175">
        <f>Biomass_Cost!H5</f>
        <v>0.16634564874803009</v>
      </c>
      <c r="D24" s="175">
        <f>Biomass_Cost!J5</f>
        <v>0.74417790229381886</v>
      </c>
      <c r="E24" s="175">
        <f>Biomass_Cost!Q5</f>
        <v>1.0812467168621958</v>
      </c>
      <c r="F24" s="175">
        <f>Biomass_Cost!Z5</f>
        <v>654132.08380023192</v>
      </c>
      <c r="G24" s="206">
        <f>Biomass_Cost!AA5</f>
        <v>244</v>
      </c>
      <c r="H24" s="155" t="str">
        <f>Biomass_Cost!C5</f>
        <v>HEFA-Energy</v>
      </c>
      <c r="I24" s="390">
        <f>D24*($F$6*$B$6)/35.3</f>
        <v>1.2244150868335696E-2</v>
      </c>
      <c r="J24" s="141"/>
      <c r="K24" s="141"/>
      <c r="L24" s="172" t="str">
        <f>Biomass_Cost!R5</f>
        <v>[2]</v>
      </c>
    </row>
    <row r="25" spans="1:12" x14ac:dyDescent="0.25">
      <c r="A25" s="171" t="str">
        <f>Biomass_Cost!B6</f>
        <v>Jatropha oil</v>
      </c>
      <c r="B25" s="184">
        <f>Biomass_Cost!F6</f>
        <v>7.8795307301698467E-2</v>
      </c>
      <c r="C25" s="175">
        <f>Biomass_Cost!H6</f>
        <v>0.1225704780248643</v>
      </c>
      <c r="D25" s="175">
        <f>Biomass_Cost!J6</f>
        <v>1.8122920679390646</v>
      </c>
      <c r="E25" s="175">
        <f>Biomass_Cost!Q6</f>
        <v>1.5846611801786026</v>
      </c>
      <c r="F25" s="175">
        <f>Biomass_Cost!Z6</f>
        <v>294359.43771010416</v>
      </c>
      <c r="G25" s="206">
        <f>Biomass_Cost!AA6</f>
        <v>2560</v>
      </c>
      <c r="H25" s="155" t="str">
        <f>Biomass_Cost!C6</f>
        <v>HEFA-Energy</v>
      </c>
      <c r="I25" s="390">
        <f>D25*($F$6*$B$6)/35.3</f>
        <v>2.9818108585241043E-2</v>
      </c>
      <c r="J25" s="141"/>
      <c r="K25" s="141"/>
      <c r="L25" s="172" t="str">
        <f>Biomass_Cost!R6</f>
        <v>[3]</v>
      </c>
    </row>
    <row r="26" spans="1:12" x14ac:dyDescent="0.25">
      <c r="A26" s="171" t="str">
        <f>Biomass_Cost!B7</f>
        <v>Palm oil</v>
      </c>
      <c r="B26" s="184">
        <f>Biomass_Cost!F7</f>
        <v>7.0040273157065305E-2</v>
      </c>
      <c r="C26" s="175">
        <f>Biomass_Cost!H7</f>
        <v>0.11381544388023113</v>
      </c>
      <c r="D26" s="175">
        <f>Biomass_Cost!J7</f>
        <v>0.91052355104184901</v>
      </c>
      <c r="E26" s="175">
        <f>Biomass_Cost!Q7</f>
        <v>0.70040273157065314</v>
      </c>
      <c r="F26" s="175">
        <f>Biomass_Cost!Z7</f>
        <v>261652.8335200928</v>
      </c>
      <c r="G26" s="206">
        <f>Biomass_Cost!AA7</f>
        <v>2560</v>
      </c>
      <c r="H26" s="155" t="str">
        <f>Biomass_Cost!C7</f>
        <v>HEFA-Energy</v>
      </c>
      <c r="I26" s="390">
        <f t="shared" ref="I26" si="0">D26*($F$6*$B$6)/35.3</f>
        <v>1.4981078709493088E-2</v>
      </c>
      <c r="J26" s="141"/>
      <c r="K26" s="141"/>
      <c r="L26" s="172" t="str">
        <f>Biomass_Cost!R7</f>
        <v>[3]</v>
      </c>
    </row>
    <row r="27" spans="1:12" x14ac:dyDescent="0.25">
      <c r="A27" s="171" t="str">
        <f>Biomass_Cost!B8</f>
        <v>Vegetable oil</v>
      </c>
      <c r="B27" s="184">
        <f>Biomass_Cost!F8</f>
        <v>0.28891612677289441</v>
      </c>
      <c r="C27" s="175">
        <f>Biomass_Cost!H8</f>
        <v>0.1488355804587638</v>
      </c>
      <c r="D27" s="175">
        <f>Biomass_Cost!J8</f>
        <v>1.3920504289966731</v>
      </c>
      <c r="E27" s="175">
        <f>Biomass_Cost!Q8</f>
        <v>1.558396077744703</v>
      </c>
      <c r="F27" s="175">
        <f>Biomass_Cost!Z8</f>
        <v>1079317.9382703817</v>
      </c>
      <c r="G27" s="206">
        <f>Biomass_Cost!AA8</f>
        <v>220</v>
      </c>
      <c r="H27" s="155" t="str">
        <f>Biomass_Cost!C8</f>
        <v>HEFA-Energy</v>
      </c>
      <c r="I27" s="390">
        <f>D27*($F$6*$B$6)/35.3</f>
        <v>2.2903764565475007E-2</v>
      </c>
      <c r="J27" s="141"/>
      <c r="K27" s="141"/>
      <c r="L27" s="172" t="str">
        <f>Biomass_Cost!R8</f>
        <v>[4]</v>
      </c>
    </row>
    <row r="28" spans="1:12" x14ac:dyDescent="0.25">
      <c r="A28" s="171" t="str">
        <f>Biomass_Cost!B9</f>
        <v>UCO</v>
      </c>
      <c r="B28" s="184">
        <f>Biomass_Cost!F9</f>
        <v>8.7550341446331642E-2</v>
      </c>
      <c r="C28" s="175">
        <f>Biomass_Cost!H9</f>
        <v>0.11381544388023113</v>
      </c>
      <c r="D28" s="175">
        <f>Biomass_Cost!J9</f>
        <v>0.48152687795482402</v>
      </c>
      <c r="E28" s="175">
        <f>Biomass_Cost!Q9</f>
        <v>0.68289266328138676</v>
      </c>
      <c r="F28" s="175">
        <f>Biomass_Cost!Z9</f>
        <v>327066.04190011555</v>
      </c>
      <c r="G28" s="206" t="s">
        <v>482</v>
      </c>
      <c r="H28" s="155" t="str">
        <f>Biomass_Cost!C9</f>
        <v>HEFA-Waste</v>
      </c>
      <c r="I28" s="390">
        <f>D28*$F$6/35.3</f>
        <v>1.2004069478760487E-2</v>
      </c>
      <c r="J28" s="141"/>
      <c r="K28" s="141"/>
      <c r="L28" s="172" t="str">
        <f>Biomass_Cost!R9</f>
        <v>[5]</v>
      </c>
    </row>
    <row r="29" spans="1:12" x14ac:dyDescent="0.25">
      <c r="A29" s="171" t="str">
        <f>Biomass_Cost!B49</f>
        <v>Soybean oil</v>
      </c>
      <c r="B29" s="184">
        <f>Biomass_Cost!F49</f>
        <v>0.33020216546632902</v>
      </c>
      <c r="C29" s="175">
        <f>Biomass_Cost!H49</f>
        <v>0.10247653411023512</v>
      </c>
      <c r="D29" s="175">
        <f>Biomass_Cost!J49</f>
        <v>0.67179061250046546</v>
      </c>
      <c r="E29" s="175">
        <f>Biomass_Cost!Q49</f>
        <v>1.1044693120770295</v>
      </c>
      <c r="F29" s="175">
        <f>Biomass_Cost!Z49</f>
        <v>1064024.8168066801</v>
      </c>
      <c r="G29" s="206">
        <f>Biomass_Cost!AA49</f>
        <v>504.10958904109594</v>
      </c>
      <c r="H29" s="155" t="str">
        <f>Biomass_Cost!C49</f>
        <v>HEFA-Energy</v>
      </c>
      <c r="I29" s="390">
        <f>D29*($F$6*$B$6)/35.3</f>
        <v>1.1053144128619557E-2</v>
      </c>
      <c r="J29" s="141"/>
      <c r="K29" s="141"/>
      <c r="L29" s="172" t="str">
        <f>Biomass_Cost!R49</f>
        <v>[12]</v>
      </c>
    </row>
    <row r="30" spans="1:12" x14ac:dyDescent="0.25">
      <c r="A30" s="171" t="str">
        <f>Biomass_Cost!B50</f>
        <v>Palm oil</v>
      </c>
      <c r="B30" s="184">
        <f>Biomass_Cost!F50</f>
        <v>0.33020216546632902</v>
      </c>
      <c r="C30" s="175">
        <f>Biomass_Cost!H50</f>
        <v>0.12524909724584685</v>
      </c>
      <c r="D30" s="175">
        <f>Biomass_Cost!J50</f>
        <v>0.5693140783902253</v>
      </c>
      <c r="E30" s="175">
        <f>Biomass_Cost!Q50</f>
        <v>1.0247653411024011</v>
      </c>
      <c r="F30" s="175">
        <f>Biomass_Cost!Z50</f>
        <v>1064024.8168066801</v>
      </c>
      <c r="G30" s="206">
        <f>Biomass_Cost!AA50</f>
        <v>504.10958904109594</v>
      </c>
      <c r="H30" s="155" t="str">
        <f>Biomass_Cost!C50</f>
        <v>HEFA-Energy</v>
      </c>
      <c r="I30" s="390">
        <f t="shared" ref="I30:I32" si="1">D30*($F$6*$B$6)/35.3</f>
        <v>9.3670712954403088E-3</v>
      </c>
      <c r="J30" s="141"/>
      <c r="K30" s="141"/>
      <c r="L30" s="172" t="str">
        <f>Biomass_Cost!R50</f>
        <v>[12]</v>
      </c>
    </row>
    <row r="31" spans="1:12" x14ac:dyDescent="0.25">
      <c r="A31" s="171" t="str">
        <f>Biomass_Cost!B51</f>
        <v>Palm PFAD</v>
      </c>
      <c r="B31" s="184">
        <f>Biomass_Cost!F51</f>
        <v>0.31881588389852467</v>
      </c>
      <c r="C31" s="175">
        <f>Biomass_Cost!H51</f>
        <v>0.12524909724584979</v>
      </c>
      <c r="D31" s="175">
        <f>Biomass_Cost!J51</f>
        <v>0.53515523368681139</v>
      </c>
      <c r="E31" s="175">
        <f>Biomass_Cost!Q51</f>
        <v>0.97922021483118582</v>
      </c>
      <c r="F31" s="175">
        <f>Biomass_Cost!Z51</f>
        <v>1008023.51065896</v>
      </c>
      <c r="G31" s="206">
        <f>Biomass_Cost!AA51</f>
        <v>504.10958904109594</v>
      </c>
      <c r="H31" s="155" t="str">
        <f>Biomass_Cost!C51</f>
        <v>HEFA-Energy</v>
      </c>
      <c r="I31" s="390">
        <f t="shared" si="1"/>
        <v>8.8050470177138823E-3</v>
      </c>
      <c r="J31" s="141"/>
      <c r="K31" s="141"/>
      <c r="L31" s="172" t="str">
        <f>Biomass_Cost!R51</f>
        <v>[12]</v>
      </c>
    </row>
    <row r="32" spans="1:12" x14ac:dyDescent="0.25">
      <c r="A32" s="171" t="str">
        <f>Biomass_Cost!B52</f>
        <v>UCO</v>
      </c>
      <c r="B32" s="184">
        <f>Biomass_Cost!F52</f>
        <v>0.33020216546632902</v>
      </c>
      <c r="C32" s="175">
        <f>Biomass_Cost!H52</f>
        <v>9.1090252542435843E-2</v>
      </c>
      <c r="D32" s="175">
        <f>Biomass_Cost!J52</f>
        <v>0.46683754427998414</v>
      </c>
      <c r="E32" s="175">
        <f>Biomass_Cost!Q52</f>
        <v>0.88812996228874896</v>
      </c>
      <c r="F32" s="175">
        <f>Biomass_Cost!Z52</f>
        <v>1064024.8168066801</v>
      </c>
      <c r="G32" s="206">
        <f>Biomass_Cost!AA52</f>
        <v>504.10958904109594</v>
      </c>
      <c r="H32" s="155" t="str">
        <f>Biomass_Cost!C52</f>
        <v>HEFA-Waste</v>
      </c>
      <c r="I32" s="390">
        <f t="shared" si="1"/>
        <v>7.6809984622610425E-3</v>
      </c>
      <c r="J32" s="141"/>
      <c r="K32" s="141"/>
      <c r="L32" s="172" t="str">
        <f>Biomass_Cost!R52</f>
        <v>[12]</v>
      </c>
    </row>
    <row r="33" spans="1:12" x14ac:dyDescent="0.25">
      <c r="A33" s="171" t="str">
        <f>Biomass_Cost!B77</f>
        <v>Soybean oil</v>
      </c>
      <c r="B33" s="184" t="s">
        <v>482</v>
      </c>
      <c r="C33" s="184" t="s">
        <v>482</v>
      </c>
      <c r="D33" s="184" t="s">
        <v>482</v>
      </c>
      <c r="E33" s="175">
        <f>Biomass_Cost!Q77</f>
        <v>0.87479411913451033</v>
      </c>
      <c r="F33" s="175">
        <f>Biomass_Cost!Z77</f>
        <v>253578.97642851429</v>
      </c>
      <c r="G33" s="206">
        <f>Biomass_Cost!AA77</f>
        <v>768.07345587287682</v>
      </c>
      <c r="H33" s="155" t="str">
        <f>Biomass_Cost!C77</f>
        <v>HEFA-Energy</v>
      </c>
      <c r="I33" s="390" t="s">
        <v>482</v>
      </c>
      <c r="J33" s="141"/>
      <c r="K33" s="141"/>
      <c r="L33" s="172" t="str">
        <f>Biomass_Cost!R77</f>
        <v>[23]</v>
      </c>
    </row>
    <row r="34" spans="1:12" x14ac:dyDescent="0.25">
      <c r="A34" s="171" t="str">
        <f>Biomass_Cost!B78</f>
        <v>Pongamia Seeds</v>
      </c>
      <c r="B34" s="184" t="s">
        <v>482</v>
      </c>
      <c r="C34" s="184" t="s">
        <v>482</v>
      </c>
      <c r="D34" s="184" t="s">
        <v>482</v>
      </c>
      <c r="E34" s="175">
        <f>Biomass_Cost!Q78</f>
        <v>3.5458371904651709</v>
      </c>
      <c r="F34" s="175">
        <f>Biomass_Cost!Z78</f>
        <v>1346332.5678287037</v>
      </c>
      <c r="G34" s="206">
        <f>Biomass_Cost!AA78</f>
        <v>216.90000000000003</v>
      </c>
      <c r="H34" s="155" t="str">
        <f>Biomass_Cost!C78</f>
        <v>HEFA-Energy</v>
      </c>
      <c r="I34" s="390" t="s">
        <v>482</v>
      </c>
      <c r="J34" s="141"/>
      <c r="K34" s="141"/>
      <c r="L34" s="172" t="str">
        <f>Biomass_Cost!R78</f>
        <v>[24]</v>
      </c>
    </row>
    <row r="35" spans="1:12" x14ac:dyDescent="0.25">
      <c r="A35" s="171" t="str">
        <f>Biomass_Cost!B79</f>
        <v>Palm, Rapeseed oil, waste fat</v>
      </c>
      <c r="B35" s="184" t="s">
        <v>482</v>
      </c>
      <c r="C35" s="184" t="s">
        <v>482</v>
      </c>
      <c r="D35" s="184" t="s">
        <v>482</v>
      </c>
      <c r="E35" s="175" t="str">
        <f>Biomass_Cost!Q79</f>
        <v>N/A</v>
      </c>
      <c r="F35" s="175">
        <f>Biomass_Cost!Z79</f>
        <v>340436.37269295304</v>
      </c>
      <c r="G35" s="206">
        <f>Biomass_Cost!AA79</f>
        <v>2191.7808219178082</v>
      </c>
      <c r="H35" s="155" t="str">
        <f>Biomass_Cost!C79</f>
        <v>HEFA-Energy</v>
      </c>
      <c r="I35" s="390" t="s">
        <v>482</v>
      </c>
      <c r="J35" s="141"/>
      <c r="K35" s="141"/>
      <c r="L35" s="172" t="str">
        <f>Biomass_Cost!R79</f>
        <v>[25]</v>
      </c>
    </row>
    <row r="36" spans="1:12" x14ac:dyDescent="0.25">
      <c r="A36" s="171" t="str">
        <f>Biomass_Cost!B80</f>
        <v>Palm, Rapeseed oil, waste fat</v>
      </c>
      <c r="B36" s="184" t="s">
        <v>482</v>
      </c>
      <c r="C36" s="184" t="s">
        <v>482</v>
      </c>
      <c r="D36" s="184" t="s">
        <v>482</v>
      </c>
      <c r="E36" s="175" t="str">
        <f>Biomass_Cost!Q80</f>
        <v>N/A</v>
      </c>
      <c r="F36" s="175">
        <f>Biomass_Cost!Z80</f>
        <v>290753.93285760621</v>
      </c>
      <c r="G36" s="206">
        <f>Biomass_Cost!AA80</f>
        <v>2172.0350487473775</v>
      </c>
      <c r="H36" s="155" t="str">
        <f>Biomass_Cost!C80</f>
        <v>HEFA-Energy</v>
      </c>
      <c r="I36" s="390" t="s">
        <v>482</v>
      </c>
      <c r="J36" s="141"/>
      <c r="K36" s="141"/>
      <c r="L36" s="172" t="str">
        <f>Biomass_Cost!R80</f>
        <v>[25]</v>
      </c>
    </row>
    <row r="37" spans="1:12" ht="30" x14ac:dyDescent="0.25">
      <c r="A37" s="177" t="str">
        <f>Biomass_Cost!B81</f>
        <v>Animal fats, used cooking oil and vegetable oils</v>
      </c>
      <c r="B37" s="184" t="s">
        <v>482</v>
      </c>
      <c r="C37" s="184" t="s">
        <v>482</v>
      </c>
      <c r="D37" s="184" t="s">
        <v>482</v>
      </c>
      <c r="E37" s="178" t="str">
        <f>Biomass_Cost!Q81</f>
        <v>N/A</v>
      </c>
      <c r="F37" s="178">
        <f>Biomass_Cost!Z81</f>
        <v>214926.37699606572</v>
      </c>
      <c r="G37" s="207">
        <f>Biomass_Cost!AA81</f>
        <v>1369.8630136986301</v>
      </c>
      <c r="H37" s="156" t="str">
        <f>Biomass_Cost!C81</f>
        <v>HEFA-Waste</v>
      </c>
      <c r="I37" s="399" t="s">
        <v>482</v>
      </c>
      <c r="J37" s="142"/>
      <c r="K37" s="142"/>
      <c r="L37" s="179" t="str">
        <f>Biomass_Cost!R81</f>
        <v>[26]</v>
      </c>
    </row>
    <row r="38" spans="1:12" x14ac:dyDescent="0.25">
      <c r="A38" s="553" t="s">
        <v>501</v>
      </c>
      <c r="B38" s="501"/>
      <c r="C38" s="501"/>
      <c r="D38" s="502"/>
      <c r="E38" s="448" t="s">
        <v>502</v>
      </c>
      <c r="F38" s="449"/>
      <c r="G38" s="560"/>
      <c r="H38" s="141"/>
      <c r="I38" s="141"/>
      <c r="J38" s="141"/>
      <c r="K38" s="141"/>
      <c r="L38" s="222"/>
    </row>
    <row r="39" spans="1:12" ht="30" x14ac:dyDescent="0.25">
      <c r="A39" s="223" t="s">
        <v>227</v>
      </c>
      <c r="B39" s="196" t="s">
        <v>492</v>
      </c>
      <c r="C39" s="196" t="s">
        <v>497</v>
      </c>
      <c r="D39" s="197" t="s">
        <v>498</v>
      </c>
      <c r="E39" s="198" t="s">
        <v>503</v>
      </c>
      <c r="F39" s="199" t="s">
        <v>504</v>
      </c>
      <c r="G39" s="200" t="s">
        <v>505</v>
      </c>
      <c r="H39" s="141"/>
      <c r="I39" s="141"/>
      <c r="J39" s="141"/>
      <c r="K39" s="141"/>
      <c r="L39" s="222"/>
    </row>
    <row r="40" spans="1:12" x14ac:dyDescent="0.25">
      <c r="A40" s="377" t="s">
        <v>8</v>
      </c>
      <c r="B40" s="182">
        <f>_xlfn.QUARTILE.EXC($E21:$E37,1)</f>
        <v>0.86402765028592032</v>
      </c>
      <c r="C40" s="182">
        <f>_xlfn.QUARTILE.EXC($E21:$E37,2)</f>
        <v>1.0019927779667934</v>
      </c>
      <c r="D40" s="182">
        <f>_xlfn.QUARTILE.EXC($E21:$E37,3)</f>
        <v>1.2179510034939478</v>
      </c>
      <c r="E40" s="181">
        <f>_xlfn.QUARTILE.EXC($F21:$F37,1)</f>
        <v>292556.68528385519</v>
      </c>
      <c r="F40" s="182">
        <f>_xlfn.QUARTILE.EXC($F21:$F37,2)</f>
        <v>654132.08380023192</v>
      </c>
      <c r="G40" s="217">
        <f>_xlfn.QUARTILE.EXC($F21:$F37,3)</f>
        <v>1064024.8168066801</v>
      </c>
      <c r="H40" s="530" t="s">
        <v>844</v>
      </c>
      <c r="I40" s="531"/>
      <c r="J40" s="141"/>
      <c r="K40" s="141"/>
      <c r="L40" s="222"/>
    </row>
    <row r="41" spans="1:12" x14ac:dyDescent="0.25">
      <c r="A41" s="186" t="s">
        <v>796</v>
      </c>
      <c r="B41" s="175">
        <f>_xlfn.QUARTILE.EXC(($E24:$E27,$E29:$E31,$E33:E36),1)</f>
        <v>0.92700716698284813</v>
      </c>
      <c r="C41" s="175">
        <f>_xlfn.QUARTILE.EXC(($E24:$E27,$E29:$E31,$E33:E36),2)</f>
        <v>1.0812467168621958</v>
      </c>
      <c r="D41" s="175">
        <f>_xlfn.QUARTILE.EXC(($E24:$E27,$E29:$E31,$E33:$E36),3)</f>
        <v>1.5715286289616528</v>
      </c>
      <c r="E41" s="184">
        <f>_xlfn.QUARTILE.EXC(($F24:$F27,$F29:$F31,$F33:$F36),1)</f>
        <v>290753.93285760621</v>
      </c>
      <c r="F41" s="175">
        <f>_xlfn.QUARTILE.EXC(($F24:$F27,$F29:$F31,$F33:$F36),2)</f>
        <v>654132.08380023192</v>
      </c>
      <c r="G41" s="187">
        <f>_xlfn.QUARTILE.EXC(($F24:$F27,$F29:$F31,$F33:$F36),3)</f>
        <v>1064024.8168066801</v>
      </c>
      <c r="H41" s="561"/>
      <c r="I41" s="562"/>
      <c r="J41" s="141"/>
      <c r="K41" s="141"/>
      <c r="L41" s="222"/>
    </row>
    <row r="42" spans="1:12" x14ac:dyDescent="0.25">
      <c r="A42" s="189" t="s">
        <v>532</v>
      </c>
      <c r="B42" s="178">
        <f>_xlfn.QUARTILE.EXC(($E21:$E23,$E28,$E37,$E32),1)</f>
        <v>0.75731045351076864</v>
      </c>
      <c r="C42" s="178">
        <f>_xlfn.QUARTILE.EXC(($E21:$E23,$E28,$E37,$E32),2)</f>
        <v>0.88812996228874896</v>
      </c>
      <c r="D42" s="178">
        <f>_xlfn.QUARTILE.EXC(($E21:$E23,$E28,$E37,$E32),3)</f>
        <v>1.0177727193136052</v>
      </c>
      <c r="E42" s="185">
        <f>_xlfn.QUARTILE.EXC(($F21:$F23,$F28,$F37,$F32),1)</f>
        <v>299031.1256741031</v>
      </c>
      <c r="F42" s="178">
        <f>_xlfn.QUARTILE.EXC(($F21:$F23,$F28,$F37,$F32),2)</f>
        <v>490599.06285017374</v>
      </c>
      <c r="G42" s="378">
        <f>_xlfn.QUARTILE.EXC(($F21:$F23,$F28,$F37,$F32),3)</f>
        <v>756605.26705184393</v>
      </c>
      <c r="H42" s="532"/>
      <c r="I42" s="533"/>
      <c r="J42" s="141"/>
      <c r="K42" s="141"/>
      <c r="L42" s="222"/>
    </row>
    <row r="43" spans="1:12" x14ac:dyDescent="0.25">
      <c r="A43" s="500" t="s">
        <v>841</v>
      </c>
      <c r="B43" s="501"/>
      <c r="C43" s="501"/>
      <c r="D43" s="502"/>
      <c r="E43" s="396"/>
      <c r="F43" s="397"/>
      <c r="G43" s="398"/>
      <c r="H43" s="141"/>
      <c r="I43" s="141"/>
      <c r="J43" s="141"/>
      <c r="K43" s="141"/>
      <c r="L43" s="222"/>
    </row>
    <row r="44" spans="1:12" x14ac:dyDescent="0.25">
      <c r="A44" s="377" t="s">
        <v>8</v>
      </c>
      <c r="B44" s="182">
        <f>_xlfn.QUARTILE.EXC($C21:$C37,1)</f>
        <v>0.11381544388023113</v>
      </c>
      <c r="C44" s="182">
        <f>_xlfn.QUARTILE.EXC($C21:$C37,2)</f>
        <v>0.12524909724584832</v>
      </c>
      <c r="D44" s="217">
        <f>_xlfn.QUARTILE.EXC($C21:$C37,3)</f>
        <v>0.16634564874803009</v>
      </c>
      <c r="E44" s="503" t="s">
        <v>842</v>
      </c>
      <c r="F44" s="504"/>
      <c r="G44" s="505"/>
      <c r="H44" s="141"/>
      <c r="I44" s="141"/>
      <c r="J44" s="141"/>
      <c r="K44" s="141"/>
      <c r="L44" s="222"/>
    </row>
    <row r="45" spans="1:12" x14ac:dyDescent="0.25">
      <c r="A45" s="186" t="s">
        <v>796</v>
      </c>
      <c r="B45" s="175">
        <f>_xlfn.QUARTILE.EXC(($C24:$C27,$C29:$C31,$C33:C36),1)</f>
        <v>0.11381544388023113</v>
      </c>
      <c r="C45" s="175">
        <f>_xlfn.QUARTILE.EXC(($C24:$C27,$C29:$C31,$C33:C36),2)</f>
        <v>0.12524909724584685</v>
      </c>
      <c r="D45" s="187">
        <f>_xlfn.QUARTILE.EXC(($C24:$C27,$C29:$C31,$C33:$C36),3)</f>
        <v>0.1488355804587638</v>
      </c>
      <c r="E45" s="554"/>
      <c r="F45" s="555"/>
      <c r="G45" s="556"/>
      <c r="H45" s="141"/>
      <c r="I45" s="141"/>
      <c r="J45" s="141"/>
      <c r="K45" s="141"/>
      <c r="L45" s="222"/>
    </row>
    <row r="46" spans="1:12" x14ac:dyDescent="0.25">
      <c r="A46" s="189" t="s">
        <v>532</v>
      </c>
      <c r="B46" s="178">
        <f>_xlfn.QUARTILE.EXC(($C21:$C23,$C28,$C32,$C37),1)</f>
        <v>0.10245284821133349</v>
      </c>
      <c r="C46" s="178">
        <f>_xlfn.QUARTILE.EXC(($C21:$C23,$C28,$C32,$C37),2)</f>
        <v>0.16634564874803009</v>
      </c>
      <c r="D46" s="378">
        <f>_xlfn.QUARTILE.EXC(($C21:$C23,$C28,$C32,$C37),3)</f>
        <v>0.19698826825424617</v>
      </c>
      <c r="E46" s="506"/>
      <c r="F46" s="507"/>
      <c r="G46" s="508"/>
      <c r="H46" s="141"/>
      <c r="I46" s="141"/>
      <c r="J46" s="141"/>
      <c r="K46" s="141"/>
      <c r="L46" s="222"/>
    </row>
    <row r="47" spans="1:12" x14ac:dyDescent="0.25">
      <c r="A47" s="491" t="s">
        <v>848</v>
      </c>
      <c r="B47" s="482"/>
      <c r="C47" s="482"/>
      <c r="D47" s="483"/>
      <c r="E47" s="395"/>
      <c r="F47" s="387"/>
      <c r="G47" s="388"/>
      <c r="H47" s="141"/>
      <c r="I47" s="141"/>
      <c r="J47" s="141"/>
      <c r="K47" s="141"/>
      <c r="L47" s="222"/>
    </row>
    <row r="48" spans="1:12" x14ac:dyDescent="0.25">
      <c r="A48" s="186" t="s">
        <v>8</v>
      </c>
      <c r="B48" s="391">
        <f>_xlfn.QUARTILE.EXC($I21:$I37,1)</f>
        <v>9.7885895037351199E-3</v>
      </c>
      <c r="C48" s="391">
        <f>_xlfn.QUARTILE.EXC($I21:$I37,2)</f>
        <v>1.2451493886605193E-2</v>
      </c>
      <c r="D48" s="392">
        <f>_xlfn.QUARTILE.EXC($I21:$I37,3)</f>
        <v>1.8060668170316912E-2</v>
      </c>
      <c r="E48" s="503" t="s">
        <v>843</v>
      </c>
      <c r="F48" s="504"/>
      <c r="G48" s="505"/>
      <c r="H48" s="141"/>
      <c r="I48" s="141"/>
      <c r="J48" s="141"/>
      <c r="K48" s="141"/>
      <c r="L48" s="222"/>
    </row>
    <row r="49" spans="1:14" x14ac:dyDescent="0.25">
      <c r="A49" s="186" t="s">
        <v>796</v>
      </c>
      <c r="B49" s="391">
        <f>_xlfn.QUARTILE.EXC(($I24:$I27,$I29:$I31,$I33:$I36),1)</f>
        <v>9.3670712954403088E-3</v>
      </c>
      <c r="C49" s="391">
        <f>_xlfn.QUARTILE.EXC(($I24:$I27,$I29:$I31,$I33:$I36),2)</f>
        <v>1.2244150868335696E-2</v>
      </c>
      <c r="D49" s="392">
        <f>_xlfn.QUARTILE.EXC(($I24:$I27,$I29:$I31,$I33:$I36),3)</f>
        <v>2.2903764565475007E-2</v>
      </c>
      <c r="E49" s="554"/>
      <c r="F49" s="555"/>
      <c r="G49" s="556"/>
      <c r="H49" s="141"/>
      <c r="I49" s="141"/>
      <c r="J49" s="141"/>
      <c r="K49" s="141"/>
      <c r="L49" s="222"/>
    </row>
    <row r="50" spans="1:14" ht="46.15" customHeight="1" x14ac:dyDescent="0.25">
      <c r="A50" s="189" t="s">
        <v>532</v>
      </c>
      <c r="B50" s="393">
        <f>_xlfn.QUARTILE.EXC(($I21:$I23,$I28,$I32,$I37),1)</f>
        <v>9.8425339705107643E-3</v>
      </c>
      <c r="C50" s="393">
        <f>_xlfn.QUARTILE.EXC(($I21:$I23,$I28,$I32,$I37),2)</f>
        <v>1.2658836904874692E-2</v>
      </c>
      <c r="D50" s="394">
        <f>_xlfn.QUARTILE.EXC(($I21:$I23,$I28,$I32,$I37),3)</f>
        <v>1.7351336792026519E-2</v>
      </c>
      <c r="E50" s="506"/>
      <c r="F50" s="507"/>
      <c r="G50" s="508"/>
      <c r="H50" s="141"/>
      <c r="I50" s="141"/>
      <c r="J50" s="141"/>
      <c r="K50" s="141"/>
      <c r="L50" s="222"/>
    </row>
    <row r="51" spans="1:14" x14ac:dyDescent="0.25">
      <c r="A51" s="557" t="s">
        <v>491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9"/>
    </row>
    <row r="52" spans="1:14" x14ac:dyDescent="0.25">
      <c r="A52" s="225" t="s">
        <v>530</v>
      </c>
      <c r="B52" s="217">
        <f>11/1000*35.3</f>
        <v>0.38829999999999992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31"/>
    </row>
    <row r="53" spans="1:14" x14ac:dyDescent="0.25">
      <c r="A53" s="498" t="s">
        <v>531</v>
      </c>
      <c r="B53" s="499"/>
      <c r="C53" s="141"/>
      <c r="D53" s="141"/>
      <c r="E53" s="141"/>
      <c r="F53" s="141"/>
      <c r="G53" s="141"/>
      <c r="H53" s="141"/>
      <c r="I53" s="141"/>
      <c r="J53" s="141"/>
      <c r="K53" s="141"/>
      <c r="L53" s="222"/>
    </row>
    <row r="54" spans="1:14" x14ac:dyDescent="0.25">
      <c r="A54" s="226"/>
      <c r="B54" s="154"/>
      <c r="C54" s="500" t="s">
        <v>810</v>
      </c>
      <c r="D54" s="501"/>
      <c r="E54" s="502"/>
      <c r="F54" s="448" t="s">
        <v>605</v>
      </c>
      <c r="G54" s="450"/>
      <c r="H54" s="235"/>
      <c r="I54" s="141"/>
      <c r="J54" s="141"/>
      <c r="K54" s="141"/>
      <c r="L54" s="222"/>
    </row>
    <row r="55" spans="1:14" ht="30" x14ac:dyDescent="0.25">
      <c r="A55" s="553" t="s">
        <v>251</v>
      </c>
      <c r="B55" s="501"/>
      <c r="C55" s="290" t="s">
        <v>533</v>
      </c>
      <c r="D55" s="176" t="s">
        <v>796</v>
      </c>
      <c r="E55" s="291" t="s">
        <v>534</v>
      </c>
      <c r="F55" s="292" t="s">
        <v>604</v>
      </c>
      <c r="G55" s="213" t="s">
        <v>796</v>
      </c>
      <c r="H55" s="256"/>
      <c r="I55" s="141"/>
      <c r="J55" s="141"/>
      <c r="K55" s="141"/>
      <c r="L55" s="222"/>
    </row>
    <row r="56" spans="1:14" x14ac:dyDescent="0.25">
      <c r="A56" s="227" t="s">
        <v>523</v>
      </c>
      <c r="B56" s="210" t="s">
        <v>506</v>
      </c>
      <c r="C56" s="138" t="s">
        <v>482</v>
      </c>
      <c r="D56" s="208">
        <f>1/(G11-I$10)*1000000*(D41-B$52)</f>
        <v>-3019.7499654484136</v>
      </c>
      <c r="E56" s="155" t="s">
        <v>535</v>
      </c>
      <c r="F56" s="257" t="s">
        <v>482</v>
      </c>
      <c r="G56" s="263">
        <f>(C11-E10)*1000000*B14*K69</f>
        <v>-20086298.044938833</v>
      </c>
      <c r="H56" s="141"/>
      <c r="I56" s="141"/>
      <c r="J56" s="141"/>
      <c r="K56" s="141"/>
      <c r="L56" s="222"/>
    </row>
    <row r="57" spans="1:14" x14ac:dyDescent="0.25">
      <c r="A57" s="169" t="s">
        <v>524</v>
      </c>
      <c r="B57" s="147" t="s">
        <v>525</v>
      </c>
      <c r="C57" s="209">
        <f>1/(G11-H9)*1000000*(D42-B52)</f>
        <v>269.77440795498512</v>
      </c>
      <c r="D57" s="209">
        <f>1/(G11-H$10)*1000000*(D41-B$52)</f>
        <v>1205.7275041898356</v>
      </c>
      <c r="E57" s="155" t="s">
        <v>535</v>
      </c>
      <c r="F57" s="262">
        <f>(C11-D9)*1000000*B14*K71</f>
        <v>31963283.648498319</v>
      </c>
      <c r="G57" s="263">
        <f>(C11-D10)*1000000*B14*K69</f>
        <v>50306223.932369284</v>
      </c>
      <c r="H57" s="141"/>
      <c r="I57" s="141"/>
      <c r="J57" s="141"/>
      <c r="K57" s="141"/>
      <c r="L57" s="222"/>
    </row>
    <row r="58" spans="1:14" x14ac:dyDescent="0.25">
      <c r="A58" s="169" t="s">
        <v>509</v>
      </c>
      <c r="B58" s="147" t="s">
        <v>508</v>
      </c>
      <c r="C58" s="138" t="s">
        <v>482</v>
      </c>
      <c r="D58" s="209">
        <f>1/(G11-G$10)*1000000*(D41-B$52)</f>
        <v>692.54596315036008</v>
      </c>
      <c r="E58" s="155" t="s">
        <v>535</v>
      </c>
      <c r="F58" s="257" t="s">
        <v>482</v>
      </c>
      <c r="G58" s="263">
        <f>(C11-C10)*1000000*B14*K69</f>
        <v>87583497.781535029</v>
      </c>
      <c r="H58" s="141"/>
      <c r="I58" s="141"/>
      <c r="J58" s="141"/>
      <c r="K58" s="141"/>
      <c r="L58" s="222"/>
    </row>
    <row r="59" spans="1:14" x14ac:dyDescent="0.25">
      <c r="A59" s="169" t="s">
        <v>510</v>
      </c>
      <c r="B59" s="147" t="s">
        <v>518</v>
      </c>
      <c r="C59" s="138" t="s">
        <v>482</v>
      </c>
      <c r="D59" s="208">
        <f>1/(G11-I$10)*1000000*(C$41-B$52)</f>
        <v>-1768.4881628823605</v>
      </c>
      <c r="E59" s="155" t="s">
        <v>535</v>
      </c>
      <c r="F59" s="257" t="s">
        <v>482</v>
      </c>
      <c r="G59" s="263">
        <f>(C11-E10)*1000000*B14*K69</f>
        <v>-20086298.044938833</v>
      </c>
      <c r="H59" s="141"/>
      <c r="I59" s="141"/>
      <c r="J59" s="141"/>
      <c r="K59" s="141"/>
      <c r="L59" s="222"/>
    </row>
    <row r="60" spans="1:14" x14ac:dyDescent="0.25">
      <c r="A60" s="169" t="s">
        <v>516</v>
      </c>
      <c r="B60" s="147" t="s">
        <v>521</v>
      </c>
      <c r="C60" s="209">
        <f>1/(G11-H9)*1000000*(C42-B52)</f>
        <v>214.21314699967391</v>
      </c>
      <c r="D60" s="209">
        <f>1/(G11-H$10)*1000000*(C$41-B$52)</f>
        <v>706.12297151058362</v>
      </c>
      <c r="E60" s="155" t="s">
        <v>535</v>
      </c>
      <c r="F60" s="262">
        <f>(C11-D9)*1000000*B14*K71</f>
        <v>31963283.648498319</v>
      </c>
      <c r="G60" s="263">
        <f>(C11-D10)*1000000*B14*K69</f>
        <v>50306223.932369284</v>
      </c>
      <c r="H60" s="141"/>
      <c r="I60" s="141"/>
      <c r="J60" s="141"/>
      <c r="K60" s="141"/>
      <c r="L60" s="222"/>
    </row>
    <row r="61" spans="1:14" x14ac:dyDescent="0.25">
      <c r="A61" s="169" t="s">
        <v>517</v>
      </c>
      <c r="B61" s="147" t="s">
        <v>519</v>
      </c>
      <c r="C61" s="138" t="s">
        <v>482</v>
      </c>
      <c r="D61" s="209">
        <f>1/(G11-G$10)*1000000*(C$41-B$52)</f>
        <v>405.58302909078969</v>
      </c>
      <c r="E61" s="155" t="s">
        <v>535</v>
      </c>
      <c r="F61" s="257" t="s">
        <v>482</v>
      </c>
      <c r="G61" s="263">
        <f>(C11-C10)*1000000*B14*K69</f>
        <v>87583497.781535029</v>
      </c>
      <c r="H61" s="141"/>
      <c r="I61" s="141"/>
      <c r="J61" s="141"/>
      <c r="K61" s="141"/>
      <c r="L61" s="222"/>
    </row>
    <row r="62" spans="1:14" x14ac:dyDescent="0.25">
      <c r="A62" s="169" t="s">
        <v>520</v>
      </c>
      <c r="B62" s="147" t="s">
        <v>507</v>
      </c>
      <c r="C62" s="138" t="s">
        <v>482</v>
      </c>
      <c r="D62" s="208">
        <f>1/(G$11-I$10)*1000000*(B$41-B$52)</f>
        <v>-1374.8492126249848</v>
      </c>
      <c r="E62" s="155" t="s">
        <v>535</v>
      </c>
      <c r="F62" s="257" t="s">
        <v>482</v>
      </c>
      <c r="G62" s="263">
        <f>(C11-E10)*1000000*B14*K69</f>
        <v>-20086298.044938833</v>
      </c>
      <c r="H62" s="141"/>
      <c r="I62" s="141"/>
      <c r="J62" s="141"/>
      <c r="K62" s="141"/>
      <c r="L62" s="222"/>
    </row>
    <row r="63" spans="1:14" x14ac:dyDescent="0.25">
      <c r="A63" s="169" t="s">
        <v>527</v>
      </c>
      <c r="B63" s="147" t="s">
        <v>528</v>
      </c>
      <c r="C63" s="209">
        <f>1/(G11-H9)*1000000*(B42-B52)</f>
        <v>158.14756314399111</v>
      </c>
      <c r="D63" s="209">
        <f>1/(G$11-H$10)*1000000*(B$41-B$52)</f>
        <v>548.95058489702694</v>
      </c>
      <c r="E63" s="155" t="s">
        <v>535</v>
      </c>
      <c r="F63" s="261">
        <f>(C11-D9)*1000000*B14*K71</f>
        <v>31963283.648498319</v>
      </c>
      <c r="G63" s="263">
        <f>(C11-D10)*1000000*B14*K69</f>
        <v>50306223.932369284</v>
      </c>
      <c r="H63" s="141"/>
      <c r="I63" s="141"/>
      <c r="J63" s="141"/>
      <c r="K63" s="141"/>
      <c r="L63" s="222"/>
    </row>
    <row r="64" spans="1:14" x14ac:dyDescent="0.25">
      <c r="A64" s="228" t="s">
        <v>526</v>
      </c>
      <c r="B64" s="229" t="s">
        <v>522</v>
      </c>
      <c r="C64" s="173" t="s">
        <v>482</v>
      </c>
      <c r="D64" s="230">
        <f>1/(G$11-G$10)*1000000*(B$41-B$52)</f>
        <v>315.30632768878814</v>
      </c>
      <c r="E64" s="174" t="s">
        <v>535</v>
      </c>
      <c r="F64" s="264" t="s">
        <v>482</v>
      </c>
      <c r="G64" s="265">
        <f>(C11-C10)*1000000*B14*K69</f>
        <v>87583497.781535029</v>
      </c>
      <c r="H64" s="233"/>
      <c r="I64" s="233"/>
      <c r="J64" s="233"/>
      <c r="K64" s="233"/>
      <c r="L64" s="234"/>
      <c r="M64" s="2"/>
      <c r="N64" s="132"/>
    </row>
    <row r="65" spans="1:14" ht="15.75" thickBot="1" x14ac:dyDescent="0.3">
      <c r="E65" s="2" t="s">
        <v>597</v>
      </c>
      <c r="M65" s="132"/>
      <c r="N65" s="132"/>
    </row>
    <row r="66" spans="1:14" x14ac:dyDescent="0.25">
      <c r="A66" t="s">
        <v>515</v>
      </c>
      <c r="E66" s="132"/>
      <c r="H66" s="270"/>
      <c r="I66" s="271"/>
      <c r="J66" s="272" t="s">
        <v>601</v>
      </c>
      <c r="K66" s="273"/>
      <c r="L66" s="274"/>
    </row>
    <row r="67" spans="1:14" ht="45.75" thickBot="1" x14ac:dyDescent="0.3">
      <c r="H67" s="165"/>
      <c r="I67" s="194" t="s">
        <v>602</v>
      </c>
      <c r="J67" s="258" t="s">
        <v>598</v>
      </c>
      <c r="K67" s="258" t="s">
        <v>599</v>
      </c>
      <c r="L67" s="275" t="s">
        <v>600</v>
      </c>
    </row>
    <row r="68" spans="1:14" x14ac:dyDescent="0.25">
      <c r="B68" s="293" t="s">
        <v>536</v>
      </c>
      <c r="C68" s="294"/>
      <c r="D68" s="294"/>
      <c r="E68" s="294"/>
      <c r="F68" s="295"/>
      <c r="H68" s="534" t="s">
        <v>795</v>
      </c>
      <c r="I68" s="257" t="s">
        <v>35</v>
      </c>
      <c r="J68" s="259">
        <f>$C$18*$A$6*$E$6</f>
        <v>0.99300599999999994</v>
      </c>
      <c r="K68" s="259">
        <f>$C$18*$B$6*$F$6</f>
        <v>1.934064</v>
      </c>
      <c r="L68" s="276">
        <f>$C$18*$C$6*$G$6</f>
        <v>2.60406</v>
      </c>
    </row>
    <row r="69" spans="1:14" x14ac:dyDescent="0.25">
      <c r="B69" s="165" t="s">
        <v>538</v>
      </c>
      <c r="C69" s="141"/>
      <c r="D69" s="141"/>
      <c r="E69" s="141"/>
      <c r="F69" s="222"/>
      <c r="H69" s="535"/>
      <c r="I69" s="257" t="s">
        <v>36</v>
      </c>
      <c r="J69" s="259">
        <f>$D$18*$A$6*$E$6</f>
        <v>1.6907939999999997</v>
      </c>
      <c r="K69" s="259">
        <f>$D$18*$B$6*$F$6</f>
        <v>3.2931360000000001</v>
      </c>
      <c r="L69" s="276">
        <f>$D$18*$C$6*$G$6</f>
        <v>4.4339399999999998</v>
      </c>
    </row>
    <row r="70" spans="1:14" ht="15.75" thickBot="1" x14ac:dyDescent="0.3">
      <c r="B70" s="296" t="s">
        <v>537</v>
      </c>
      <c r="C70" s="233"/>
      <c r="D70" s="233"/>
      <c r="E70" s="233"/>
      <c r="F70" s="234"/>
      <c r="H70" s="536"/>
      <c r="I70" s="189" t="s">
        <v>37</v>
      </c>
      <c r="J70" s="260">
        <f>$E$18*$A$6*$E$6</f>
        <v>2.9253419999999997</v>
      </c>
      <c r="K70" s="260">
        <f>$E$18*$B$6*$F$6</f>
        <v>5.6976480000000009</v>
      </c>
      <c r="L70" s="280">
        <f>$E$18*$C$6*$G$6</f>
        <v>7.6714200000000003</v>
      </c>
    </row>
    <row r="71" spans="1:14" ht="15.75" thickBot="1" x14ac:dyDescent="0.3">
      <c r="H71" s="281" t="s">
        <v>603</v>
      </c>
      <c r="I71" s="282" t="s">
        <v>36</v>
      </c>
      <c r="J71" s="283">
        <f>D17*E6</f>
        <v>0.71</v>
      </c>
      <c r="K71" s="283">
        <f>D17*F6</f>
        <v>0.88</v>
      </c>
      <c r="L71" s="284">
        <f>D17*G6</f>
        <v>0.92</v>
      </c>
    </row>
    <row r="72" spans="1:14" x14ac:dyDescent="0.25">
      <c r="G72" s="132"/>
      <c r="H72" s="2"/>
      <c r="I72" s="2"/>
      <c r="J72" s="2"/>
      <c r="K72" s="2"/>
      <c r="L72" s="2"/>
    </row>
    <row r="73" spans="1:14" x14ac:dyDescent="0.25">
      <c r="G73" s="132"/>
      <c r="H73" s="132"/>
      <c r="I73" s="132"/>
      <c r="J73" s="132"/>
      <c r="K73" s="132"/>
      <c r="L73" s="132"/>
    </row>
  </sheetData>
  <mergeCells count="27">
    <mergeCell ref="E48:G50"/>
    <mergeCell ref="A51:L51"/>
    <mergeCell ref="A38:D38"/>
    <mergeCell ref="E38:G38"/>
    <mergeCell ref="A12:L12"/>
    <mergeCell ref="A15:L15"/>
    <mergeCell ref="A19:L19"/>
    <mergeCell ref="A43:D43"/>
    <mergeCell ref="A47:D47"/>
    <mergeCell ref="E44:G46"/>
    <mergeCell ref="H40:I42"/>
    <mergeCell ref="H68:H70"/>
    <mergeCell ref="F54:G54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55:B55"/>
    <mergeCell ref="G11:I11"/>
    <mergeCell ref="A53:B53"/>
    <mergeCell ref="C54:E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topLeftCell="A7" workbookViewId="0">
      <selection activeCell="F11" sqref="F11"/>
    </sheetView>
  </sheetViews>
  <sheetFormatPr baseColWidth="10" defaultRowHeight="15" x14ac:dyDescent="0.25"/>
  <cols>
    <col min="1" max="1" width="18.140625" bestFit="1" customWidth="1"/>
    <col min="3" max="3" width="17.85546875" bestFit="1" customWidth="1"/>
    <col min="4" max="4" width="17.85546875" customWidth="1"/>
    <col min="5" max="7" width="14.28515625" bestFit="1" customWidth="1"/>
  </cols>
  <sheetData>
    <row r="1" spans="1:7" x14ac:dyDescent="0.25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5">
      <c r="A2" t="s">
        <v>807</v>
      </c>
      <c r="B2" t="s">
        <v>8</v>
      </c>
      <c r="C2" t="s">
        <v>795</v>
      </c>
      <c r="E2" s="379">
        <f>'Cost Analysis-HEFA'!E6*'Cost Analysis-HEFA'!A6</f>
        <v>0.29819999999999997</v>
      </c>
      <c r="F2" s="379">
        <f>'Cost Analysis-HEFA'!F6*'Cost Analysis-HEFA'!B6</f>
        <v>0.58079999999999998</v>
      </c>
      <c r="G2" s="379">
        <f>'Cost Analysis-HEFA'!G6*'Cost Analysis-HEFA'!C6</f>
        <v>0.78200000000000003</v>
      </c>
    </row>
    <row r="3" spans="1:7" x14ac:dyDescent="0.25">
      <c r="A3" t="s">
        <v>807</v>
      </c>
      <c r="B3" t="s">
        <v>8</v>
      </c>
      <c r="C3" t="s">
        <v>499</v>
      </c>
      <c r="E3" s="379">
        <f>'Cost Analysis-HEFA'!E6</f>
        <v>0.71</v>
      </c>
      <c r="F3" s="379">
        <f>'Cost Analysis-HEFA'!F6</f>
        <v>0.88</v>
      </c>
      <c r="G3" s="379">
        <f>'Cost Analysis-HEFA'!G6</f>
        <v>0.92</v>
      </c>
    </row>
    <row r="4" spans="1:7" x14ac:dyDescent="0.25">
      <c r="A4" t="s">
        <v>797</v>
      </c>
      <c r="B4" t="s">
        <v>8</v>
      </c>
      <c r="C4" t="s">
        <v>795</v>
      </c>
      <c r="D4" t="s">
        <v>803</v>
      </c>
      <c r="E4" s="379">
        <f>'Cost Analysis-HEFA'!C10</f>
        <v>38.4</v>
      </c>
      <c r="F4" s="379">
        <f>'Cost Analysis-HEFA'!D10</f>
        <v>59</v>
      </c>
      <c r="G4" s="379">
        <f>'Cost Analysis-HEFA'!E10</f>
        <v>97.9</v>
      </c>
    </row>
    <row r="5" spans="1:7" x14ac:dyDescent="0.25">
      <c r="A5" t="s">
        <v>797</v>
      </c>
      <c r="B5" t="s">
        <v>8</v>
      </c>
      <c r="C5" t="s">
        <v>499</v>
      </c>
      <c r="D5" t="s">
        <v>803</v>
      </c>
      <c r="E5" s="379">
        <f>F5</f>
        <v>20.7</v>
      </c>
      <c r="F5" s="379">
        <f>'Cost Analysis-HEFA'!D9</f>
        <v>20.7</v>
      </c>
      <c r="G5" s="379">
        <f>F5</f>
        <v>20.7</v>
      </c>
    </row>
    <row r="6" spans="1:7" x14ac:dyDescent="0.25">
      <c r="A6" t="s">
        <v>797</v>
      </c>
      <c r="B6" t="s">
        <v>798</v>
      </c>
      <c r="C6" t="s">
        <v>798</v>
      </c>
      <c r="D6" t="s">
        <v>803</v>
      </c>
      <c r="E6" s="379">
        <f>'Cost Analysis-HEFA'!$C$11</f>
        <v>86.8</v>
      </c>
      <c r="F6" s="379">
        <f>'Cost Analysis-HEFA'!$C$11</f>
        <v>86.8</v>
      </c>
      <c r="G6" s="379">
        <f>'Cost Analysis-HEFA'!$C$11</f>
        <v>86.8</v>
      </c>
    </row>
    <row r="7" spans="1:7" x14ac:dyDescent="0.25">
      <c r="A7" t="s">
        <v>799</v>
      </c>
      <c r="B7" t="s">
        <v>8</v>
      </c>
      <c r="C7" t="s">
        <v>795</v>
      </c>
      <c r="E7" s="379">
        <f>'Cost Analysis-HEFA'!$B$13</f>
        <v>0.14463276836158195</v>
      </c>
      <c r="F7" s="379">
        <f>(E7+G7)/2</f>
        <v>0.34706610609402788</v>
      </c>
      <c r="G7" s="379">
        <f>'Cost Analysis-HEFA'!$B$14</f>
        <v>0.54949944382647375</v>
      </c>
    </row>
    <row r="8" spans="1:7" x14ac:dyDescent="0.25">
      <c r="A8" t="s">
        <v>799</v>
      </c>
      <c r="B8" t="s">
        <v>8</v>
      </c>
      <c r="C8" t="s">
        <v>499</v>
      </c>
      <c r="E8" s="379">
        <f>'Cost Analysis-HEFA'!$B$13</f>
        <v>0.14463276836158195</v>
      </c>
      <c r="F8" s="379">
        <f>(E8+G8)/2</f>
        <v>0.34706610609402788</v>
      </c>
      <c r="G8" s="379">
        <f>'Cost Analysis-HEFA'!$B$14</f>
        <v>0.54949944382647375</v>
      </c>
    </row>
    <row r="9" spans="1:7" x14ac:dyDescent="0.25">
      <c r="A9" t="s">
        <v>800</v>
      </c>
      <c r="B9" t="s">
        <v>8</v>
      </c>
      <c r="C9" t="s">
        <v>795</v>
      </c>
      <c r="D9" t="s">
        <v>804</v>
      </c>
      <c r="E9" s="379">
        <f>'Cost Analysis-HEFA'!C18</f>
        <v>3.33</v>
      </c>
      <c r="F9" s="379">
        <f>'Cost Analysis-HEFA'!D18</f>
        <v>5.67</v>
      </c>
      <c r="G9" s="379">
        <f>'Cost Analysis-HEFA'!E18</f>
        <v>9.81</v>
      </c>
    </row>
    <row r="10" spans="1:7" x14ac:dyDescent="0.25">
      <c r="A10" t="s">
        <v>800</v>
      </c>
      <c r="B10" t="s">
        <v>8</v>
      </c>
      <c r="C10" t="s">
        <v>499</v>
      </c>
      <c r="D10" t="s">
        <v>804</v>
      </c>
      <c r="E10" s="379">
        <f>F10</f>
        <v>1</v>
      </c>
      <c r="F10" s="379">
        <f>'Cost Analysis-HEFA'!D17</f>
        <v>1</v>
      </c>
      <c r="G10" s="379">
        <f>F10</f>
        <v>1</v>
      </c>
    </row>
    <row r="11" spans="1:7" x14ac:dyDescent="0.25">
      <c r="A11" t="s">
        <v>801</v>
      </c>
      <c r="B11" t="s">
        <v>8</v>
      </c>
      <c r="C11" t="s">
        <v>795</v>
      </c>
      <c r="D11" t="s">
        <v>806</v>
      </c>
      <c r="E11" s="379">
        <f>'Cost Analysis-HEFA'!B41</f>
        <v>0.92700716698284813</v>
      </c>
      <c r="F11" s="379">
        <f>'Cost Analysis-HEFA'!C41</f>
        <v>1.0812467168621958</v>
      </c>
      <c r="G11" s="379">
        <f>'Cost Analysis-HEFA'!D41</f>
        <v>1.5715286289616528</v>
      </c>
    </row>
    <row r="12" spans="1:7" x14ac:dyDescent="0.25">
      <c r="A12" t="s">
        <v>801</v>
      </c>
      <c r="B12" t="s">
        <v>798</v>
      </c>
      <c r="C12" t="s">
        <v>798</v>
      </c>
      <c r="D12" t="s">
        <v>806</v>
      </c>
      <c r="E12" s="379">
        <v>0.31</v>
      </c>
      <c r="F12" s="379">
        <v>0.41</v>
      </c>
      <c r="G12" s="379">
        <v>0.48</v>
      </c>
    </row>
    <row r="13" spans="1:7" x14ac:dyDescent="0.25">
      <c r="A13" t="s">
        <v>801</v>
      </c>
      <c r="B13" t="s">
        <v>8</v>
      </c>
      <c r="C13" t="s">
        <v>499</v>
      </c>
      <c r="D13" t="s">
        <v>806</v>
      </c>
      <c r="E13" s="379">
        <f>'Cost Analysis-HEFA'!B42</f>
        <v>0.75731045351076864</v>
      </c>
      <c r="F13" s="379">
        <f>'Cost Analysis-HEFA'!C42</f>
        <v>0.88812996228874896</v>
      </c>
      <c r="G13" s="379">
        <f>'Cost Analysis-HEFA'!D42</f>
        <v>1.0177727193136052</v>
      </c>
    </row>
    <row r="14" spans="1:7" x14ac:dyDescent="0.25">
      <c r="A14" t="s">
        <v>802</v>
      </c>
      <c r="B14" t="s">
        <v>8</v>
      </c>
      <c r="C14" t="s">
        <v>795</v>
      </c>
      <c r="D14" t="s">
        <v>805</v>
      </c>
      <c r="E14" s="379">
        <f>'Cost Analysis-HEFA'!E41</f>
        <v>290753.93285760621</v>
      </c>
      <c r="F14" s="379">
        <f>'Cost Analysis-HEFA'!F41</f>
        <v>654132.08380023192</v>
      </c>
      <c r="G14" s="379">
        <f>'Cost Analysis-HEFA'!G41</f>
        <v>1064024.8168066801</v>
      </c>
    </row>
    <row r="15" spans="1:7" x14ac:dyDescent="0.25">
      <c r="A15" t="s">
        <v>802</v>
      </c>
      <c r="B15" t="s">
        <v>8</v>
      </c>
      <c r="C15" t="s">
        <v>499</v>
      </c>
      <c r="D15" t="s">
        <v>805</v>
      </c>
      <c r="E15" s="379">
        <f>'Cost Analysis-HEFA'!E42</f>
        <v>299031.1256741031</v>
      </c>
      <c r="F15" s="379">
        <f>'Cost Analysis-HEFA'!F42</f>
        <v>490599.06285017374</v>
      </c>
      <c r="G15" s="379">
        <f>'Cost Analysis-HEFA'!G42</f>
        <v>756605.26705184393</v>
      </c>
    </row>
    <row r="16" spans="1:7" x14ac:dyDescent="0.25">
      <c r="A16" t="s">
        <v>807</v>
      </c>
      <c r="B16" t="s">
        <v>10</v>
      </c>
      <c r="C16" t="s">
        <v>10</v>
      </c>
      <c r="E16" s="379">
        <f>'Cost Analysis-AtJ'!A6</f>
        <v>0.31</v>
      </c>
      <c r="F16" s="379">
        <f>'Cost Analysis-AtJ'!B6</f>
        <v>0.48</v>
      </c>
      <c r="G16" s="379">
        <f>'Cost Analysis-AtJ'!C6</f>
        <v>0.57999999999999996</v>
      </c>
    </row>
    <row r="17" spans="1:7" x14ac:dyDescent="0.25">
      <c r="A17" t="s">
        <v>797</v>
      </c>
      <c r="B17" t="s">
        <v>10</v>
      </c>
      <c r="C17" t="s">
        <v>10</v>
      </c>
      <c r="D17" t="s">
        <v>803</v>
      </c>
      <c r="E17" s="379">
        <f>'Cost Analysis-AtJ'!C9</f>
        <v>33.700000000000003</v>
      </c>
      <c r="F17" s="379">
        <f>'Cost Analysis-AtJ'!D9</f>
        <v>52.2</v>
      </c>
      <c r="G17" s="379">
        <f>'Cost Analysis-AtJ'!E9</f>
        <v>68.400000000000006</v>
      </c>
    </row>
    <row r="18" spans="1:7" x14ac:dyDescent="0.25">
      <c r="A18" t="s">
        <v>799</v>
      </c>
      <c r="B18" t="s">
        <v>10</v>
      </c>
      <c r="C18" t="s">
        <v>10</v>
      </c>
      <c r="E18" s="379">
        <f>'Cost Analysis-AtJ'!B12</f>
        <v>0.15</v>
      </c>
      <c r="F18" s="379">
        <f>(E18+G18)/2</f>
        <v>0.45</v>
      </c>
      <c r="G18" s="379">
        <f>'Cost Analysis-AtJ'!B13</f>
        <v>0.75</v>
      </c>
    </row>
    <row r="19" spans="1:7" x14ac:dyDescent="0.25">
      <c r="A19" t="s">
        <v>800</v>
      </c>
      <c r="B19" t="s">
        <v>10</v>
      </c>
      <c r="C19" t="s">
        <v>10</v>
      </c>
      <c r="D19" t="s">
        <v>804</v>
      </c>
      <c r="E19" s="379">
        <f>'Cost Analysis-AtJ'!C16</f>
        <v>10.360000000000001</v>
      </c>
      <c r="F19" s="379">
        <f>'Cost Analysis-AtJ'!D16</f>
        <v>17.64</v>
      </c>
      <c r="G19" s="379">
        <f>'Cost Analysis-AtJ'!E16</f>
        <v>30.520000000000003</v>
      </c>
    </row>
    <row r="20" spans="1:7" x14ac:dyDescent="0.25">
      <c r="A20" t="s">
        <v>801</v>
      </c>
      <c r="B20" t="s">
        <v>10</v>
      </c>
      <c r="C20" t="s">
        <v>10</v>
      </c>
      <c r="D20" t="s">
        <v>806</v>
      </c>
      <c r="E20" s="379">
        <f>'Cost Analysis-AtJ'!B45</f>
        <v>0.92803361933111539</v>
      </c>
      <c r="F20" s="379">
        <f>'Cost Analysis-AtJ'!C45</f>
        <v>1.4183155314305727</v>
      </c>
      <c r="G20" s="379">
        <f>'Cost Analysis-AtJ'!D45</f>
        <v>2.0552442654526351</v>
      </c>
    </row>
    <row r="21" spans="1:7" x14ac:dyDescent="0.25">
      <c r="A21" t="s">
        <v>802</v>
      </c>
      <c r="B21" t="s">
        <v>10</v>
      </c>
      <c r="C21" t="s">
        <v>10</v>
      </c>
      <c r="D21" t="s">
        <v>808</v>
      </c>
      <c r="E21" s="379">
        <f>'Cost Analysis-AtJ'!E45</f>
        <v>1211244.562979558</v>
      </c>
      <c r="F21" s="379">
        <f>'Cost Analysis-AtJ'!F45</f>
        <v>1547663.8683208446</v>
      </c>
      <c r="G21" s="379">
        <f>'Cost Analysis-AtJ'!G45</f>
        <v>2403935.407965851</v>
      </c>
    </row>
    <row r="22" spans="1:7" x14ac:dyDescent="0.25">
      <c r="A22" t="s">
        <v>807</v>
      </c>
      <c r="B22" t="s">
        <v>7</v>
      </c>
      <c r="C22" t="s">
        <v>813</v>
      </c>
      <c r="E22" s="379">
        <f>'Cost Analysis-FT'!A$6</f>
        <v>0.4</v>
      </c>
      <c r="F22" s="379">
        <f>'Cost Analysis-FT'!B$6</f>
        <v>0.46</v>
      </c>
      <c r="G22" s="379">
        <f>'Cost Analysis-FT'!C$6</f>
        <v>0.49</v>
      </c>
    </row>
    <row r="23" spans="1:7" x14ac:dyDescent="0.25">
      <c r="A23" t="s">
        <v>807</v>
      </c>
      <c r="B23" t="s">
        <v>7</v>
      </c>
      <c r="C23" t="s">
        <v>620</v>
      </c>
      <c r="E23" s="379">
        <f>'Cost Analysis-FT'!A$6</f>
        <v>0.4</v>
      </c>
      <c r="F23" s="379">
        <f>'Cost Analysis-FT'!B$6</f>
        <v>0.46</v>
      </c>
      <c r="G23" s="379">
        <f>'Cost Analysis-FT'!C$6</f>
        <v>0.49</v>
      </c>
    </row>
    <row r="24" spans="1:7" x14ac:dyDescent="0.25">
      <c r="A24" t="s">
        <v>807</v>
      </c>
      <c r="B24" t="s">
        <v>7</v>
      </c>
      <c r="C24" t="s">
        <v>809</v>
      </c>
      <c r="E24" s="379">
        <f>'Cost Analysis-FT'!A$6</f>
        <v>0.4</v>
      </c>
      <c r="F24" s="379">
        <f>'Cost Analysis-FT'!B$6</f>
        <v>0.46</v>
      </c>
      <c r="G24" s="379">
        <f>'Cost Analysis-FT'!C$6</f>
        <v>0.49</v>
      </c>
    </row>
    <row r="25" spans="1:7" x14ac:dyDescent="0.25">
      <c r="A25" t="s">
        <v>797</v>
      </c>
      <c r="B25" t="s">
        <v>7</v>
      </c>
      <c r="C25" t="s">
        <v>813</v>
      </c>
      <c r="D25" t="s">
        <v>803</v>
      </c>
      <c r="E25" s="379">
        <f>'Cost Analysis-FT'!C10</f>
        <v>0.3</v>
      </c>
      <c r="F25" s="379">
        <f>'Cost Analysis-FT'!D10</f>
        <v>7.7</v>
      </c>
      <c r="G25" s="379">
        <f>'Cost Analysis-FT'!E10</f>
        <v>12.6</v>
      </c>
    </row>
    <row r="26" spans="1:7" x14ac:dyDescent="0.25">
      <c r="A26" t="s">
        <v>797</v>
      </c>
      <c r="B26" t="s">
        <v>7</v>
      </c>
      <c r="C26" t="s">
        <v>620</v>
      </c>
      <c r="D26" t="s">
        <v>803</v>
      </c>
      <c r="E26" s="379">
        <f>F26</f>
        <v>27.8</v>
      </c>
      <c r="F26" s="379">
        <f>'Cost Analysis-FT'!D9</f>
        <v>27.8</v>
      </c>
      <c r="G26" s="379">
        <f>F26</f>
        <v>27.8</v>
      </c>
    </row>
    <row r="27" spans="1:7" x14ac:dyDescent="0.25">
      <c r="A27" t="s">
        <v>797</v>
      </c>
      <c r="B27" t="s">
        <v>7</v>
      </c>
      <c r="C27" t="s">
        <v>809</v>
      </c>
      <c r="D27" t="s">
        <v>803</v>
      </c>
      <c r="E27" s="379">
        <f t="shared" ref="E27:G27" si="0">E25</f>
        <v>0.3</v>
      </c>
      <c r="F27" s="379">
        <f t="shared" si="0"/>
        <v>7.7</v>
      </c>
      <c r="G27" s="379">
        <f t="shared" si="0"/>
        <v>12.6</v>
      </c>
    </row>
    <row r="28" spans="1:7" x14ac:dyDescent="0.25">
      <c r="A28" t="s">
        <v>799</v>
      </c>
      <c r="B28" t="s">
        <v>7</v>
      </c>
      <c r="C28" t="s">
        <v>813</v>
      </c>
      <c r="E28" s="379">
        <f>'Cost Analysis-FT'!B$13</f>
        <v>0.15</v>
      </c>
      <c r="F28" s="379">
        <f>(E28+G28)/2</f>
        <v>0.32500000000000001</v>
      </c>
      <c r="G28" s="379">
        <f>'Cost Analysis-FT'!B$14</f>
        <v>0.5</v>
      </c>
    </row>
    <row r="29" spans="1:7" x14ac:dyDescent="0.25">
      <c r="A29" t="s">
        <v>799</v>
      </c>
      <c r="B29" t="s">
        <v>7</v>
      </c>
      <c r="C29" t="s">
        <v>620</v>
      </c>
      <c r="E29" s="379">
        <f>'Cost Analysis-FT'!B$13</f>
        <v>0.15</v>
      </c>
      <c r="F29" s="379">
        <f>(E29+G29)/2</f>
        <v>0.32500000000000001</v>
      </c>
      <c r="G29" s="379">
        <f>'Cost Analysis-FT'!B$14</f>
        <v>0.5</v>
      </c>
    </row>
    <row r="30" spans="1:7" x14ac:dyDescent="0.25">
      <c r="A30" t="s">
        <v>799</v>
      </c>
      <c r="B30" t="s">
        <v>7</v>
      </c>
      <c r="C30" t="s">
        <v>809</v>
      </c>
      <c r="E30" s="379">
        <f>'Cost Analysis-FT'!B$13</f>
        <v>0.15</v>
      </c>
      <c r="F30" s="379">
        <f>(E30+G30)/2</f>
        <v>0.32500000000000001</v>
      </c>
      <c r="G30" s="379">
        <f>'Cost Analysis-FT'!B$14</f>
        <v>0.5</v>
      </c>
    </row>
    <row r="31" spans="1:7" x14ac:dyDescent="0.25">
      <c r="A31" t="s">
        <v>800</v>
      </c>
      <c r="B31" t="s">
        <v>7</v>
      </c>
      <c r="C31" t="s">
        <v>813</v>
      </c>
      <c r="D31" t="s">
        <v>804</v>
      </c>
      <c r="E31" s="379">
        <f>'Cost Analysis-FT'!C18+'Cost Analysis-FT'!C19</f>
        <v>44.400000000000006</v>
      </c>
      <c r="F31" s="379">
        <f>'Cost Analysis-FT'!D18+'Cost Analysis-FT'!D19</f>
        <v>73.990000000000009</v>
      </c>
      <c r="G31" s="379">
        <f>'Cost Analysis-FT'!E18+'Cost Analysis-FT'!E19</f>
        <v>142</v>
      </c>
    </row>
    <row r="32" spans="1:7" x14ac:dyDescent="0.25">
      <c r="A32" t="s">
        <v>800</v>
      </c>
      <c r="B32" t="s">
        <v>7</v>
      </c>
      <c r="C32" t="s">
        <v>620</v>
      </c>
      <c r="D32" t="s">
        <v>804</v>
      </c>
      <c r="E32" s="379">
        <f>'Cost Analysis-FT'!C17</f>
        <v>10.199999999999999</v>
      </c>
      <c r="F32" s="379">
        <f>'Cost Analysis-FT'!D17</f>
        <v>11.55</v>
      </c>
      <c r="G32" s="379">
        <f>'Cost Analysis-FT'!E17</f>
        <v>19.8</v>
      </c>
    </row>
    <row r="33" spans="1:7" x14ac:dyDescent="0.25">
      <c r="A33" t="s">
        <v>800</v>
      </c>
      <c r="B33" t="s">
        <v>7</v>
      </c>
      <c r="C33" t="s">
        <v>809</v>
      </c>
      <c r="D33" t="s">
        <v>804</v>
      </c>
      <c r="E33" s="379">
        <f>'Cost Analysis-FT'!C20</f>
        <v>23.31</v>
      </c>
      <c r="F33" s="379">
        <f>'Cost Analysis-FT'!D20</f>
        <v>39.69</v>
      </c>
      <c r="G33" s="379">
        <f>'Cost Analysis-FT'!E20</f>
        <v>68.67</v>
      </c>
    </row>
    <row r="34" spans="1:7" x14ac:dyDescent="0.25">
      <c r="A34" t="s">
        <v>801</v>
      </c>
      <c r="B34" t="s">
        <v>7</v>
      </c>
      <c r="C34" t="s">
        <v>813</v>
      </c>
      <c r="D34" t="s">
        <v>806</v>
      </c>
      <c r="E34" s="379">
        <f>'Cost Analysis-FT'!B50</f>
        <v>0.89886840931744749</v>
      </c>
      <c r="F34" s="379">
        <f>'Cost Analysis-FT'!C50</f>
        <v>1.0171405684381645</v>
      </c>
      <c r="G34" s="379">
        <f>'Cost Analysis-FT'!D50</f>
        <v>1.7641393801435821</v>
      </c>
    </row>
    <row r="35" spans="1:7" x14ac:dyDescent="0.25">
      <c r="A35" t="s">
        <v>801</v>
      </c>
      <c r="B35" t="s">
        <v>7</v>
      </c>
      <c r="C35" t="s">
        <v>620</v>
      </c>
      <c r="D35" t="s">
        <v>806</v>
      </c>
      <c r="E35" s="379">
        <f>'Cost Analysis-FT'!B52</f>
        <v>0.75293293643845194</v>
      </c>
      <c r="F35" s="379">
        <f>'Cost Analysis-FT'!C52</f>
        <v>1.02433899492208</v>
      </c>
      <c r="G35" s="379">
        <f>'Cost Analysis-FT'!D52</f>
        <v>1.369794975454808</v>
      </c>
    </row>
    <row r="36" spans="1:7" x14ac:dyDescent="0.25">
      <c r="A36" t="s">
        <v>801</v>
      </c>
      <c r="B36" t="s">
        <v>7</v>
      </c>
      <c r="C36" t="s">
        <v>809</v>
      </c>
      <c r="D36" t="s">
        <v>806</v>
      </c>
      <c r="E36" s="379">
        <f>'Cost Analysis-FT'!B49</f>
        <v>1.0325751671572523</v>
      </c>
      <c r="F36" s="379">
        <f>'Cost Analysis-FT'!C49</f>
        <v>1.2841211489991846</v>
      </c>
      <c r="G36" s="379">
        <f>'Cost Analysis-FT'!D49</f>
        <v>1.4172270363951474</v>
      </c>
    </row>
    <row r="37" spans="1:7" x14ac:dyDescent="0.25">
      <c r="A37" t="s">
        <v>802</v>
      </c>
      <c r="B37" t="s">
        <v>7</v>
      </c>
      <c r="C37" t="s">
        <v>813</v>
      </c>
      <c r="D37" t="s">
        <v>808</v>
      </c>
      <c r="E37" s="379">
        <f>'Cost Analysis-FT'!E50</f>
        <v>1500327.4422357879</v>
      </c>
      <c r="F37" s="379">
        <f>'Cost Analysis-FT'!F50</f>
        <v>1650757.9992644452</v>
      </c>
      <c r="G37" s="379">
        <f>'Cost Analysis-FT'!G50</f>
        <v>2051551.7967573812</v>
      </c>
    </row>
    <row r="38" spans="1:7" x14ac:dyDescent="0.25">
      <c r="A38" t="s">
        <v>802</v>
      </c>
      <c r="B38" t="s">
        <v>7</v>
      </c>
      <c r="C38" t="s">
        <v>620</v>
      </c>
      <c r="D38" t="s">
        <v>808</v>
      </c>
      <c r="E38" s="379">
        <f>'Cost Analysis-FT'!E52</f>
        <v>2191342.4807307739</v>
      </c>
      <c r="F38" s="379">
        <f>'Cost Analysis-FT'!F52</f>
        <v>3041714.1896710731</v>
      </c>
      <c r="G38" s="379">
        <f>'Cost Analysis-FT'!G52</f>
        <v>3500081.6342325201</v>
      </c>
    </row>
    <row r="39" spans="1:7" x14ac:dyDescent="0.25">
      <c r="A39" t="s">
        <v>802</v>
      </c>
      <c r="B39" t="s">
        <v>7</v>
      </c>
      <c r="C39" t="s">
        <v>809</v>
      </c>
      <c r="D39" t="s">
        <v>808</v>
      </c>
      <c r="E39" s="379">
        <f>'Cost Analysis-FT'!E49</f>
        <v>1213683.8446474303</v>
      </c>
      <c r="F39" s="379">
        <f>'Cost Analysis-FT'!F49</f>
        <v>2583633.7076022313</v>
      </c>
      <c r="G39" s="379">
        <f>'Cost Analysis-FT'!G49</f>
        <v>3488256.773372584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10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2" width="20.7109375" bestFit="1" customWidth="1"/>
    <col min="4" max="6" width="14.28515625" bestFit="1" customWidth="1"/>
    <col min="9" max="9" width="19.85546875" bestFit="1" customWidth="1"/>
    <col min="10" max="10" width="14.5703125" bestFit="1" customWidth="1"/>
    <col min="11" max="11" width="8.28515625" bestFit="1" customWidth="1"/>
    <col min="12" max="12" width="17.140625" bestFit="1" customWidth="1"/>
    <col min="13" max="13" width="7.28515625" bestFit="1" customWidth="1"/>
    <col min="14" max="14" width="14.28515625" bestFit="1" customWidth="1"/>
  </cols>
  <sheetData>
    <row r="1" spans="1:14" x14ac:dyDescent="0.25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5">
      <c r="A2" t="s">
        <v>10</v>
      </c>
      <c r="B2" t="s">
        <v>807</v>
      </c>
      <c r="D2" s="379">
        <v>0.31</v>
      </c>
      <c r="E2" s="379">
        <v>0.48</v>
      </c>
      <c r="F2" s="379">
        <v>0.57999999999999996</v>
      </c>
    </row>
    <row r="3" spans="1:14" x14ac:dyDescent="0.25">
      <c r="A3" t="s">
        <v>10</v>
      </c>
      <c r="B3" t="s">
        <v>797</v>
      </c>
      <c r="C3" t="s">
        <v>803</v>
      </c>
      <c r="D3" s="379">
        <v>33.700000000000003</v>
      </c>
      <c r="E3" s="379">
        <v>52.2</v>
      </c>
      <c r="F3" s="379">
        <v>68.400000000000006</v>
      </c>
    </row>
    <row r="4" spans="1:14" x14ac:dyDescent="0.25">
      <c r="A4" t="s">
        <v>10</v>
      </c>
      <c r="B4" t="s">
        <v>799</v>
      </c>
      <c r="D4" s="379">
        <v>0.15</v>
      </c>
      <c r="E4" s="379">
        <v>0.45</v>
      </c>
      <c r="F4" s="379">
        <v>0.75</v>
      </c>
    </row>
    <row r="5" spans="1:14" x14ac:dyDescent="0.25">
      <c r="A5" t="s">
        <v>10</v>
      </c>
      <c r="B5" t="s">
        <v>800</v>
      </c>
      <c r="C5" t="s">
        <v>804</v>
      </c>
      <c r="D5" s="379">
        <v>10.360000000000001</v>
      </c>
      <c r="E5" s="379">
        <v>17.64</v>
      </c>
      <c r="F5" s="379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5">
      <c r="A6" t="s">
        <v>10</v>
      </c>
      <c r="B6" t="s">
        <v>801</v>
      </c>
      <c r="C6" t="s">
        <v>806</v>
      </c>
      <c r="D6" s="379">
        <v>0.92803361933111539</v>
      </c>
      <c r="E6" s="379">
        <v>1.4183155314305727</v>
      </c>
      <c r="F6" s="379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5">
      <c r="A7" t="s">
        <v>10</v>
      </c>
      <c r="B7" t="s">
        <v>802</v>
      </c>
      <c r="C7" t="s">
        <v>808</v>
      </c>
      <c r="D7" s="379">
        <v>855360.10671631375</v>
      </c>
      <c r="E7" s="379">
        <v>1211572.2928284132</v>
      </c>
      <c r="F7" s="379">
        <v>1560222.6833102</v>
      </c>
      <c r="G7" t="s">
        <v>10</v>
      </c>
      <c r="H7" t="s">
        <v>820</v>
      </c>
      <c r="I7" s="379">
        <v>0.31</v>
      </c>
      <c r="J7" s="379">
        <v>33.700000000000003</v>
      </c>
      <c r="K7" s="379">
        <v>0.15</v>
      </c>
      <c r="L7" s="379">
        <v>10.360000000000001</v>
      </c>
      <c r="M7" s="379">
        <v>0.92803361933111539</v>
      </c>
      <c r="N7" s="297">
        <v>855360.10671631375</v>
      </c>
    </row>
    <row r="8" spans="1:14" x14ac:dyDescent="0.25">
      <c r="A8" t="s">
        <v>813</v>
      </c>
      <c r="B8" t="s">
        <v>807</v>
      </c>
      <c r="D8" s="379">
        <v>0.4</v>
      </c>
      <c r="E8" s="379">
        <v>0.46</v>
      </c>
      <c r="F8" s="379">
        <v>0.49</v>
      </c>
      <c r="G8" t="s">
        <v>10</v>
      </c>
      <c r="H8" t="s">
        <v>821</v>
      </c>
      <c r="I8" s="379">
        <v>0.48</v>
      </c>
      <c r="J8" s="379">
        <v>52.2</v>
      </c>
      <c r="K8" s="379">
        <v>0.45</v>
      </c>
      <c r="L8" s="379">
        <v>17.64</v>
      </c>
      <c r="M8" s="379">
        <v>1.4183155314305727</v>
      </c>
      <c r="N8" s="297">
        <v>1211572.2928284132</v>
      </c>
    </row>
    <row r="9" spans="1:14" x14ac:dyDescent="0.25">
      <c r="A9" t="s">
        <v>813</v>
      </c>
      <c r="B9" t="s">
        <v>797</v>
      </c>
      <c r="C9" t="s">
        <v>803</v>
      </c>
      <c r="D9" s="379">
        <v>0.3</v>
      </c>
      <c r="E9" s="379">
        <v>7.7</v>
      </c>
      <c r="F9" s="379">
        <v>12.6</v>
      </c>
      <c r="G9" t="s">
        <v>10</v>
      </c>
      <c r="H9" t="s">
        <v>822</v>
      </c>
      <c r="I9" s="379">
        <v>0.57999999999999996</v>
      </c>
      <c r="J9" s="379">
        <v>68.400000000000006</v>
      </c>
      <c r="K9" s="379">
        <v>0.75</v>
      </c>
      <c r="L9" s="379">
        <v>30.520000000000003</v>
      </c>
      <c r="M9" s="379">
        <v>2.0552442654526351</v>
      </c>
      <c r="N9" s="297">
        <v>1560222.6833102</v>
      </c>
    </row>
    <row r="10" spans="1:14" x14ac:dyDescent="0.25">
      <c r="A10" t="s">
        <v>813</v>
      </c>
      <c r="B10" t="s">
        <v>799</v>
      </c>
      <c r="D10" s="379">
        <v>0.15</v>
      </c>
      <c r="E10" s="379">
        <v>0.32500000000000001</v>
      </c>
      <c r="F10" s="379">
        <v>0.5</v>
      </c>
      <c r="G10" t="s">
        <v>813</v>
      </c>
      <c r="H10" t="s">
        <v>820</v>
      </c>
      <c r="I10" s="379">
        <v>0.4</v>
      </c>
      <c r="J10" s="379">
        <v>0.3</v>
      </c>
      <c r="K10" s="379">
        <v>0.15</v>
      </c>
      <c r="L10" s="379">
        <v>44.400000000000006</v>
      </c>
      <c r="M10" s="379">
        <v>0.89886840931744749</v>
      </c>
      <c r="N10" s="297">
        <v>1254872.8058120161</v>
      </c>
    </row>
    <row r="11" spans="1:14" x14ac:dyDescent="0.25">
      <c r="A11" t="s">
        <v>813</v>
      </c>
      <c r="B11" t="s">
        <v>800</v>
      </c>
      <c r="C11" t="s">
        <v>804</v>
      </c>
      <c r="D11" s="379">
        <v>44.400000000000006</v>
      </c>
      <c r="E11" s="379">
        <v>73.990000000000009</v>
      </c>
      <c r="F11" s="379">
        <v>142</v>
      </c>
      <c r="G11" t="s">
        <v>813</v>
      </c>
      <c r="H11" t="s">
        <v>821</v>
      </c>
      <c r="I11" s="379">
        <v>0.46</v>
      </c>
      <c r="J11" s="379">
        <v>7.7</v>
      </c>
      <c r="K11" s="379">
        <v>0.32500000000000001</v>
      </c>
      <c r="L11" s="379">
        <v>73.990000000000009</v>
      </c>
      <c r="M11" s="379">
        <v>1.0171405684381645</v>
      </c>
      <c r="N11" s="297">
        <v>1601895.5606446574</v>
      </c>
    </row>
    <row r="12" spans="1:14" x14ac:dyDescent="0.25">
      <c r="A12" t="s">
        <v>813</v>
      </c>
      <c r="B12" t="s">
        <v>801</v>
      </c>
      <c r="C12" t="s">
        <v>806</v>
      </c>
      <c r="D12" s="379">
        <v>0.89886840931744749</v>
      </c>
      <c r="E12" s="379">
        <v>1.0171405684381645</v>
      </c>
      <c r="F12" s="379">
        <v>1.7641393801435821</v>
      </c>
      <c r="G12" t="s">
        <v>813</v>
      </c>
      <c r="H12" t="s">
        <v>822</v>
      </c>
      <c r="I12" s="379">
        <v>0.49</v>
      </c>
      <c r="J12" s="379">
        <v>12.6</v>
      </c>
      <c r="K12" s="379">
        <v>0.5</v>
      </c>
      <c r="L12" s="379">
        <v>142</v>
      </c>
      <c r="M12" s="379">
        <v>1.7641393801435821</v>
      </c>
      <c r="N12" s="297">
        <v>1866360.0632918112</v>
      </c>
    </row>
    <row r="13" spans="1:14" x14ac:dyDescent="0.25">
      <c r="A13" t="s">
        <v>813</v>
      </c>
      <c r="B13" t="s">
        <v>802</v>
      </c>
      <c r="C13" t="s">
        <v>808</v>
      </c>
      <c r="D13" s="379">
        <v>1254872.8058120161</v>
      </c>
      <c r="E13" s="379">
        <v>1601895.5606446574</v>
      </c>
      <c r="F13" s="379">
        <v>1866360.0632918112</v>
      </c>
      <c r="G13" t="s">
        <v>809</v>
      </c>
      <c r="H13" t="s">
        <v>820</v>
      </c>
      <c r="I13" s="379">
        <v>0.4</v>
      </c>
      <c r="J13" s="379">
        <v>0.3</v>
      </c>
      <c r="K13" s="379">
        <v>0.15</v>
      </c>
      <c r="L13" s="379">
        <v>23.31</v>
      </c>
      <c r="M13" s="379">
        <v>1.0325751671572523</v>
      </c>
      <c r="N13" s="297">
        <v>1169512.0108316932</v>
      </c>
    </row>
    <row r="14" spans="1:14" x14ac:dyDescent="0.25">
      <c r="A14" t="s">
        <v>809</v>
      </c>
      <c r="B14" t="s">
        <v>807</v>
      </c>
      <c r="D14" s="379">
        <v>0.4</v>
      </c>
      <c r="E14" s="379">
        <v>0.46</v>
      </c>
      <c r="F14" s="379">
        <v>0.49</v>
      </c>
      <c r="G14" t="s">
        <v>809</v>
      </c>
      <c r="H14" t="s">
        <v>821</v>
      </c>
      <c r="I14" s="379">
        <v>0.46</v>
      </c>
      <c r="J14" s="379">
        <v>7.7</v>
      </c>
      <c r="K14" s="379">
        <v>0.32500000000000001</v>
      </c>
      <c r="L14" s="379">
        <v>39.69</v>
      </c>
      <c r="M14" s="379">
        <v>1.2841211489991846</v>
      </c>
      <c r="N14" s="297">
        <v>2191813.5007779789</v>
      </c>
    </row>
    <row r="15" spans="1:14" x14ac:dyDescent="0.25">
      <c r="A15" t="s">
        <v>809</v>
      </c>
      <c r="B15" t="s">
        <v>797</v>
      </c>
      <c r="C15" t="s">
        <v>803</v>
      </c>
      <c r="D15" s="379">
        <v>0.3</v>
      </c>
      <c r="E15" s="379">
        <v>7.7</v>
      </c>
      <c r="F15" s="379">
        <v>12.6</v>
      </c>
      <c r="G15" t="s">
        <v>809</v>
      </c>
      <c r="H15" t="s">
        <v>822</v>
      </c>
      <c r="I15" s="379">
        <v>0.49</v>
      </c>
      <c r="J15" s="379">
        <v>12.6</v>
      </c>
      <c r="K15" s="379">
        <v>0.5</v>
      </c>
      <c r="L15" s="379">
        <v>68.67</v>
      </c>
      <c r="M15" s="379">
        <v>1.4172270363951474</v>
      </c>
      <c r="N15" s="297">
        <v>3155108.2285689358</v>
      </c>
    </row>
    <row r="16" spans="1:14" x14ac:dyDescent="0.25">
      <c r="A16" t="s">
        <v>809</v>
      </c>
      <c r="B16" t="s">
        <v>799</v>
      </c>
      <c r="D16" s="379">
        <v>0.15</v>
      </c>
      <c r="E16" s="379">
        <v>0.32500000000000001</v>
      </c>
      <c r="F16" s="379">
        <v>0.5</v>
      </c>
      <c r="G16" t="s">
        <v>588</v>
      </c>
      <c r="H16" t="s">
        <v>820</v>
      </c>
      <c r="I16" s="379">
        <v>0.4</v>
      </c>
      <c r="J16" s="379">
        <v>27.8</v>
      </c>
      <c r="K16" s="379">
        <v>0.15</v>
      </c>
      <c r="L16" s="379">
        <v>10.199999999999999</v>
      </c>
      <c r="M16" s="379">
        <v>0.75293293643845194</v>
      </c>
      <c r="N16" s="297">
        <v>1180363.0780797016</v>
      </c>
    </row>
    <row r="17" spans="1:14" x14ac:dyDescent="0.25">
      <c r="A17" t="s">
        <v>809</v>
      </c>
      <c r="B17" t="s">
        <v>800</v>
      </c>
      <c r="C17" t="s">
        <v>804</v>
      </c>
      <c r="D17" s="379">
        <v>23.31</v>
      </c>
      <c r="E17" s="379">
        <v>39.69</v>
      </c>
      <c r="F17" s="379">
        <v>68.67</v>
      </c>
      <c r="G17" t="s">
        <v>588</v>
      </c>
      <c r="H17" t="s">
        <v>821</v>
      </c>
      <c r="I17" s="379">
        <v>0.46</v>
      </c>
      <c r="J17" s="379">
        <v>27.8</v>
      </c>
      <c r="K17" s="379">
        <v>0.32500000000000001</v>
      </c>
      <c r="L17" s="379">
        <v>11.55</v>
      </c>
      <c r="M17" s="379">
        <v>1.02433899492208</v>
      </c>
      <c r="N17" s="297">
        <v>2056655.954808278</v>
      </c>
    </row>
    <row r="18" spans="1:14" x14ac:dyDescent="0.25">
      <c r="A18" t="s">
        <v>809</v>
      </c>
      <c r="B18" t="s">
        <v>801</v>
      </c>
      <c r="C18" t="s">
        <v>806</v>
      </c>
      <c r="D18" s="379">
        <v>1.0325751671572523</v>
      </c>
      <c r="E18" s="379">
        <v>1.2841211489991846</v>
      </c>
      <c r="F18" s="379">
        <v>1.4172270363951474</v>
      </c>
      <c r="G18" t="s">
        <v>588</v>
      </c>
      <c r="H18" t="s">
        <v>822</v>
      </c>
      <c r="I18" s="379">
        <v>0.49</v>
      </c>
      <c r="J18" s="379">
        <v>27.8</v>
      </c>
      <c r="K18" s="379">
        <v>0.5</v>
      </c>
      <c r="L18" s="379">
        <v>19.8</v>
      </c>
      <c r="M18" s="379">
        <v>1.369794975454808</v>
      </c>
      <c r="N18" s="297">
        <v>2854761.2507040268</v>
      </c>
    </row>
    <row r="19" spans="1:14" x14ac:dyDescent="0.25">
      <c r="A19" t="s">
        <v>809</v>
      </c>
      <c r="B19" t="s">
        <v>802</v>
      </c>
      <c r="C19" t="s">
        <v>808</v>
      </c>
      <c r="D19" s="379">
        <v>1169512.0108316932</v>
      </c>
      <c r="E19" s="379">
        <v>2191813.5007779789</v>
      </c>
      <c r="F19" s="379">
        <v>3155108.2285689358</v>
      </c>
      <c r="G19" t="s">
        <v>823</v>
      </c>
      <c r="H19" t="s">
        <v>820</v>
      </c>
      <c r="I19" s="379">
        <v>0.29819999999999997</v>
      </c>
      <c r="J19" s="379">
        <v>38.4</v>
      </c>
      <c r="K19" s="379">
        <v>0.14463276836158195</v>
      </c>
      <c r="L19" s="379">
        <v>3.33</v>
      </c>
      <c r="M19" s="379">
        <v>0.92700716698284813</v>
      </c>
      <c r="N19" s="297">
        <v>276267.21781006735</v>
      </c>
    </row>
    <row r="20" spans="1:14" x14ac:dyDescent="0.25">
      <c r="A20" t="s">
        <v>620</v>
      </c>
      <c r="B20" t="s">
        <v>807</v>
      </c>
      <c r="D20" s="379">
        <v>0.4</v>
      </c>
      <c r="E20" s="379">
        <v>0.46</v>
      </c>
      <c r="F20" s="379">
        <v>0.49</v>
      </c>
      <c r="G20" t="s">
        <v>823</v>
      </c>
      <c r="H20" t="s">
        <v>821</v>
      </c>
      <c r="I20" s="379">
        <v>0.58079999999999998</v>
      </c>
      <c r="J20" s="379">
        <v>59</v>
      </c>
      <c r="K20" s="379">
        <v>0.34706610609402788</v>
      </c>
      <c r="L20" s="379">
        <v>5.67</v>
      </c>
      <c r="M20" s="379">
        <v>1.0812467168621958</v>
      </c>
      <c r="N20" s="297">
        <v>276426.90888362238</v>
      </c>
    </row>
    <row r="21" spans="1:14" x14ac:dyDescent="0.25">
      <c r="A21" t="s">
        <v>620</v>
      </c>
      <c r="B21" t="s">
        <v>797</v>
      </c>
      <c r="C21" t="s">
        <v>803</v>
      </c>
      <c r="D21" s="379">
        <v>27.8</v>
      </c>
      <c r="E21" s="379">
        <v>27.8</v>
      </c>
      <c r="F21" s="379">
        <v>27.8</v>
      </c>
      <c r="G21" t="s">
        <v>823</v>
      </c>
      <c r="H21" t="s">
        <v>822</v>
      </c>
      <c r="I21" s="379">
        <v>0.78200000000000003</v>
      </c>
      <c r="J21" s="379">
        <v>97.9</v>
      </c>
      <c r="K21" s="379">
        <v>0.54949944382647375</v>
      </c>
      <c r="L21" s="379">
        <v>9.81</v>
      </c>
      <c r="M21" s="379">
        <v>1.5715286289616528</v>
      </c>
      <c r="N21" s="297">
        <v>613927.15068903915</v>
      </c>
    </row>
    <row r="22" spans="1:14" x14ac:dyDescent="0.25">
      <c r="A22" t="s">
        <v>620</v>
      </c>
      <c r="B22" t="s">
        <v>799</v>
      </c>
      <c r="D22" s="379">
        <v>0.15</v>
      </c>
      <c r="E22" s="379">
        <v>0.32500000000000001</v>
      </c>
      <c r="F22" s="379">
        <v>0.5</v>
      </c>
      <c r="G22" t="s">
        <v>499</v>
      </c>
      <c r="H22" t="s">
        <v>820</v>
      </c>
      <c r="I22" s="379">
        <v>0.71</v>
      </c>
      <c r="J22" s="379">
        <v>20.7</v>
      </c>
      <c r="K22" s="379">
        <v>0.14463276836158195</v>
      </c>
      <c r="L22" s="379">
        <v>1</v>
      </c>
      <c r="M22" s="379">
        <v>0.75731045351076864</v>
      </c>
      <c r="N22" s="297">
        <v>261051.77591173322</v>
      </c>
    </row>
    <row r="23" spans="1:14" x14ac:dyDescent="0.25">
      <c r="A23" t="s">
        <v>620</v>
      </c>
      <c r="B23" t="s">
        <v>800</v>
      </c>
      <c r="C23" t="s">
        <v>804</v>
      </c>
      <c r="D23" s="379">
        <v>10.199999999999999</v>
      </c>
      <c r="E23" s="379">
        <v>11.55</v>
      </c>
      <c r="F23" s="379">
        <v>19.8</v>
      </c>
      <c r="G23" t="s">
        <v>499</v>
      </c>
      <c r="H23" t="s">
        <v>821</v>
      </c>
      <c r="I23" s="379">
        <v>0.88</v>
      </c>
      <c r="J23" s="379">
        <v>20.7</v>
      </c>
      <c r="K23" s="379">
        <v>0.34706610609402788</v>
      </c>
      <c r="L23" s="379">
        <v>1</v>
      </c>
      <c r="M23" s="379">
        <v>0.88812996228874896</v>
      </c>
      <c r="N23" s="297">
        <v>306963.57534451911</v>
      </c>
    </row>
    <row r="24" spans="1:14" x14ac:dyDescent="0.25">
      <c r="A24" t="s">
        <v>620</v>
      </c>
      <c r="B24" t="s">
        <v>801</v>
      </c>
      <c r="C24" t="s">
        <v>806</v>
      </c>
      <c r="D24" s="379">
        <v>0.75293293643845194</v>
      </c>
      <c r="E24" s="379">
        <v>1.02433899492208</v>
      </c>
      <c r="F24" s="379">
        <v>1.369794975454808</v>
      </c>
      <c r="G24" t="s">
        <v>499</v>
      </c>
      <c r="H24" t="s">
        <v>822</v>
      </c>
      <c r="I24" s="379">
        <v>0.92</v>
      </c>
      <c r="J24" s="379">
        <v>20.7</v>
      </c>
      <c r="K24" s="379">
        <v>0.54949944382647375</v>
      </c>
      <c r="L24" s="379">
        <v>1</v>
      </c>
      <c r="M24" s="379">
        <v>1.0177727193136052</v>
      </c>
      <c r="N24" s="297">
        <v>613927.15068903915</v>
      </c>
    </row>
    <row r="25" spans="1:14" x14ac:dyDescent="0.25">
      <c r="A25" t="s">
        <v>620</v>
      </c>
      <c r="B25" t="s">
        <v>802</v>
      </c>
      <c r="C25" t="s">
        <v>808</v>
      </c>
      <c r="D25" s="379">
        <v>1180363.0780797016</v>
      </c>
      <c r="E25" s="379">
        <v>2056655.954808278</v>
      </c>
      <c r="F25" s="379">
        <v>2854761.2507040268</v>
      </c>
    </row>
    <row r="26" spans="1:14" x14ac:dyDescent="0.25">
      <c r="A26" t="s">
        <v>795</v>
      </c>
      <c r="B26" t="s">
        <v>807</v>
      </c>
      <c r="D26" s="379">
        <v>0.29819999999999997</v>
      </c>
      <c r="E26" s="379">
        <v>0.58079999999999998</v>
      </c>
      <c r="F26" s="379">
        <v>0.78200000000000003</v>
      </c>
    </row>
    <row r="27" spans="1:14" x14ac:dyDescent="0.25">
      <c r="A27" t="s">
        <v>795</v>
      </c>
      <c r="B27" t="s">
        <v>797</v>
      </c>
      <c r="C27" t="s">
        <v>803</v>
      </c>
      <c r="D27" s="379">
        <v>38.4</v>
      </c>
      <c r="E27" s="379">
        <v>59</v>
      </c>
      <c r="F27" s="379">
        <v>97.9</v>
      </c>
    </row>
    <row r="28" spans="1:14" x14ac:dyDescent="0.25">
      <c r="A28" t="s">
        <v>795</v>
      </c>
      <c r="B28" t="s">
        <v>799</v>
      </c>
      <c r="D28" s="379">
        <v>0.14463276836158195</v>
      </c>
      <c r="E28" s="379">
        <v>0.34706610609402788</v>
      </c>
      <c r="F28" s="379">
        <v>0.54949944382647375</v>
      </c>
    </row>
    <row r="29" spans="1:14" x14ac:dyDescent="0.25">
      <c r="A29" t="s">
        <v>795</v>
      </c>
      <c r="B29" t="s">
        <v>800</v>
      </c>
      <c r="C29" t="s">
        <v>804</v>
      </c>
      <c r="D29" s="379">
        <v>3.33</v>
      </c>
      <c r="E29" s="379">
        <v>5.67</v>
      </c>
      <c r="F29" s="379">
        <v>9.81</v>
      </c>
    </row>
    <row r="30" spans="1:14" x14ac:dyDescent="0.25">
      <c r="A30" t="s">
        <v>795</v>
      </c>
      <c r="B30" t="s">
        <v>801</v>
      </c>
      <c r="C30" t="s">
        <v>806</v>
      </c>
      <c r="D30" s="379">
        <v>0.92700716698284813</v>
      </c>
      <c r="E30" s="379">
        <v>1.0812467168621958</v>
      </c>
      <c r="F30" s="379">
        <v>1.5715286289616528</v>
      </c>
    </row>
    <row r="31" spans="1:14" x14ac:dyDescent="0.25">
      <c r="A31" t="s">
        <v>795</v>
      </c>
      <c r="B31" t="s">
        <v>802</v>
      </c>
      <c r="C31" t="s">
        <v>805</v>
      </c>
      <c r="D31" s="379">
        <v>276267.21781006735</v>
      </c>
      <c r="E31" s="379">
        <v>276426.90888362238</v>
      </c>
      <c r="F31" s="379">
        <v>613927.15068903915</v>
      </c>
    </row>
    <row r="32" spans="1:14" x14ac:dyDescent="0.25">
      <c r="A32" t="s">
        <v>499</v>
      </c>
      <c r="B32" t="s">
        <v>807</v>
      </c>
      <c r="D32" s="379">
        <v>0.71</v>
      </c>
      <c r="E32" s="379">
        <v>0.88</v>
      </c>
      <c r="F32" s="379">
        <v>0.92</v>
      </c>
    </row>
    <row r="33" spans="1:6" x14ac:dyDescent="0.25">
      <c r="A33" t="s">
        <v>499</v>
      </c>
      <c r="B33" t="s">
        <v>797</v>
      </c>
      <c r="C33" t="s">
        <v>803</v>
      </c>
      <c r="D33" s="379">
        <v>20.7</v>
      </c>
      <c r="E33" s="379">
        <v>20.7</v>
      </c>
      <c r="F33" s="379">
        <v>20.7</v>
      </c>
    </row>
    <row r="34" spans="1:6" x14ac:dyDescent="0.25">
      <c r="A34" t="s">
        <v>499</v>
      </c>
      <c r="B34" t="s">
        <v>799</v>
      </c>
      <c r="D34" s="379">
        <v>0.14463276836158195</v>
      </c>
      <c r="E34" s="379">
        <v>0.34706610609402788</v>
      </c>
      <c r="F34" s="379">
        <v>0.54949944382647375</v>
      </c>
    </row>
    <row r="35" spans="1:6" x14ac:dyDescent="0.25">
      <c r="A35" t="s">
        <v>499</v>
      </c>
      <c r="B35" t="s">
        <v>800</v>
      </c>
      <c r="C35" t="s">
        <v>804</v>
      </c>
      <c r="D35" s="379">
        <v>1</v>
      </c>
      <c r="E35" s="379">
        <v>1</v>
      </c>
      <c r="F35" s="379">
        <v>1</v>
      </c>
    </row>
    <row r="36" spans="1:6" x14ac:dyDescent="0.25">
      <c r="A36" t="s">
        <v>499</v>
      </c>
      <c r="B36" t="s">
        <v>801</v>
      </c>
      <c r="C36" t="s">
        <v>806</v>
      </c>
      <c r="D36" s="379">
        <v>0.75731045351076864</v>
      </c>
      <c r="E36" s="379">
        <v>0.88812996228874896</v>
      </c>
      <c r="F36" s="379">
        <v>1.0177727193136052</v>
      </c>
    </row>
    <row r="37" spans="1:6" x14ac:dyDescent="0.25">
      <c r="A37" t="s">
        <v>499</v>
      </c>
      <c r="B37" t="s">
        <v>802</v>
      </c>
      <c r="C37" t="s">
        <v>805</v>
      </c>
      <c r="D37" s="379">
        <v>261051.77591173322</v>
      </c>
      <c r="E37" s="379">
        <v>306963.57534451911</v>
      </c>
      <c r="F37" s="379">
        <v>613927.15068903915</v>
      </c>
    </row>
    <row r="42" spans="1:6" x14ac:dyDescent="0.25">
      <c r="A42" t="s">
        <v>798</v>
      </c>
      <c r="B42" t="s">
        <v>797</v>
      </c>
      <c r="C42" t="s">
        <v>803</v>
      </c>
      <c r="D42" s="379">
        <f>'Cost Analysis-HEFA'!$C$11</f>
        <v>86.8</v>
      </c>
      <c r="E42" s="379">
        <f>'Cost Analysis-HEFA'!$C$11</f>
        <v>86.8</v>
      </c>
      <c r="F42" s="379">
        <f>'Cost Analysis-HEFA'!$C$11</f>
        <v>86.8</v>
      </c>
    </row>
    <row r="43" spans="1:6" x14ac:dyDescent="0.25">
      <c r="A43" t="s">
        <v>798</v>
      </c>
      <c r="B43" t="s">
        <v>801</v>
      </c>
      <c r="C43" t="s">
        <v>806</v>
      </c>
      <c r="D43" s="379">
        <v>0.31</v>
      </c>
      <c r="E43" s="379">
        <v>0.41</v>
      </c>
      <c r="F43" s="379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73"/>
  <sheetViews>
    <sheetView topLeftCell="A23" zoomScale="85" zoomScaleNormal="85" workbookViewId="0">
      <selection activeCell="F34" sqref="F34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21.42578125" customWidth="1"/>
    <col min="5" max="5" width="15.85546875" customWidth="1"/>
    <col min="6" max="6" width="19.7109375" customWidth="1"/>
    <col min="7" max="7" width="12.5703125" customWidth="1"/>
    <col min="8" max="8" width="14.28515625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63" t="s">
        <v>539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5"/>
    </row>
    <row r="2" spans="1:12" ht="14.45" customHeight="1" thickBot="1" x14ac:dyDescent="0.3">
      <c r="A2" s="566"/>
      <c r="B2" s="567"/>
      <c r="C2" s="567"/>
      <c r="D2" s="567"/>
      <c r="E2" s="567"/>
      <c r="F2" s="567"/>
      <c r="G2" s="567"/>
      <c r="H2" s="567"/>
      <c r="I2" s="567"/>
      <c r="J2" s="567"/>
      <c r="K2" s="567"/>
      <c r="L2" s="568"/>
    </row>
    <row r="3" spans="1:12" x14ac:dyDescent="0.25">
      <c r="A3" s="569" t="s">
        <v>314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  <c r="L3" s="571"/>
    </row>
    <row r="4" spans="1:12" x14ac:dyDescent="0.25">
      <c r="A4" s="494" t="s">
        <v>421</v>
      </c>
      <c r="B4" s="425"/>
      <c r="C4" s="426"/>
      <c r="D4" s="141"/>
      <c r="E4" s="518"/>
      <c r="F4" s="518"/>
      <c r="G4" s="518"/>
      <c r="H4" s="141"/>
      <c r="I4" s="518"/>
      <c r="J4" s="518"/>
      <c r="K4" s="518"/>
      <c r="L4" s="23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523" t="s">
        <v>542</v>
      </c>
    </row>
    <row r="6" spans="1:12" x14ac:dyDescent="0.25">
      <c r="A6" s="242">
        <v>0.31</v>
      </c>
      <c r="B6" s="243">
        <v>0.48</v>
      </c>
      <c r="C6" s="243">
        <v>0.57999999999999996</v>
      </c>
      <c r="D6" s="141"/>
      <c r="E6" s="212"/>
      <c r="F6" s="212"/>
      <c r="G6" s="212"/>
      <c r="H6" s="141"/>
      <c r="I6" s="212"/>
      <c r="J6" s="212"/>
      <c r="K6" s="212"/>
      <c r="L6" s="524"/>
    </row>
    <row r="7" spans="1:12" x14ac:dyDescent="0.25">
      <c r="A7" s="576" t="s">
        <v>461</v>
      </c>
      <c r="B7" s="577"/>
      <c r="C7" s="577"/>
      <c r="D7" s="577"/>
      <c r="E7" s="577"/>
      <c r="F7" s="577"/>
      <c r="G7" s="577"/>
      <c r="H7" s="577"/>
      <c r="I7" s="577"/>
      <c r="J7" s="577"/>
      <c r="K7" s="577"/>
      <c r="L7" s="578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ht="18" customHeight="1" x14ac:dyDescent="0.25">
      <c r="A9" s="149" t="s">
        <v>10</v>
      </c>
      <c r="B9" s="149" t="s">
        <v>564</v>
      </c>
      <c r="C9" s="139">
        <v>33.700000000000003</v>
      </c>
      <c r="D9" s="139">
        <v>52.2</v>
      </c>
      <c r="E9" s="139">
        <v>68.400000000000006</v>
      </c>
      <c r="F9" s="202" t="s">
        <v>514</v>
      </c>
      <c r="G9" s="139">
        <f>C9*35.3</f>
        <v>1189.6099999999999</v>
      </c>
      <c r="H9" s="139">
        <f>D9*35.3</f>
        <v>1842.6599999999999</v>
      </c>
      <c r="I9" s="139">
        <f>E9*35.3</f>
        <v>2414.52</v>
      </c>
      <c r="J9" s="142"/>
      <c r="K9" s="142"/>
      <c r="L9" s="167" t="s">
        <v>541</v>
      </c>
    </row>
    <row r="10" spans="1:12" ht="18" customHeight="1" x14ac:dyDescent="0.25">
      <c r="A10" s="525" t="s">
        <v>489</v>
      </c>
      <c r="B10" s="526"/>
      <c r="C10" s="527">
        <v>86.8</v>
      </c>
      <c r="D10" s="528"/>
      <c r="E10" s="529"/>
      <c r="F10" s="145"/>
      <c r="G10" s="527">
        <f>C10*35.3</f>
        <v>3064.0399999999995</v>
      </c>
      <c r="H10" s="528"/>
      <c r="I10" s="529"/>
      <c r="J10" s="141"/>
      <c r="K10" s="141"/>
      <c r="L10" s="167" t="s">
        <v>490</v>
      </c>
    </row>
    <row r="11" spans="1:12" x14ac:dyDescent="0.25">
      <c r="A11" s="576" t="s">
        <v>468</v>
      </c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8"/>
    </row>
    <row r="12" spans="1:12" x14ac:dyDescent="0.25">
      <c r="A12" s="246" t="s">
        <v>466</v>
      </c>
      <c r="B12" s="247">
        <v>0.15</v>
      </c>
      <c r="C12" s="141"/>
      <c r="D12" s="141"/>
      <c r="E12" s="141"/>
      <c r="F12" s="141"/>
      <c r="G12" s="141"/>
      <c r="H12" s="141"/>
      <c r="I12" s="141"/>
      <c r="J12" s="141"/>
      <c r="K12" s="141"/>
      <c r="L12" s="245" t="s">
        <v>462</v>
      </c>
    </row>
    <row r="13" spans="1:12" x14ac:dyDescent="0.25">
      <c r="A13" s="168" t="s">
        <v>467</v>
      </c>
      <c r="B13" s="143">
        <v>0.75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67" t="s">
        <v>540</v>
      </c>
    </row>
    <row r="14" spans="1:12" x14ac:dyDescent="0.25">
      <c r="A14" s="579" t="s">
        <v>469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1"/>
    </row>
    <row r="15" spans="1:12" x14ac:dyDescent="0.25">
      <c r="A15" s="168" t="s">
        <v>471</v>
      </c>
      <c r="B15" s="144" t="s">
        <v>45</v>
      </c>
      <c r="C15" s="144" t="s">
        <v>35</v>
      </c>
      <c r="D15" s="144" t="s">
        <v>470</v>
      </c>
      <c r="E15" s="144" t="s">
        <v>37</v>
      </c>
      <c r="F15" s="144" t="s">
        <v>48</v>
      </c>
      <c r="G15" s="141"/>
      <c r="H15" s="141"/>
      <c r="I15" s="141"/>
      <c r="J15" s="141"/>
      <c r="K15" s="141"/>
      <c r="L15" s="166" t="s">
        <v>462</v>
      </c>
    </row>
    <row r="16" spans="1:12" x14ac:dyDescent="0.25">
      <c r="A16" s="170" t="s">
        <v>34</v>
      </c>
      <c r="B16" s="14">
        <f>8*0.28</f>
        <v>2.2400000000000002</v>
      </c>
      <c r="C16" s="14">
        <f>0.28*37</f>
        <v>10.360000000000001</v>
      </c>
      <c r="D16" s="14">
        <f>0.28*63</f>
        <v>17.64</v>
      </c>
      <c r="E16" s="14">
        <f>0.28*109</f>
        <v>30.520000000000003</v>
      </c>
      <c r="F16" s="14">
        <f>0.28*217</f>
        <v>60.760000000000005</v>
      </c>
      <c r="G16" s="142"/>
      <c r="H16" s="142"/>
      <c r="I16" s="142"/>
      <c r="J16" s="142"/>
      <c r="K16" s="142"/>
      <c r="L16" s="167" t="s">
        <v>472</v>
      </c>
    </row>
    <row r="17" spans="1:12" x14ac:dyDescent="0.25">
      <c r="A17" s="582" t="s">
        <v>473</v>
      </c>
      <c r="B17" s="577"/>
      <c r="C17" s="577"/>
      <c r="D17" s="577"/>
      <c r="E17" s="577"/>
      <c r="F17" s="577"/>
      <c r="G17" s="577"/>
      <c r="H17" s="577"/>
      <c r="I17" s="577"/>
      <c r="J17" s="577"/>
      <c r="K17" s="577"/>
      <c r="L17" s="583"/>
    </row>
    <row r="18" spans="1:12" ht="75" x14ac:dyDescent="0.25">
      <c r="A18" s="168" t="s">
        <v>227</v>
      </c>
      <c r="B18" s="160" t="s">
        <v>496</v>
      </c>
      <c r="C18" s="160" t="s">
        <v>493</v>
      </c>
      <c r="D18" s="160" t="s">
        <v>494</v>
      </c>
      <c r="E18" s="160" t="s">
        <v>495</v>
      </c>
      <c r="F18" s="161" t="s">
        <v>488</v>
      </c>
      <c r="G18" s="161" t="s">
        <v>487</v>
      </c>
      <c r="H18" s="180" t="s">
        <v>500</v>
      </c>
      <c r="I18" s="404" t="s">
        <v>847</v>
      </c>
      <c r="J18" s="201"/>
      <c r="K18" s="201"/>
      <c r="L18" s="166" t="s">
        <v>462</v>
      </c>
    </row>
    <row r="19" spans="1:12" x14ac:dyDescent="0.25">
      <c r="A19" s="171" t="str">
        <f>Biomass_Cost!B20</f>
        <v>Forest residues/ wheat straw (mixed alcohols)</v>
      </c>
      <c r="B19" s="181">
        <f>Biomass_Cost!F20</f>
        <v>0.50779198038872297</v>
      </c>
      <c r="C19" s="182">
        <f>Biomass_Cost!H20</f>
        <v>0.84048327788478361</v>
      </c>
      <c r="D19" s="182">
        <f>Biomass_Cost!J20</f>
        <v>0.97180879005428122</v>
      </c>
      <c r="E19" s="182">
        <f>Biomass_Cost!Q20</f>
        <v>2.333216599544738</v>
      </c>
      <c r="F19" s="182">
        <f>Biomass_Cost!Z20</f>
        <v>1896983.0430206705</v>
      </c>
      <c r="G19" s="205">
        <f>Biomass_Cost!AA20</f>
        <v>269.92</v>
      </c>
      <c r="H19" s="214" t="s">
        <v>561</v>
      </c>
      <c r="I19" s="414">
        <f>D19*$B$6/35.3</f>
        <v>1.3214397145214022E-2</v>
      </c>
      <c r="J19" s="141"/>
      <c r="K19" s="141"/>
      <c r="L19" s="172" t="str">
        <f>Biomass_Cost!R20</f>
        <v>[1]</v>
      </c>
    </row>
    <row r="20" spans="1:12" x14ac:dyDescent="0.25">
      <c r="A20" s="171" t="str">
        <f>Biomass_Cost!B21</f>
        <v>Ethanol</v>
      </c>
      <c r="B20" s="184">
        <f>Biomass_Cost!F21</f>
        <v>8.7550341446331642E-2</v>
      </c>
      <c r="C20" s="175">
        <f>Biomass_Cost!H21</f>
        <v>0.20136578532656277</v>
      </c>
      <c r="D20" s="175">
        <f>Biomass_Cost!J21</f>
        <v>1.0768691997898792</v>
      </c>
      <c r="E20" s="175" t="str">
        <f>Biomass_Cost!Q21</f>
        <v>N/A</v>
      </c>
      <c r="F20" s="175" t="s">
        <v>482</v>
      </c>
      <c r="G20" s="206">
        <f>Biomass_Cost!AA21</f>
        <v>119.19000000000001</v>
      </c>
      <c r="H20" s="215" t="s">
        <v>561</v>
      </c>
      <c r="I20" s="415">
        <f>D20*$B$6/35.3</f>
        <v>1.4642980620372295E-2</v>
      </c>
      <c r="J20" s="141"/>
      <c r="K20" s="141"/>
      <c r="L20" s="172" t="str">
        <f>Biomass_Cost!R21</f>
        <v>[7]</v>
      </c>
    </row>
    <row r="21" spans="1:12" x14ac:dyDescent="0.25">
      <c r="A21" s="171" t="str">
        <f>Biomass_Cost!B22</f>
        <v>Isobutanol</v>
      </c>
      <c r="B21" s="184">
        <f>Biomass_Cost!F22</f>
        <v>4.3775170723165821E-2</v>
      </c>
      <c r="C21" s="175">
        <f>Biomass_Cost!H22</f>
        <v>0.14008054631413061</v>
      </c>
      <c r="D21" s="175">
        <f>Biomass_Cost!J22</f>
        <v>1.2081947119593763</v>
      </c>
      <c r="E21" s="175" t="str">
        <f>Biomass_Cost!Q22</f>
        <v>N/A</v>
      </c>
      <c r="F21" s="175" t="s">
        <v>482</v>
      </c>
      <c r="G21" s="206">
        <f>Biomass_Cost!AA22</f>
        <v>120.495</v>
      </c>
      <c r="H21" s="215" t="s">
        <v>561</v>
      </c>
      <c r="I21" s="415">
        <f t="shared" ref="I21:I26" si="0">D21*$B$6/35.3</f>
        <v>1.6428709964320134E-2</v>
      </c>
      <c r="J21" s="141"/>
      <c r="K21" s="141"/>
      <c r="L21" s="172" t="str">
        <f>Biomass_Cost!R22</f>
        <v>[7]</v>
      </c>
    </row>
    <row r="22" spans="1:12" x14ac:dyDescent="0.25">
      <c r="A22" s="171" t="str">
        <f>Biomass_Cost!B23</f>
        <v>Isobutanol</v>
      </c>
      <c r="B22" s="184">
        <f>Biomass_Cost!F23</f>
        <v>4.3775170723165821E-2</v>
      </c>
      <c r="C22" s="175">
        <f>Biomass_Cost!H23</f>
        <v>0.14008054631413061</v>
      </c>
      <c r="D22" s="175">
        <f>Biomass_Cost!J23</f>
        <v>1.2081947119593763</v>
      </c>
      <c r="E22" s="175" t="str">
        <f>Biomass_Cost!Q23</f>
        <v>N/A</v>
      </c>
      <c r="F22" s="175" t="s">
        <v>482</v>
      </c>
      <c r="G22" s="206">
        <f>Biomass_Cost!AA23</f>
        <v>121.04900000000001</v>
      </c>
      <c r="H22" s="215" t="s">
        <v>561</v>
      </c>
      <c r="I22" s="415">
        <f t="shared" si="0"/>
        <v>1.6428709964320134E-2</v>
      </c>
      <c r="J22" s="141"/>
      <c r="K22" s="141"/>
      <c r="L22" s="172" t="str">
        <f>Biomass_Cost!R23</f>
        <v>[7]</v>
      </c>
    </row>
    <row r="23" spans="1:12" x14ac:dyDescent="0.25">
      <c r="A23" s="171" t="str">
        <f>Biomass_Cost!B24</f>
        <v>Wheat straw/ isobutanol</v>
      </c>
      <c r="B23" s="184">
        <f>Biomass_Cost!F24</f>
        <v>0.2101208194711959</v>
      </c>
      <c r="C23" s="175">
        <f>Biomass_Cost!H24</f>
        <v>0.33269129749606019</v>
      </c>
      <c r="D23" s="175">
        <f>Biomass_Cost!J24</f>
        <v>0.90176851689721582</v>
      </c>
      <c r="E23" s="175">
        <f>Biomass_Cost!Q24</f>
        <v>1.0506040973559796</v>
      </c>
      <c r="F23" s="175">
        <f>Biomass_Cost!Z24</f>
        <v>784958.50056027831</v>
      </c>
      <c r="G23" s="206">
        <f>Biomass_Cost!AA24</f>
        <v>2540</v>
      </c>
      <c r="H23" s="215" t="s">
        <v>561</v>
      </c>
      <c r="I23" s="415">
        <f t="shared" si="0"/>
        <v>1.2262008161775173E-2</v>
      </c>
      <c r="J23" s="141"/>
      <c r="K23" s="141"/>
      <c r="L23" s="172" t="str">
        <f>Biomass_Cost!R24</f>
        <v>[3]</v>
      </c>
    </row>
    <row r="24" spans="1:12" x14ac:dyDescent="0.25">
      <c r="A24" s="171" t="str">
        <f>Biomass_Cost!B25</f>
        <v>Wheat grain/ isobutanol</v>
      </c>
      <c r="B24" s="184">
        <f>Biomass_Cost!F25</f>
        <v>7.8795307301698467E-2</v>
      </c>
      <c r="C24" s="175">
        <f>Biomass_Cost!H25</f>
        <v>0.28016109262826122</v>
      </c>
      <c r="D24" s="175">
        <f>Biomass_Cost!J25</f>
        <v>0.74417790229381886</v>
      </c>
      <c r="E24" s="175">
        <f>Biomass_Cost!Q25</f>
        <v>0.65662756084748719</v>
      </c>
      <c r="F24" s="175">
        <f>Biomass_Cost!Z25</f>
        <v>294359.43771010416</v>
      </c>
      <c r="G24" s="206">
        <f>Biomass_Cost!AA25</f>
        <v>2560</v>
      </c>
      <c r="H24" s="215" t="s">
        <v>561</v>
      </c>
      <c r="I24" s="415">
        <f t="shared" si="0"/>
        <v>1.0119132949037764E-2</v>
      </c>
      <c r="J24" s="141"/>
      <c r="K24" s="141"/>
      <c r="L24" s="172" t="str">
        <f>Biomass_Cost!R25</f>
        <v>[3]</v>
      </c>
    </row>
    <row r="25" spans="1:12" x14ac:dyDescent="0.25">
      <c r="A25" s="171" t="str">
        <f>Biomass_Cost!B26</f>
        <v>Corn grain/ ethanol-nth plant</v>
      </c>
      <c r="B25" s="184">
        <f>Biomass_Cost!F26</f>
        <v>0.41148660479775867</v>
      </c>
      <c r="C25" s="175">
        <f>Biomass_Cost!H26</f>
        <v>0.27140605848362803</v>
      </c>
      <c r="D25" s="175">
        <f>Biomass_Cost!J26</f>
        <v>0.71791279985991929</v>
      </c>
      <c r="E25" s="175">
        <f>Biomass_Cost!Q26</f>
        <v>0.97180879005428122</v>
      </c>
      <c r="F25" s="175">
        <f>Biomass_Cost!Z26</f>
        <v>1537210.3969305374</v>
      </c>
      <c r="G25" s="206">
        <f>Biomass_Cost!AA26</f>
        <v>436</v>
      </c>
      <c r="H25" s="215" t="s">
        <v>561</v>
      </c>
      <c r="I25" s="415">
        <f t="shared" si="0"/>
        <v>9.761987080248195E-3</v>
      </c>
      <c r="J25" s="141"/>
      <c r="K25" s="141"/>
      <c r="L25" s="172" t="str">
        <f>Biomass_Cost!R26</f>
        <v>[8]</v>
      </c>
    </row>
    <row r="26" spans="1:12" x14ac:dyDescent="0.25">
      <c r="A26" s="171" t="str">
        <f>Biomass_Cost!B27</f>
        <v>Corn stover/ ethanol-nth plant</v>
      </c>
      <c r="B26" s="184">
        <f>Biomass_Cost!F27</f>
        <v>0.63911749255822092</v>
      </c>
      <c r="C26" s="175">
        <f>Biomass_Cost!H27</f>
        <v>0.43775170723165818</v>
      </c>
      <c r="D26" s="175">
        <f>Biomass_Cost!J27</f>
        <v>0.48152687795482402</v>
      </c>
      <c r="E26" s="175">
        <f>Biomass_Cost!Q27</f>
        <v>1.4183155314305727</v>
      </c>
      <c r="F26" s="175">
        <f>Biomass_Cost!Z27</f>
        <v>2387582.1058708457</v>
      </c>
      <c r="G26" s="206">
        <f>Biomass_Cost!AA27</f>
        <v>307</v>
      </c>
      <c r="H26" s="215" t="s">
        <v>561</v>
      </c>
      <c r="I26" s="415">
        <f t="shared" si="0"/>
        <v>6.5476742611420835E-3</v>
      </c>
      <c r="J26" s="141"/>
      <c r="K26" s="141"/>
      <c r="L26" s="172" t="str">
        <f>Biomass_Cost!R27</f>
        <v>[8]</v>
      </c>
    </row>
    <row r="27" spans="1:12" x14ac:dyDescent="0.25">
      <c r="A27" s="171" t="str">
        <f>Biomass_Cost!B28</f>
        <v>Sugarcane</v>
      </c>
      <c r="B27" s="184" t="str">
        <f>Biomass_Cost!F28</f>
        <v>N/A</v>
      </c>
      <c r="C27" s="175" t="str">
        <f>Biomass_Cost!H28</f>
        <v>N/A</v>
      </c>
      <c r="D27" s="175" t="str">
        <f>Biomass_Cost!J28</f>
        <v>N/A</v>
      </c>
      <c r="E27" s="175">
        <f>Biomass_Cost!Q28</f>
        <v>0.84048327788478361</v>
      </c>
      <c r="F27" s="175" t="str">
        <f>Biomass_Cost!Z28</f>
        <v>N/A</v>
      </c>
      <c r="G27" s="206">
        <f>Biomass_Cost!AA28</f>
        <v>500</v>
      </c>
      <c r="H27" s="215" t="s">
        <v>561</v>
      </c>
      <c r="I27" s="415" t="s">
        <v>482</v>
      </c>
      <c r="J27" s="141"/>
      <c r="K27" s="141"/>
      <c r="L27" s="172" t="str">
        <f>Biomass_Cost!R28</f>
        <v>[9]</v>
      </c>
    </row>
    <row r="28" spans="1:12" x14ac:dyDescent="0.25">
      <c r="A28" s="171" t="str">
        <f>Biomass_Cost!B29</f>
        <v>Corn grain</v>
      </c>
      <c r="B28" s="184" t="str">
        <f>Biomass_Cost!F29</f>
        <v>N/A</v>
      </c>
      <c r="C28" s="175" t="str">
        <f>Biomass_Cost!H29</f>
        <v>N/A</v>
      </c>
      <c r="D28" s="175" t="str">
        <f>Biomass_Cost!J29</f>
        <v>N/A</v>
      </c>
      <c r="E28" s="175">
        <f>Biomass_Cost!Q29</f>
        <v>0.88425844860794944</v>
      </c>
      <c r="F28" s="175" t="str">
        <f>Biomass_Cost!Z29</f>
        <v>N/A</v>
      </c>
      <c r="G28" s="206">
        <f>Biomass_Cost!AA29</f>
        <v>500</v>
      </c>
      <c r="H28" s="215" t="s">
        <v>561</v>
      </c>
      <c r="I28" s="415" t="s">
        <v>482</v>
      </c>
      <c r="J28" s="141"/>
      <c r="K28" s="141"/>
      <c r="L28" s="172" t="str">
        <f>Biomass_Cost!R29</f>
        <v>[9]</v>
      </c>
    </row>
    <row r="29" spans="1:12" x14ac:dyDescent="0.25">
      <c r="A29" s="171" t="str">
        <f>Biomass_Cost!B30</f>
        <v>Switch grass</v>
      </c>
      <c r="B29" s="184" t="str">
        <f>Biomass_Cost!F30</f>
        <v>N/A</v>
      </c>
      <c r="C29" s="175" t="str">
        <f>Biomass_Cost!H30</f>
        <v>N/A</v>
      </c>
      <c r="D29" s="175" t="str">
        <f>Biomass_Cost!J30</f>
        <v>N/A</v>
      </c>
      <c r="E29" s="175">
        <f>Biomass_Cost!Q30</f>
        <v>1.2081947119593763</v>
      </c>
      <c r="F29" s="175" t="str">
        <f>Biomass_Cost!Z30</f>
        <v>N/A</v>
      </c>
      <c r="G29" s="206">
        <f>Biomass_Cost!AA30</f>
        <v>500</v>
      </c>
      <c r="H29" s="215" t="s">
        <v>561</v>
      </c>
      <c r="I29" s="415" t="s">
        <v>482</v>
      </c>
      <c r="J29" s="141"/>
      <c r="K29" s="141"/>
      <c r="L29" s="172" t="str">
        <f>Biomass_Cost!R30</f>
        <v>[9]</v>
      </c>
    </row>
    <row r="30" spans="1:12" x14ac:dyDescent="0.25">
      <c r="A30" s="171" t="str">
        <f>Biomass_Cost!B31</f>
        <v>sugarcane fermentation</v>
      </c>
      <c r="B30" s="184">
        <f>Biomass_Cost!F31</f>
        <v>0.65662756084748719</v>
      </c>
      <c r="C30" s="175">
        <f>Biomass_Cost!H31</f>
        <v>0.72666783400455248</v>
      </c>
      <c r="D30" s="175">
        <f>Biomass_Cost!J31</f>
        <v>0.82297320959551734</v>
      </c>
      <c r="E30" s="175">
        <f>Biomass_Cost!Q31</f>
        <v>1.7772719313605321</v>
      </c>
      <c r="F30" s="175">
        <f>Biomass_Cost!Z31</f>
        <v>2452995.3142508664</v>
      </c>
      <c r="G30" s="206">
        <f>Biomass_Cost!AA31</f>
        <v>210</v>
      </c>
      <c r="H30" s="215" t="s">
        <v>561</v>
      </c>
      <c r="I30" s="415">
        <f>D30*$B$6/35.3</f>
        <v>1.1190570555406469E-2</v>
      </c>
      <c r="J30" s="141"/>
      <c r="K30" s="141"/>
      <c r="L30" s="172" t="str">
        <f>Biomass_Cost!R31</f>
        <v>[4]</v>
      </c>
    </row>
    <row r="31" spans="1:12" x14ac:dyDescent="0.25">
      <c r="A31" s="171" t="str">
        <f>Biomass_Cost!B57</f>
        <v>Corn Grain</v>
      </c>
      <c r="B31" s="184">
        <f>Biomass_Cost!F57</f>
        <v>0.95644765169557611</v>
      </c>
      <c r="C31" s="175">
        <f>Biomass_Cost!H57</f>
        <v>0.18218050508487374</v>
      </c>
      <c r="D31" s="175">
        <f>Biomass_Cost!J57</f>
        <v>0.56931407839022208</v>
      </c>
      <c r="E31" s="175">
        <f>Biomass_Cost!Q57</f>
        <v>1.7079422351706719</v>
      </c>
      <c r="F31" s="175">
        <f>Biomass_Cost!Z57</f>
        <v>3052071.1850507502</v>
      </c>
      <c r="G31" s="206">
        <f>Biomass_Cost!AA57</f>
        <v>504.10958904109594</v>
      </c>
      <c r="H31" s="215" t="s">
        <v>561</v>
      </c>
      <c r="I31" s="415">
        <f t="shared" ref="I31:I34" si="1">D31*$B$6/35.3</f>
        <v>7.7413812359010369E-3</v>
      </c>
      <c r="J31" s="141"/>
      <c r="K31" s="141"/>
      <c r="L31" s="172" t="str">
        <f>Biomass_Cost!R57</f>
        <v>[12]</v>
      </c>
    </row>
    <row r="32" spans="1:12" x14ac:dyDescent="0.25">
      <c r="A32" s="171" t="str">
        <f>Biomass_Cost!B58</f>
        <v>Sugar Cane</v>
      </c>
      <c r="B32" s="184">
        <f>Biomass_Cost!F58</f>
        <v>0.72872202033948608</v>
      </c>
      <c r="C32" s="175">
        <f>Biomass_Cost!H58</f>
        <v>0.20495306822048023</v>
      </c>
      <c r="D32" s="175">
        <f>Biomass_Cost!J58</f>
        <v>0.7514945834750888</v>
      </c>
      <c r="E32" s="175">
        <f>Biomass_Cost!Q58</f>
        <v>1.6851696720350551</v>
      </c>
      <c r="F32" s="175">
        <f>Biomass_Cost!Z58</f>
        <v>2324054.2051303899</v>
      </c>
      <c r="G32" s="206">
        <f>Biomass_Cost!AA58</f>
        <v>504.10958904109594</v>
      </c>
      <c r="H32" s="215" t="s">
        <v>561</v>
      </c>
      <c r="I32" s="415">
        <f t="shared" si="1"/>
        <v>1.021862323138931E-2</v>
      </c>
      <c r="J32" s="141"/>
      <c r="K32" s="141"/>
      <c r="L32" s="172" t="str">
        <f>Biomass_Cost!R58</f>
        <v>[12]</v>
      </c>
    </row>
    <row r="33" spans="1:12" x14ac:dyDescent="0.25">
      <c r="A33" s="171" t="str">
        <f>Biomass_Cost!B59</f>
        <v>Agricultural residue</v>
      </c>
      <c r="B33" s="184">
        <f>Biomass_Cost!F59</f>
        <v>2.0039855559335891</v>
      </c>
      <c r="C33" s="175">
        <f>Biomass_Cost!H59</f>
        <v>2.2772563135616933E-2</v>
      </c>
      <c r="D33" s="175">
        <f>Biomass_Cost!J59</f>
        <v>0.38713357330534354</v>
      </c>
      <c r="E33" s="175">
        <f>Biomass_Cost!Q59</f>
        <v>2.4138916923745493</v>
      </c>
      <c r="F33" s="175">
        <f>Biomass_Cost!Z59</f>
        <v>6412149.5539139695</v>
      </c>
      <c r="G33" s="206">
        <f>Biomass_Cost!AA59</f>
        <v>504.10958904109594</v>
      </c>
      <c r="H33" s="215" t="s">
        <v>561</v>
      </c>
      <c r="I33" s="415">
        <f t="shared" si="1"/>
        <v>5.2641392404126032E-3</v>
      </c>
      <c r="J33" s="141"/>
      <c r="K33" s="141"/>
      <c r="L33" s="172" t="str">
        <f>Biomass_Cost!R59</f>
        <v>[12]</v>
      </c>
    </row>
    <row r="34" spans="1:12" x14ac:dyDescent="0.25">
      <c r="A34" s="171" t="str">
        <f>Biomass_Cost!B60</f>
        <v>Energy Crops</v>
      </c>
      <c r="B34" s="184">
        <f>Biomass_Cost!F60</f>
        <v>2.0039855559335891</v>
      </c>
      <c r="C34" s="175">
        <f>Biomass_Cost!H60</f>
        <v>2.2772563135616933E-2</v>
      </c>
      <c r="D34" s="175">
        <f>Biomass_Cost!J60</f>
        <v>0.47822382584778039</v>
      </c>
      <c r="E34" s="175">
        <f>Biomass_Cost!Q60</f>
        <v>2.5049819449169863</v>
      </c>
      <c r="F34" s="175">
        <f>Biomass_Cost!Z60</f>
        <v>6412149.5539139695</v>
      </c>
      <c r="G34" s="206">
        <f>Biomass_Cost!AA60</f>
        <v>504.10958904109594</v>
      </c>
      <c r="H34" s="215" t="s">
        <v>561</v>
      </c>
      <c r="I34" s="415">
        <f t="shared" si="1"/>
        <v>6.5027602381567875E-3</v>
      </c>
      <c r="J34" s="141"/>
      <c r="K34" s="141"/>
      <c r="L34" s="172" t="str">
        <f>Biomass_Cost!R60</f>
        <v>[12]</v>
      </c>
    </row>
    <row r="35" spans="1:12" x14ac:dyDescent="0.25">
      <c r="A35" s="171" t="str">
        <f>Biomass_Cost!B82</f>
        <v>Corn Stover</v>
      </c>
      <c r="B35" s="184" t="s">
        <v>482</v>
      </c>
      <c r="C35" s="175" t="s">
        <v>482</v>
      </c>
      <c r="D35" s="175" t="s">
        <v>482</v>
      </c>
      <c r="E35" s="175" t="str">
        <f>Biomass_Cost!Q82</f>
        <v>N/A</v>
      </c>
      <c r="F35" s="175">
        <f>Biomass_Cost!Z82</f>
        <v>1484001.1151161315</v>
      </c>
      <c r="G35" s="206">
        <f>Biomass_Cost!AA82</f>
        <v>443.78250000000003</v>
      </c>
      <c r="H35" s="215" t="s">
        <v>561</v>
      </c>
      <c r="I35" s="389" t="s">
        <v>482</v>
      </c>
      <c r="J35" s="141"/>
      <c r="K35" s="141"/>
      <c r="L35" s="172" t="str">
        <f>Biomass_Cost!R82</f>
        <v>[19]+[27]</v>
      </c>
    </row>
    <row r="36" spans="1:12" x14ac:dyDescent="0.25">
      <c r="A36" s="171" t="str">
        <f>Biomass_Cost!B83</f>
        <v>Corn Stover</v>
      </c>
      <c r="B36" s="184" t="s">
        <v>482</v>
      </c>
      <c r="C36" s="175" t="s">
        <v>482</v>
      </c>
      <c r="D36" s="175" t="s">
        <v>482</v>
      </c>
      <c r="E36" s="175" t="str">
        <f>Biomass_Cost!Q83</f>
        <v>N/A</v>
      </c>
      <c r="F36" s="175">
        <f>Biomass_Cost!Z83</f>
        <v>1566538.7141073442</v>
      </c>
      <c r="G36" s="206">
        <f>Biomass_Cost!AA83</f>
        <v>429.5625</v>
      </c>
      <c r="H36" s="215" t="s">
        <v>561</v>
      </c>
      <c r="I36" s="389" t="s">
        <v>482</v>
      </c>
      <c r="J36" s="141"/>
      <c r="K36" s="141"/>
      <c r="L36" s="172" t="str">
        <f>Biomass_Cost!R83</f>
        <v>[28]+[27]</v>
      </c>
    </row>
    <row r="37" spans="1:12" x14ac:dyDescent="0.25">
      <c r="A37" s="171" t="str">
        <f>Biomass_Cost!B84</f>
        <v>Corn Stover</v>
      </c>
      <c r="B37" s="184" t="s">
        <v>482</v>
      </c>
      <c r="C37" s="175" t="s">
        <v>482</v>
      </c>
      <c r="D37" s="175" t="s">
        <v>482</v>
      </c>
      <c r="E37" s="175" t="str">
        <f>Biomass_Cost!Q84</f>
        <v>N/A</v>
      </c>
      <c r="F37" s="175">
        <f>Biomass_Cost!Z84</f>
        <v>1558117.3397111518</v>
      </c>
      <c r="G37" s="206">
        <f>Biomass_Cost!AA84</f>
        <v>468.07499999999999</v>
      </c>
      <c r="H37" s="215" t="s">
        <v>561</v>
      </c>
      <c r="I37" s="389" t="s">
        <v>482</v>
      </c>
      <c r="J37" s="141"/>
      <c r="K37" s="141"/>
      <c r="L37" s="172" t="str">
        <f>Biomass_Cost!R84</f>
        <v>[29]+[27]</v>
      </c>
    </row>
    <row r="38" spans="1:12" x14ac:dyDescent="0.25">
      <c r="A38" s="171" t="str">
        <f>Biomass_Cost!B85</f>
        <v>Forestry Residue</v>
      </c>
      <c r="B38" s="184" t="s">
        <v>482</v>
      </c>
      <c r="C38" s="175" t="s">
        <v>482</v>
      </c>
      <c r="D38" s="175" t="s">
        <v>482</v>
      </c>
      <c r="E38" s="175" t="str">
        <f>Biomass_Cost!Q85</f>
        <v>N/A</v>
      </c>
      <c r="F38" s="175">
        <f>Biomass_Cost!Z85</f>
        <v>894909.28201280267</v>
      </c>
      <c r="G38" s="206">
        <f>Biomass_Cost!AA85</f>
        <v>798.64636209813875</v>
      </c>
      <c r="H38" s="215" t="s">
        <v>561</v>
      </c>
      <c r="I38" s="389" t="s">
        <v>482</v>
      </c>
      <c r="J38" s="141"/>
      <c r="K38" s="141"/>
      <c r="L38" s="172" t="str">
        <f>Biomass_Cost!R85</f>
        <v>[30]+[27]</v>
      </c>
    </row>
    <row r="39" spans="1:12" x14ac:dyDescent="0.25">
      <c r="A39" s="171" t="str">
        <f>Biomass_Cost!B86</f>
        <v>Straw</v>
      </c>
      <c r="B39" s="184" t="s">
        <v>482</v>
      </c>
      <c r="C39" s="175" t="s">
        <v>482</v>
      </c>
      <c r="D39" s="175" t="s">
        <v>482</v>
      </c>
      <c r="E39" s="175" t="str">
        <f>Biomass_Cost!Q86</f>
        <v>N/A</v>
      </c>
      <c r="F39" s="175">
        <f>Biomass_Cost!Z86</f>
        <v>1212798.9056743106</v>
      </c>
      <c r="G39" s="206">
        <f>Biomass_Cost!AA86</f>
        <v>450.01404000000002</v>
      </c>
      <c r="H39" s="215" t="s">
        <v>561</v>
      </c>
      <c r="I39" s="389" t="s">
        <v>482</v>
      </c>
      <c r="J39" s="141"/>
      <c r="K39" s="141"/>
      <c r="L39" s="172" t="str">
        <f>Biomass_Cost!R86</f>
        <v>[31]+[27]</v>
      </c>
    </row>
    <row r="40" spans="1:12" x14ac:dyDescent="0.25">
      <c r="A40" s="171" t="str">
        <f>Biomass_Cost!B87</f>
        <v>Eucalyptus</v>
      </c>
      <c r="B40" s="184" t="s">
        <v>482</v>
      </c>
      <c r="C40" s="175" t="s">
        <v>482</v>
      </c>
      <c r="D40" s="175" t="s">
        <v>482</v>
      </c>
      <c r="E40" s="175" t="str">
        <f>Biomass_Cost!Q87</f>
        <v>N/A</v>
      </c>
      <c r="F40" s="175">
        <f>Biomass_Cost!Z87</f>
        <v>1211506.9975770181</v>
      </c>
      <c r="G40" s="206">
        <f>Biomass_Cost!AA87</f>
        <v>422.84088000000003</v>
      </c>
      <c r="H40" s="215" t="s">
        <v>561</v>
      </c>
      <c r="I40" s="389" t="s">
        <v>482</v>
      </c>
      <c r="J40" s="141"/>
      <c r="K40" s="141"/>
      <c r="L40" s="172" t="str">
        <f>Biomass_Cost!R87</f>
        <v>[31]+[27]</v>
      </c>
    </row>
    <row r="41" spans="1:12" x14ac:dyDescent="0.25">
      <c r="A41" s="171" t="str">
        <f>Biomass_Cost!B88</f>
        <v>Poplar</v>
      </c>
      <c r="B41" s="184" t="s">
        <v>482</v>
      </c>
      <c r="C41" s="175" t="s">
        <v>482</v>
      </c>
      <c r="D41" s="175" t="s">
        <v>482</v>
      </c>
      <c r="E41" s="175" t="str">
        <f>Biomass_Cost!Q88</f>
        <v>N/A</v>
      </c>
      <c r="F41" s="175">
        <f>Biomass_Cost!Z88</f>
        <v>1211637.5880798083</v>
      </c>
      <c r="G41" s="206">
        <f>Biomass_Cost!AA88</f>
        <v>409.66944166990294</v>
      </c>
      <c r="H41" s="215" t="s">
        <v>561</v>
      </c>
      <c r="I41" s="389" t="s">
        <v>482</v>
      </c>
      <c r="J41" s="141"/>
      <c r="K41" s="141"/>
      <c r="L41" s="172" t="str">
        <f>Biomass_Cost!R88</f>
        <v>[31]+[27]</v>
      </c>
    </row>
    <row r="42" spans="1:12" x14ac:dyDescent="0.25">
      <c r="A42" s="177" t="str">
        <f>Biomass_Cost!B89</f>
        <v>Switch grass</v>
      </c>
      <c r="B42" s="175" t="s">
        <v>482</v>
      </c>
      <c r="C42" s="178" t="s">
        <v>482</v>
      </c>
      <c r="D42" s="175" t="s">
        <v>482</v>
      </c>
      <c r="E42" s="175" t="str">
        <f>Biomass_Cost!Q89</f>
        <v>N/A</v>
      </c>
      <c r="F42" s="178">
        <f>Biomass_Cost!Z89</f>
        <v>1210457.259187178</v>
      </c>
      <c r="G42" s="207">
        <f>Biomass_Cost!AA89</f>
        <v>432.00288894757279</v>
      </c>
      <c r="H42" s="216" t="s">
        <v>561</v>
      </c>
      <c r="I42" s="405" t="s">
        <v>482</v>
      </c>
      <c r="J42" s="142"/>
      <c r="K42" s="142"/>
      <c r="L42" s="179" t="str">
        <f>Biomass_Cost!R89</f>
        <v>[31]+[27]</v>
      </c>
    </row>
    <row r="43" spans="1:12" x14ac:dyDescent="0.25">
      <c r="A43" s="494" t="s">
        <v>501</v>
      </c>
      <c r="B43" s="425"/>
      <c r="C43" s="425"/>
      <c r="D43" s="426"/>
      <c r="E43" s="448" t="s">
        <v>502</v>
      </c>
      <c r="F43" s="449"/>
      <c r="G43" s="560"/>
      <c r="H43" s="141"/>
      <c r="I43" s="141"/>
      <c r="J43" s="141"/>
      <c r="K43" s="141"/>
      <c r="L43" s="222"/>
    </row>
    <row r="44" spans="1:12" ht="30" x14ac:dyDescent="0.25">
      <c r="A44" s="240" t="s">
        <v>227</v>
      </c>
      <c r="B44" s="221" t="s">
        <v>492</v>
      </c>
      <c r="C44" s="218" t="s">
        <v>497</v>
      </c>
      <c r="D44" s="219" t="s">
        <v>498</v>
      </c>
      <c r="E44" s="198" t="s">
        <v>503</v>
      </c>
      <c r="F44" s="199" t="s">
        <v>504</v>
      </c>
      <c r="G44" s="200" t="s">
        <v>505</v>
      </c>
      <c r="I44" s="141"/>
      <c r="J44" s="141"/>
      <c r="K44" s="141"/>
      <c r="L44" s="222"/>
    </row>
    <row r="45" spans="1:12" x14ac:dyDescent="0.25">
      <c r="A45" s="224" t="s">
        <v>10</v>
      </c>
      <c r="B45" s="159">
        <f>_xlfn.QUARTILE.EXC($E19:$E42,1)</f>
        <v>0.92803361933111539</v>
      </c>
      <c r="C45" s="159">
        <f>_xlfn.QUARTILE.EXC($E19:$E42,2)</f>
        <v>1.4183155314305727</v>
      </c>
      <c r="D45" s="159">
        <f>_xlfn.QUARTILE.EXC($E19:$E42,3)</f>
        <v>2.0552442654526351</v>
      </c>
      <c r="E45" s="406">
        <f>_xlfn.QUARTILE.EXC($F19:$F42,1)</f>
        <v>1211244.562979558</v>
      </c>
      <c r="F45" s="406">
        <f>_xlfn.QUARTILE.EXC($F19:$F42,2)</f>
        <v>1547663.8683208446</v>
      </c>
      <c r="G45" s="144">
        <f>_xlfn.QUARTILE.EXC($F19:$F42,3)</f>
        <v>2403935.407965851</v>
      </c>
      <c r="H45" s="587" t="s">
        <v>844</v>
      </c>
      <c r="I45" s="588"/>
      <c r="J45" s="141"/>
      <c r="K45" s="141"/>
      <c r="L45" s="222"/>
    </row>
    <row r="46" spans="1:12" x14ac:dyDescent="0.25">
      <c r="A46" s="500" t="s">
        <v>841</v>
      </c>
      <c r="B46" s="501"/>
      <c r="C46" s="501"/>
      <c r="D46" s="502"/>
      <c r="E46" s="584"/>
      <c r="F46" s="585"/>
      <c r="G46" s="586"/>
      <c r="H46" s="141"/>
      <c r="I46" s="141"/>
      <c r="J46" s="141"/>
      <c r="K46" s="141"/>
      <c r="L46" s="222"/>
    </row>
    <row r="47" spans="1:12" x14ac:dyDescent="0.25">
      <c r="A47" s="220" t="s">
        <v>227</v>
      </c>
      <c r="B47" s="221" t="s">
        <v>492</v>
      </c>
      <c r="C47" s="218" t="s">
        <v>497</v>
      </c>
      <c r="D47" s="219" t="s">
        <v>498</v>
      </c>
      <c r="E47" s="408"/>
      <c r="F47" s="407"/>
      <c r="G47" s="409"/>
      <c r="H47" s="141"/>
      <c r="I47" s="141"/>
      <c r="J47" s="141"/>
      <c r="K47" s="141"/>
      <c r="L47" s="222"/>
    </row>
    <row r="48" spans="1:12" x14ac:dyDescent="0.25">
      <c r="A48" s="189" t="s">
        <v>10</v>
      </c>
      <c r="B48" s="159">
        <f>_xlfn.QUARTILE.EXC($C19:$C42,1)</f>
        <v>0.14008054631413061</v>
      </c>
      <c r="C48" s="159">
        <f>_xlfn.QUARTILE.EXC($C19:$C42,2)</f>
        <v>0.20495306822048023</v>
      </c>
      <c r="D48" s="14">
        <f>_xlfn.QUARTILE.EXC($C19:$C42,3)</f>
        <v>0.38522150236385921</v>
      </c>
      <c r="E48" s="592" t="s">
        <v>842</v>
      </c>
      <c r="F48" s="593"/>
      <c r="G48" s="594"/>
      <c r="H48" s="141"/>
      <c r="I48" s="141"/>
      <c r="J48" s="141"/>
      <c r="K48" s="141"/>
      <c r="L48" s="222"/>
    </row>
    <row r="49" spans="1:12" x14ac:dyDescent="0.25">
      <c r="A49" s="491" t="s">
        <v>849</v>
      </c>
      <c r="B49" s="482"/>
      <c r="C49" s="482"/>
      <c r="D49" s="483"/>
      <c r="E49" s="584"/>
      <c r="F49" s="585"/>
      <c r="G49" s="586"/>
      <c r="H49" s="141"/>
      <c r="I49" s="141"/>
      <c r="J49" s="141"/>
      <c r="K49" s="141"/>
      <c r="L49" s="222"/>
    </row>
    <row r="50" spans="1:12" x14ac:dyDescent="0.25">
      <c r="A50" s="220" t="s">
        <v>227</v>
      </c>
      <c r="B50" s="221" t="s">
        <v>492</v>
      </c>
      <c r="C50" s="218" t="s">
        <v>497</v>
      </c>
      <c r="D50" s="219" t="s">
        <v>498</v>
      </c>
      <c r="E50" s="381"/>
      <c r="F50" s="410"/>
      <c r="G50" s="411"/>
      <c r="H50" s="141"/>
      <c r="I50" s="141"/>
      <c r="J50" s="141"/>
      <c r="K50" s="141"/>
      <c r="L50" s="222"/>
    </row>
    <row r="51" spans="1:12" x14ac:dyDescent="0.25">
      <c r="A51" s="189" t="s">
        <v>10</v>
      </c>
      <c r="B51" s="159">
        <f>_xlfn.QUARTILE.EXC($I19:$I42,1)</f>
        <v>7.1445277485215602E-3</v>
      </c>
      <c r="C51" s="159">
        <f>_xlfn.QUARTILE.EXC($I19:$I42,2)</f>
        <v>1.021862323138931E-2</v>
      </c>
      <c r="D51" s="14">
        <f>_xlfn.QUARTILE.EXC($I19:$I42,3)</f>
        <v>1.392868888279316E-2</v>
      </c>
      <c r="E51" s="589" t="s">
        <v>843</v>
      </c>
      <c r="F51" s="590"/>
      <c r="G51" s="591"/>
      <c r="H51" s="141"/>
      <c r="I51" s="141"/>
      <c r="J51" s="141"/>
      <c r="K51" s="141"/>
      <c r="L51" s="222"/>
    </row>
    <row r="52" spans="1:12" x14ac:dyDescent="0.25">
      <c r="A52" s="572" t="s">
        <v>491</v>
      </c>
      <c r="B52" s="573"/>
      <c r="C52" s="573"/>
      <c r="D52" s="573"/>
      <c r="E52" s="573"/>
      <c r="F52" s="573"/>
      <c r="G52" s="573"/>
      <c r="H52" s="573"/>
      <c r="I52" s="573"/>
      <c r="J52" s="573"/>
      <c r="K52" s="573"/>
      <c r="L52" s="574"/>
    </row>
    <row r="53" spans="1:12" x14ac:dyDescent="0.25">
      <c r="A53" s="225" t="s">
        <v>530</v>
      </c>
      <c r="B53" s="217">
        <f>11/1000*35.3</f>
        <v>0.38829999999999992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31"/>
    </row>
    <row r="54" spans="1:12" x14ac:dyDescent="0.25">
      <c r="A54" s="498" t="s">
        <v>531</v>
      </c>
      <c r="B54" s="499"/>
      <c r="C54" s="141"/>
      <c r="D54" s="141"/>
      <c r="E54" s="141"/>
      <c r="F54" s="141"/>
      <c r="G54" s="141"/>
      <c r="H54" s="141"/>
      <c r="I54" s="141"/>
      <c r="J54" s="141"/>
      <c r="K54" s="141"/>
      <c r="L54" s="222"/>
    </row>
    <row r="55" spans="1:12" ht="45" x14ac:dyDescent="0.25">
      <c r="A55" s="226"/>
      <c r="B55" s="154"/>
      <c r="C55" s="237" t="s">
        <v>529</v>
      </c>
      <c r="D55" s="266" t="s">
        <v>609</v>
      </c>
      <c r="E55" s="235"/>
      <c r="F55" s="141"/>
      <c r="G55" s="141"/>
      <c r="H55" s="141"/>
      <c r="I55" s="141"/>
      <c r="J55" s="141"/>
      <c r="K55" s="141"/>
      <c r="L55" s="222"/>
    </row>
    <row r="56" spans="1:12" x14ac:dyDescent="0.25">
      <c r="A56" s="494" t="s">
        <v>251</v>
      </c>
      <c r="B56" s="426"/>
      <c r="C56" s="14" t="s">
        <v>10</v>
      </c>
      <c r="D56" s="250" t="s">
        <v>10</v>
      </c>
      <c r="E56" s="141"/>
      <c r="F56" s="141"/>
      <c r="G56" s="141"/>
      <c r="H56" s="141"/>
      <c r="I56" s="141"/>
      <c r="J56" s="141"/>
      <c r="K56" s="141"/>
      <c r="L56" s="222"/>
    </row>
    <row r="57" spans="1:12" x14ac:dyDescent="0.25">
      <c r="A57" s="227" t="s">
        <v>523</v>
      </c>
      <c r="B57" s="210" t="s">
        <v>506</v>
      </c>
      <c r="C57" s="238">
        <f>1/(G10-I9)*1000000*(D45-B53)</f>
        <v>2566.4248451974322</v>
      </c>
      <c r="D57" s="267">
        <f>(C10-E9)*1000000*B13*J72</f>
        <v>116847359.99999996</v>
      </c>
      <c r="E57" s="141"/>
      <c r="F57" s="141"/>
      <c r="G57" s="141"/>
      <c r="H57" s="141"/>
      <c r="I57" s="141"/>
      <c r="J57" s="141"/>
      <c r="K57" s="141"/>
      <c r="L57" s="222"/>
    </row>
    <row r="58" spans="1:12" x14ac:dyDescent="0.25">
      <c r="A58" s="169" t="s">
        <v>524</v>
      </c>
      <c r="B58" s="147" t="s">
        <v>525</v>
      </c>
      <c r="C58" s="238">
        <f>1/(G10-H9)*1000000*(D45-B53)</f>
        <v>1364.8039639200213</v>
      </c>
      <c r="D58" s="268">
        <f>(C10-D9)*1000000*B13*J72</f>
        <v>219723839.99999994</v>
      </c>
      <c r="E58" s="141"/>
      <c r="F58" s="141"/>
      <c r="G58" s="236"/>
      <c r="H58" s="141"/>
      <c r="I58" s="141"/>
      <c r="J58" s="141"/>
      <c r="K58" s="141"/>
      <c r="L58" s="222"/>
    </row>
    <row r="59" spans="1:12" x14ac:dyDescent="0.25">
      <c r="A59" s="169" t="s">
        <v>509</v>
      </c>
      <c r="B59" s="147" t="s">
        <v>508</v>
      </c>
      <c r="C59" s="238">
        <f>1/(G10-G9)*1000000*(D45-B53)</f>
        <v>889.30729099120038</v>
      </c>
      <c r="D59" s="268">
        <f>(C10-C9)*1000000*B13*J72</f>
        <v>337206239.99999994</v>
      </c>
      <c r="E59" s="141"/>
      <c r="F59" s="141"/>
      <c r="G59" s="141"/>
      <c r="H59" s="141"/>
      <c r="I59" s="141"/>
      <c r="J59" s="141"/>
      <c r="K59" s="141"/>
      <c r="L59" s="222"/>
    </row>
    <row r="60" spans="1:12" x14ac:dyDescent="0.25">
      <c r="A60" s="169" t="s">
        <v>510</v>
      </c>
      <c r="B60" s="147" t="s">
        <v>518</v>
      </c>
      <c r="C60" s="238">
        <f>1/(G10-I9)*1000000*(C45-B53)</f>
        <v>1585.8103390666545</v>
      </c>
      <c r="D60" s="268">
        <f>(C10-E9)*1000000*B13*J72</f>
        <v>116847359.99999996</v>
      </c>
      <c r="E60" s="141"/>
      <c r="F60" s="141"/>
      <c r="G60" s="141"/>
      <c r="H60" s="141"/>
      <c r="I60" s="141"/>
      <c r="J60" s="141"/>
      <c r="K60" s="141"/>
      <c r="L60" s="222"/>
    </row>
    <row r="61" spans="1:12" x14ac:dyDescent="0.25">
      <c r="A61" s="169" t="s">
        <v>516</v>
      </c>
      <c r="B61" s="147" t="s">
        <v>521</v>
      </c>
      <c r="C61" s="238">
        <f>1/(G10-H9)*1000000*(C45-B53)</f>
        <v>843.32110516839396</v>
      </c>
      <c r="D61" s="268">
        <f>(C10-D9)*1000000*B13*J72</f>
        <v>219723839.99999994</v>
      </c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169" t="s">
        <v>517</v>
      </c>
      <c r="B62" s="147" t="s">
        <v>519</v>
      </c>
      <c r="C62" s="238">
        <f>1/(G10-G9)*1000000*(C45-B53)</f>
        <v>549.50866739786125</v>
      </c>
      <c r="D62" s="268">
        <f>(C10-C9)*1000000*B13*J72</f>
        <v>337206239.99999994</v>
      </c>
      <c r="E62" s="141"/>
      <c r="F62" s="141"/>
      <c r="G62" s="141"/>
      <c r="H62" s="141"/>
      <c r="I62" s="141"/>
      <c r="J62" s="141"/>
      <c r="K62" s="141"/>
      <c r="L62" s="222"/>
    </row>
    <row r="63" spans="1:12" x14ac:dyDescent="0.25">
      <c r="A63" s="169" t="s">
        <v>520</v>
      </c>
      <c r="B63" s="147" t="s">
        <v>507</v>
      </c>
      <c r="C63" s="238">
        <f>1/(G10-I9)*1000000*(B45-B53)</f>
        <v>830.97305599691447</v>
      </c>
      <c r="D63" s="268">
        <f>(C10-E9)*1000000*B13*J72</f>
        <v>116847359.99999996</v>
      </c>
      <c r="E63" s="141"/>
      <c r="F63" s="141"/>
      <c r="G63" s="141"/>
      <c r="H63" s="141"/>
      <c r="I63" s="141"/>
      <c r="J63" s="141"/>
      <c r="K63" s="141"/>
      <c r="L63" s="222"/>
    </row>
    <row r="64" spans="1:12" x14ac:dyDescent="0.25">
      <c r="A64" s="169" t="s">
        <v>527</v>
      </c>
      <c r="B64" s="147" t="s">
        <v>528</v>
      </c>
      <c r="C64" s="238">
        <f>1/(G10-H9)*1000000*(B45-B53)</f>
        <v>441.90474654171157</v>
      </c>
      <c r="D64" s="268">
        <f>(C10-D9)*1000000*B13*J72</f>
        <v>219723839.99999994</v>
      </c>
      <c r="E64" s="141"/>
      <c r="F64" s="141"/>
      <c r="G64" s="141"/>
      <c r="H64" s="141"/>
      <c r="I64" s="141"/>
      <c r="J64" s="141"/>
      <c r="K64" s="141"/>
      <c r="L64" s="222"/>
    </row>
    <row r="65" spans="1:12" ht="15.75" thickBot="1" x14ac:dyDescent="0.3">
      <c r="A65" s="228" t="s">
        <v>526</v>
      </c>
      <c r="B65" s="229" t="s">
        <v>522</v>
      </c>
      <c r="C65" s="241">
        <f>1/(G10-G9)*1000000*(B45-B53)</f>
        <v>287.94546573151075</v>
      </c>
      <c r="D65" s="269">
        <f>(C10-C9)*1000000*B13*J72</f>
        <v>337206239.99999994</v>
      </c>
      <c r="E65" s="233"/>
      <c r="F65" s="233"/>
      <c r="G65" s="233"/>
      <c r="H65" s="233"/>
      <c r="I65" s="233"/>
      <c r="J65" s="233"/>
      <c r="K65" s="233"/>
      <c r="L65" s="234"/>
    </row>
    <row r="67" spans="1:12" x14ac:dyDescent="0.25">
      <c r="A67" t="s">
        <v>515</v>
      </c>
    </row>
    <row r="68" spans="1:12" ht="15.75" thickBot="1" x14ac:dyDescent="0.3"/>
    <row r="69" spans="1:12" x14ac:dyDescent="0.25">
      <c r="G69" s="270"/>
      <c r="H69" s="271"/>
      <c r="I69" s="272" t="s">
        <v>601</v>
      </c>
      <c r="J69" s="273"/>
      <c r="K69" s="274"/>
    </row>
    <row r="70" spans="1:12" ht="45" x14ac:dyDescent="0.25">
      <c r="G70" s="165"/>
      <c r="H70" s="194" t="s">
        <v>602</v>
      </c>
      <c r="I70" s="258" t="s">
        <v>606</v>
      </c>
      <c r="J70" s="258" t="s">
        <v>607</v>
      </c>
      <c r="K70" s="275" t="s">
        <v>608</v>
      </c>
    </row>
    <row r="71" spans="1:12" x14ac:dyDescent="0.25">
      <c r="B71" s="417"/>
      <c r="G71" s="534" t="s">
        <v>10</v>
      </c>
      <c r="H71" s="257" t="s">
        <v>35</v>
      </c>
      <c r="I71" s="259">
        <f>$A$6*$C$16</f>
        <v>3.2116000000000002</v>
      </c>
      <c r="J71" s="259">
        <f>$B$6*$C$16</f>
        <v>4.9728000000000003</v>
      </c>
      <c r="K71" s="276">
        <f>$C$6*$C$16</f>
        <v>6.0087999999999999</v>
      </c>
    </row>
    <row r="72" spans="1:12" x14ac:dyDescent="0.25">
      <c r="B72" s="385"/>
      <c r="G72" s="535"/>
      <c r="H72" s="257" t="s">
        <v>36</v>
      </c>
      <c r="I72" s="259">
        <f>$A$6*$D$16</f>
        <v>5.4683999999999999</v>
      </c>
      <c r="J72" s="259">
        <f>$B$6*$D$16</f>
        <v>8.4672000000000001</v>
      </c>
      <c r="K72" s="276">
        <f>$C$6*$D$16</f>
        <v>10.231199999999999</v>
      </c>
    </row>
    <row r="73" spans="1:12" ht="15.75" thickBot="1" x14ac:dyDescent="0.3">
      <c r="C73" s="385">
        <f>AVERAGE(B19,B23:B26,B30:B34)</f>
        <v>0.81970805492673249</v>
      </c>
      <c r="G73" s="575"/>
      <c r="H73" s="277" t="s">
        <v>37</v>
      </c>
      <c r="I73" s="278">
        <f>$A$6*$E$16</f>
        <v>9.4612000000000016</v>
      </c>
      <c r="J73" s="278">
        <f>$B$6*$E$16</f>
        <v>14.649600000000001</v>
      </c>
      <c r="K73" s="279">
        <f>$C$6*$E$16</f>
        <v>17.701599999999999</v>
      </c>
    </row>
  </sheetData>
  <mergeCells count="26">
    <mergeCell ref="A49:D49"/>
    <mergeCell ref="E49:G49"/>
    <mergeCell ref="H45:I45"/>
    <mergeCell ref="E51:G51"/>
    <mergeCell ref="E48:G48"/>
    <mergeCell ref="E43:G43"/>
    <mergeCell ref="A52:L52"/>
    <mergeCell ref="A54:B54"/>
    <mergeCell ref="L5:L6"/>
    <mergeCell ref="G71:G73"/>
    <mergeCell ref="A7:L7"/>
    <mergeCell ref="A10:B10"/>
    <mergeCell ref="C10:E10"/>
    <mergeCell ref="G10:I10"/>
    <mergeCell ref="A11:L11"/>
    <mergeCell ref="A56:B56"/>
    <mergeCell ref="A14:L14"/>
    <mergeCell ref="A17:L17"/>
    <mergeCell ref="A43:D43"/>
    <mergeCell ref="A46:D46"/>
    <mergeCell ref="E46:G46"/>
    <mergeCell ref="A1:L2"/>
    <mergeCell ref="A3:L3"/>
    <mergeCell ref="A4:C4"/>
    <mergeCell ref="E4:G4"/>
    <mergeCell ref="I4:K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ht="15.75" thickBot="1" x14ac:dyDescent="0.3">
      <c r="A1" s="420" t="s">
        <v>201</v>
      </c>
      <c r="B1" s="420"/>
      <c r="C1" s="420"/>
      <c r="D1" s="420"/>
      <c r="E1" s="420"/>
    </row>
    <row r="2" spans="1:11" ht="30" x14ac:dyDescent="0.25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601" t="s">
        <v>206</v>
      </c>
      <c r="H2" s="602"/>
      <c r="I2" s="602"/>
      <c r="J2" s="602"/>
      <c r="K2" s="603"/>
    </row>
    <row r="3" spans="1:11" x14ac:dyDescent="0.25">
      <c r="A3" s="464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604" t="s">
        <v>207</v>
      </c>
      <c r="H3" s="605"/>
      <c r="I3" s="605"/>
      <c r="J3" s="605"/>
      <c r="K3" s="606"/>
    </row>
    <row r="4" spans="1:11" ht="30.75" thickBot="1" x14ac:dyDescent="0.3">
      <c r="A4" s="464"/>
      <c r="B4" s="61" t="s">
        <v>203</v>
      </c>
      <c r="C4" s="64">
        <v>0.3</v>
      </c>
      <c r="D4" s="64">
        <v>7.7</v>
      </c>
      <c r="E4" s="64">
        <v>12.6</v>
      </c>
      <c r="G4" s="607" t="s">
        <v>200</v>
      </c>
      <c r="H4" s="608"/>
      <c r="I4" s="608"/>
      <c r="J4" s="608"/>
      <c r="K4" s="609"/>
    </row>
    <row r="5" spans="1:11" x14ac:dyDescent="0.25">
      <c r="A5" s="464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464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x14ac:dyDescent="0.25">
      <c r="A10" s="433" t="s">
        <v>176</v>
      </c>
      <c r="B10" s="433"/>
      <c r="C10" s="433"/>
      <c r="D10" s="433"/>
      <c r="E10" s="433"/>
    </row>
    <row r="11" spans="1:11" ht="30" x14ac:dyDescent="0.25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464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464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464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464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464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464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464" t="s">
        <v>175</v>
      </c>
      <c r="B18" s="600" t="s">
        <v>126</v>
      </c>
      <c r="C18" s="600" t="s">
        <v>7</v>
      </c>
      <c r="D18" s="600">
        <v>5.2</v>
      </c>
      <c r="E18" s="600" t="s">
        <v>56</v>
      </c>
    </row>
    <row r="19" spans="1:15" x14ac:dyDescent="0.25">
      <c r="A19" s="464"/>
      <c r="B19" s="600"/>
      <c r="C19" s="600"/>
      <c r="D19" s="600"/>
      <c r="E19" s="600"/>
    </row>
    <row r="20" spans="1:15" x14ac:dyDescent="0.25">
      <c r="A20" s="464"/>
      <c r="B20" s="600" t="s">
        <v>127</v>
      </c>
      <c r="C20" s="600" t="s">
        <v>7</v>
      </c>
      <c r="D20" s="600">
        <v>73.400000000000006</v>
      </c>
      <c r="E20" s="600" t="s">
        <v>56</v>
      </c>
    </row>
    <row r="21" spans="1:15" x14ac:dyDescent="0.25">
      <c r="A21" s="464"/>
      <c r="B21" s="600"/>
      <c r="C21" s="600"/>
      <c r="D21" s="600"/>
      <c r="E21" s="600"/>
    </row>
    <row r="22" spans="1:15" x14ac:dyDescent="0.25">
      <c r="A22" s="464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595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596"/>
      <c r="B24" s="600" t="s">
        <v>130</v>
      </c>
      <c r="C24" s="600" t="s">
        <v>8</v>
      </c>
      <c r="D24" s="600">
        <v>67.400000000000006</v>
      </c>
      <c r="E24" s="600" t="s">
        <v>56</v>
      </c>
    </row>
    <row r="25" spans="1:15" x14ac:dyDescent="0.25">
      <c r="A25" s="596"/>
      <c r="B25" s="600"/>
      <c r="C25" s="600"/>
      <c r="D25" s="600"/>
      <c r="E25" s="600"/>
    </row>
    <row r="26" spans="1:15" x14ac:dyDescent="0.25">
      <c r="A26" s="596"/>
      <c r="B26" s="600" t="s">
        <v>131</v>
      </c>
      <c r="C26" s="600" t="s">
        <v>8</v>
      </c>
      <c r="D26" s="600">
        <v>71.400000000000006</v>
      </c>
      <c r="E26" s="600" t="s">
        <v>56</v>
      </c>
    </row>
    <row r="27" spans="1:15" x14ac:dyDescent="0.25">
      <c r="A27" s="596"/>
      <c r="B27" s="600"/>
      <c r="C27" s="600"/>
      <c r="D27" s="600"/>
      <c r="E27" s="600"/>
    </row>
    <row r="28" spans="1:15" x14ac:dyDescent="0.25">
      <c r="A28" s="596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596"/>
      <c r="B29" s="600" t="s">
        <v>133</v>
      </c>
      <c r="C29" s="600" t="s">
        <v>8</v>
      </c>
      <c r="D29" s="600">
        <v>76.400000000000006</v>
      </c>
      <c r="E29" s="600" t="s">
        <v>56</v>
      </c>
    </row>
    <row r="30" spans="1:15" x14ac:dyDescent="0.25">
      <c r="A30" s="596"/>
      <c r="B30" s="600"/>
      <c r="C30" s="600"/>
      <c r="D30" s="600"/>
      <c r="E30" s="600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596"/>
      <c r="B31" s="600"/>
      <c r="C31" s="600"/>
      <c r="D31" s="600"/>
      <c r="E31" s="600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96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596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596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596"/>
      <c r="B35" s="600" t="s">
        <v>137</v>
      </c>
      <c r="C35" s="600" t="s">
        <v>8</v>
      </c>
      <c r="D35" s="600">
        <v>61</v>
      </c>
      <c r="E35" s="600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596"/>
      <c r="B36" s="600"/>
      <c r="C36" s="600"/>
      <c r="D36" s="600"/>
      <c r="E36" s="600"/>
      <c r="O36" s="2"/>
    </row>
    <row r="37" spans="1:15" x14ac:dyDescent="0.25">
      <c r="A37" s="596"/>
      <c r="B37" s="600" t="s">
        <v>138</v>
      </c>
      <c r="C37" s="600" t="s">
        <v>8</v>
      </c>
      <c r="D37" s="600">
        <v>66</v>
      </c>
      <c r="E37" s="600" t="s">
        <v>59</v>
      </c>
    </row>
    <row r="38" spans="1:15" x14ac:dyDescent="0.25">
      <c r="A38" s="596"/>
      <c r="B38" s="600"/>
      <c r="C38" s="600"/>
      <c r="D38" s="600"/>
      <c r="E38" s="600"/>
    </row>
    <row r="39" spans="1:15" x14ac:dyDescent="0.25">
      <c r="A39" s="596"/>
      <c r="B39" s="600" t="s">
        <v>139</v>
      </c>
      <c r="C39" s="600" t="s">
        <v>8</v>
      </c>
      <c r="D39" s="600">
        <v>94</v>
      </c>
      <c r="E39" s="600" t="s">
        <v>59</v>
      </c>
    </row>
    <row r="40" spans="1:15" x14ac:dyDescent="0.25">
      <c r="A40" s="596"/>
      <c r="B40" s="600"/>
      <c r="C40" s="600"/>
      <c r="D40" s="600"/>
      <c r="E40" s="600"/>
    </row>
    <row r="41" spans="1:15" x14ac:dyDescent="0.25">
      <c r="A41" s="596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596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596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596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596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596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596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596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596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596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596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596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596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596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596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596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596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596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596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596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596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596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596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596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596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596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596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596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596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596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596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596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596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596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596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596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596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596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596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597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519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520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519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599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599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520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595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596"/>
      <c r="B88" s="600" t="s">
        <v>150</v>
      </c>
      <c r="C88" s="600" t="s">
        <v>7</v>
      </c>
      <c r="D88" s="600">
        <v>7.2</v>
      </c>
      <c r="E88" s="600" t="s">
        <v>56</v>
      </c>
    </row>
    <row r="89" spans="1:5" x14ac:dyDescent="0.25">
      <c r="A89" s="596"/>
      <c r="B89" s="600"/>
      <c r="C89" s="600"/>
      <c r="D89" s="600"/>
      <c r="E89" s="600"/>
    </row>
    <row r="90" spans="1:5" x14ac:dyDescent="0.25">
      <c r="A90" s="596"/>
      <c r="B90" s="600" t="s">
        <v>151</v>
      </c>
      <c r="C90" s="600" t="s">
        <v>7</v>
      </c>
      <c r="D90" s="600">
        <v>6.4</v>
      </c>
      <c r="E90" s="600" t="s">
        <v>56</v>
      </c>
    </row>
    <row r="91" spans="1:5" x14ac:dyDescent="0.25">
      <c r="A91" s="596"/>
      <c r="B91" s="600"/>
      <c r="C91" s="600"/>
      <c r="D91" s="600"/>
      <c r="E91" s="600"/>
    </row>
    <row r="92" spans="1:5" x14ac:dyDescent="0.25">
      <c r="A92" s="596"/>
      <c r="B92" s="600" t="s">
        <v>152</v>
      </c>
      <c r="C92" s="600" t="s">
        <v>7</v>
      </c>
      <c r="D92" s="600">
        <v>-22.6</v>
      </c>
      <c r="E92" s="600" t="s">
        <v>56</v>
      </c>
    </row>
    <row r="93" spans="1:5" x14ac:dyDescent="0.25">
      <c r="A93" s="596"/>
      <c r="B93" s="600"/>
      <c r="C93" s="600"/>
      <c r="D93" s="600"/>
      <c r="E93" s="600"/>
    </row>
    <row r="94" spans="1:5" x14ac:dyDescent="0.25">
      <c r="A94" s="596"/>
      <c r="B94" s="600" t="s">
        <v>152</v>
      </c>
      <c r="C94" s="600" t="s">
        <v>7</v>
      </c>
      <c r="D94" s="600">
        <v>-27</v>
      </c>
      <c r="E94" s="600" t="s">
        <v>59</v>
      </c>
    </row>
    <row r="95" spans="1:5" x14ac:dyDescent="0.25">
      <c r="A95" s="596"/>
      <c r="B95" s="600"/>
      <c r="C95" s="600"/>
      <c r="D95" s="600"/>
      <c r="E95" s="600"/>
    </row>
    <row r="96" spans="1:5" x14ac:dyDescent="0.25">
      <c r="A96" s="596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596"/>
      <c r="B97" s="600" t="s">
        <v>151</v>
      </c>
      <c r="C97" s="600" t="s">
        <v>7</v>
      </c>
      <c r="D97" s="600">
        <v>1</v>
      </c>
      <c r="E97" s="600" t="s">
        <v>59</v>
      </c>
    </row>
    <row r="98" spans="1:5" x14ac:dyDescent="0.25">
      <c r="A98" s="596"/>
      <c r="B98" s="600"/>
      <c r="C98" s="600"/>
      <c r="D98" s="600"/>
      <c r="E98" s="600"/>
    </row>
    <row r="99" spans="1:5" x14ac:dyDescent="0.25">
      <c r="A99" s="596"/>
      <c r="B99" s="600" t="s">
        <v>150</v>
      </c>
      <c r="C99" s="600" t="s">
        <v>7</v>
      </c>
      <c r="D99" s="600">
        <v>2</v>
      </c>
      <c r="E99" s="600" t="s">
        <v>59</v>
      </c>
    </row>
    <row r="100" spans="1:5" x14ac:dyDescent="0.25">
      <c r="A100" s="596"/>
      <c r="B100" s="600"/>
      <c r="C100" s="600"/>
      <c r="D100" s="600"/>
      <c r="E100" s="600"/>
    </row>
    <row r="101" spans="1:5" x14ac:dyDescent="0.25">
      <c r="A101" s="596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596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596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596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596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596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596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596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598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598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598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598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598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598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598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595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596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596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596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596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596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596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596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596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596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596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596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596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596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596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596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597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464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464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464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464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  <mergeCell ref="B24:B25"/>
    <mergeCell ref="C24:C25"/>
    <mergeCell ref="C26:C27"/>
    <mergeCell ref="D24:D25"/>
    <mergeCell ref="E24:E25"/>
    <mergeCell ref="B26:B27"/>
    <mergeCell ref="D26:D27"/>
    <mergeCell ref="E26:E27"/>
    <mergeCell ref="B29:B31"/>
    <mergeCell ref="C29:C31"/>
    <mergeCell ref="D29:D31"/>
    <mergeCell ref="E29:E31"/>
    <mergeCell ref="B35:B36"/>
    <mergeCell ref="C35:C36"/>
    <mergeCell ref="D35:D36"/>
    <mergeCell ref="E35:E36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90:B91"/>
    <mergeCell ref="C90:C91"/>
    <mergeCell ref="D90:D91"/>
    <mergeCell ref="E90:E91"/>
    <mergeCell ref="B92:B93"/>
    <mergeCell ref="C92:C93"/>
    <mergeCell ref="D92:D93"/>
    <mergeCell ref="E92:E93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4" sqref="E4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x14ac:dyDescent="0.25">
      <c r="A1" s="433" t="s">
        <v>294</v>
      </c>
      <c r="B1" s="433"/>
      <c r="C1" s="433"/>
      <c r="D1" s="433"/>
      <c r="E1" s="433"/>
      <c r="F1" s="433"/>
      <c r="G1" s="433"/>
      <c r="H1" s="433"/>
      <c r="I1" s="433"/>
      <c r="J1" s="433"/>
    </row>
    <row r="2" spans="1:18" x14ac:dyDescent="0.25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ht="15.75" thickBot="1" x14ac:dyDescent="0.3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x14ac:dyDescent="0.25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434" t="s">
        <v>211</v>
      </c>
      <c r="M4" s="435"/>
      <c r="N4" s="435"/>
      <c r="O4" s="435"/>
      <c r="P4" s="435"/>
      <c r="Q4" s="435"/>
      <c r="R4" s="436"/>
    </row>
    <row r="5" spans="1:18" x14ac:dyDescent="0.25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437" t="s">
        <v>296</v>
      </c>
      <c r="M5" s="438"/>
      <c r="N5" s="438"/>
      <c r="O5" s="438"/>
      <c r="P5" s="438"/>
      <c r="Q5" s="438"/>
      <c r="R5" s="439"/>
    </row>
    <row r="6" spans="1:18" ht="15.75" thickBot="1" x14ac:dyDescent="0.3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440" t="s">
        <v>297</v>
      </c>
      <c r="M6" s="441"/>
      <c r="N6" s="441"/>
      <c r="O6" s="441"/>
      <c r="P6" s="441"/>
      <c r="Q6" s="441"/>
      <c r="R6" s="442"/>
    </row>
    <row r="7" spans="1:18" x14ac:dyDescent="0.25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x14ac:dyDescent="0.25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x14ac:dyDescent="0.25">
      <c r="A10" s="424" t="s">
        <v>122</v>
      </c>
      <c r="B10" s="425"/>
      <c r="C10" s="425"/>
      <c r="D10" s="425"/>
      <c r="E10" s="425"/>
      <c r="F10" s="426"/>
      <c r="H10" s="424" t="s">
        <v>121</v>
      </c>
      <c r="I10" s="425"/>
      <c r="J10" s="426"/>
    </row>
    <row r="11" spans="1:18" x14ac:dyDescent="0.25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430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431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431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431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431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432"/>
    </row>
    <row r="18" spans="1:10" x14ac:dyDescent="0.25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x14ac:dyDescent="0.25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x14ac:dyDescent="0.25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x14ac:dyDescent="0.25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x14ac:dyDescent="0.25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x14ac:dyDescent="0.25">
      <c r="A24" s="433" t="s">
        <v>120</v>
      </c>
      <c r="B24" s="433"/>
    </row>
    <row r="25" spans="1:10" x14ac:dyDescent="0.25">
      <c r="A25" s="15" t="s">
        <v>53</v>
      </c>
      <c r="B25" s="15" t="s">
        <v>295</v>
      </c>
    </row>
    <row r="26" spans="1:10" x14ac:dyDescent="0.25">
      <c r="A26" s="47" t="s">
        <v>54</v>
      </c>
      <c r="B26" s="47">
        <v>9.48</v>
      </c>
    </row>
    <row r="27" spans="1:10" x14ac:dyDescent="0.25">
      <c r="A27" s="47" t="s">
        <v>54</v>
      </c>
      <c r="B27" s="47">
        <v>10.86</v>
      </c>
    </row>
    <row r="28" spans="1:10" x14ac:dyDescent="0.25">
      <c r="A28" s="47" t="s">
        <v>54</v>
      </c>
      <c r="B28" s="47">
        <v>12.24</v>
      </c>
    </row>
    <row r="29" spans="1:10" x14ac:dyDescent="0.25">
      <c r="A29" s="47" t="s">
        <v>54</v>
      </c>
      <c r="B29" s="47">
        <v>27.29</v>
      </c>
    </row>
    <row r="30" spans="1:10" x14ac:dyDescent="0.25">
      <c r="A30" s="47" t="s">
        <v>1</v>
      </c>
      <c r="B30" s="47">
        <v>9.9499999999999993</v>
      </c>
    </row>
    <row r="31" spans="1:10" x14ac:dyDescent="0.25">
      <c r="A31" s="47" t="s">
        <v>1</v>
      </c>
      <c r="B31" s="47">
        <v>14.98</v>
      </c>
    </row>
    <row r="32" spans="1:10" x14ac:dyDescent="0.25">
      <c r="A32" s="47" t="s">
        <v>1</v>
      </c>
      <c r="B32" s="47">
        <v>16.88</v>
      </c>
    </row>
    <row r="33" spans="1:2" x14ac:dyDescent="0.25">
      <c r="A33" s="47" t="s">
        <v>1</v>
      </c>
      <c r="B33" s="47">
        <v>20.02</v>
      </c>
    </row>
    <row r="34" spans="1:2" x14ac:dyDescent="0.25">
      <c r="A34" s="47" t="s">
        <v>1</v>
      </c>
      <c r="B34" s="47">
        <v>27.68</v>
      </c>
    </row>
    <row r="35" spans="1:2" x14ac:dyDescent="0.25">
      <c r="A35" s="47" t="s">
        <v>1</v>
      </c>
      <c r="B35" s="47">
        <v>28.16</v>
      </c>
    </row>
    <row r="36" spans="1:2" x14ac:dyDescent="0.25">
      <c r="A36" s="47" t="s">
        <v>1</v>
      </c>
      <c r="B36" s="47">
        <v>29.63</v>
      </c>
    </row>
    <row r="37" spans="1:2" x14ac:dyDescent="0.25">
      <c r="A37" s="47" t="s">
        <v>1</v>
      </c>
      <c r="B37" s="47">
        <v>30.66</v>
      </c>
    </row>
    <row r="38" spans="1:2" x14ac:dyDescent="0.25">
      <c r="A38" s="47" t="s">
        <v>1</v>
      </c>
      <c r="B38" s="47">
        <v>32.270000000000003</v>
      </c>
    </row>
    <row r="39" spans="1:2" x14ac:dyDescent="0.25">
      <c r="A39" s="47" t="s">
        <v>1</v>
      </c>
      <c r="B39" s="47">
        <v>40.28</v>
      </c>
    </row>
    <row r="40" spans="1:2" x14ac:dyDescent="0.25">
      <c r="A40" s="47" t="s">
        <v>1</v>
      </c>
      <c r="B40" s="47">
        <v>48.6</v>
      </c>
    </row>
    <row r="41" spans="1:2" x14ac:dyDescent="0.25">
      <c r="A41" s="47" t="s">
        <v>1</v>
      </c>
      <c r="B41" s="47">
        <v>49.43</v>
      </c>
    </row>
    <row r="42" spans="1:2" x14ac:dyDescent="0.25">
      <c r="A42" s="47" t="s">
        <v>1</v>
      </c>
      <c r="B42" s="47">
        <v>52.03</v>
      </c>
    </row>
    <row r="43" spans="1:2" x14ac:dyDescent="0.25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6"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424" t="s">
        <v>420</v>
      </c>
      <c r="B1" s="425"/>
      <c r="C1" s="426"/>
    </row>
    <row r="2" spans="1:8" x14ac:dyDescent="0.25">
      <c r="A2" s="64" t="s">
        <v>281</v>
      </c>
      <c r="B2" s="64" t="s">
        <v>459</v>
      </c>
      <c r="C2" s="64" t="s">
        <v>280</v>
      </c>
      <c r="E2" s="452" t="s">
        <v>454</v>
      </c>
      <c r="F2" s="453"/>
      <c r="G2" s="454"/>
    </row>
    <row r="3" spans="1:8" ht="15.75" thickBot="1" x14ac:dyDescent="0.3">
      <c r="A3" s="87">
        <v>0.4</v>
      </c>
      <c r="B3" s="87">
        <v>0.46</v>
      </c>
      <c r="C3" s="87">
        <v>0.49</v>
      </c>
      <c r="E3" s="455" t="s">
        <v>455</v>
      </c>
      <c r="F3" s="456"/>
      <c r="G3" s="457"/>
    </row>
    <row r="4" spans="1:8" x14ac:dyDescent="0.25">
      <c r="A4" s="87" t="s">
        <v>457</v>
      </c>
      <c r="B4" s="87" t="s">
        <v>279</v>
      </c>
      <c r="C4" s="87" t="s">
        <v>458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448" t="s">
        <v>450</v>
      </c>
      <c r="B8" s="449"/>
      <c r="C8" s="450"/>
      <c r="E8" s="420" t="s">
        <v>451</v>
      </c>
      <c r="F8" s="420"/>
      <c r="G8" s="420"/>
    </row>
    <row r="9" spans="1:8" x14ac:dyDescent="0.25">
      <c r="A9" s="446" t="s">
        <v>341</v>
      </c>
      <c r="B9" s="447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433</v>
      </c>
      <c r="B10" s="123">
        <v>0.01</v>
      </c>
      <c r="C10" s="118"/>
      <c r="E10" s="451" t="s">
        <v>341</v>
      </c>
      <c r="F10" s="451"/>
      <c r="G10" s="451"/>
    </row>
    <row r="11" spans="1:8" x14ac:dyDescent="0.25">
      <c r="A11" s="123" t="s">
        <v>434</v>
      </c>
      <c r="B11" s="123">
        <v>2.5000000000000001E-2</v>
      </c>
      <c r="C11" s="118"/>
      <c r="E11" s="122" t="s">
        <v>445</v>
      </c>
      <c r="F11" s="122">
        <v>601</v>
      </c>
      <c r="G11" s="122">
        <v>601</v>
      </c>
    </row>
    <row r="12" spans="1:8" x14ac:dyDescent="0.25">
      <c r="A12" s="123" t="s">
        <v>430</v>
      </c>
      <c r="B12" s="123">
        <v>6.7999999999999996E-3</v>
      </c>
      <c r="C12" s="118"/>
      <c r="E12" s="122" t="s">
        <v>448</v>
      </c>
      <c r="F12" s="122">
        <v>32</v>
      </c>
      <c r="G12" s="122">
        <v>42</v>
      </c>
    </row>
    <row r="13" spans="1:8" x14ac:dyDescent="0.25">
      <c r="A13" s="123" t="s">
        <v>431</v>
      </c>
      <c r="B13" s="123">
        <v>2E-3</v>
      </c>
      <c r="C13" s="118"/>
      <c r="E13" s="122" t="s">
        <v>446</v>
      </c>
      <c r="F13" s="122">
        <v>169</v>
      </c>
      <c r="G13" s="122">
        <v>169</v>
      </c>
    </row>
    <row r="14" spans="1:8" ht="15" customHeight="1" x14ac:dyDescent="0.25">
      <c r="A14" s="444" t="s">
        <v>432</v>
      </c>
      <c r="B14" s="445"/>
      <c r="C14" s="118" t="s">
        <v>316</v>
      </c>
      <c r="E14" s="122" t="s">
        <v>447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449</v>
      </c>
      <c r="F15" s="122">
        <v>34</v>
      </c>
      <c r="G15" s="122">
        <v>24</v>
      </c>
      <c r="H15" s="111"/>
    </row>
    <row r="16" spans="1:8" x14ac:dyDescent="0.25">
      <c r="A16" s="122" t="s">
        <v>435</v>
      </c>
      <c r="B16" s="81">
        <f>B10*3600/1000*B15</f>
        <v>3.5999999999999997E-2</v>
      </c>
      <c r="C16" s="118"/>
      <c r="E16" s="451" t="s">
        <v>314</v>
      </c>
      <c r="F16" s="451"/>
      <c r="G16" s="451"/>
    </row>
    <row r="17" spans="1:7" x14ac:dyDescent="0.25">
      <c r="A17" s="122" t="s">
        <v>436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437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401</v>
      </c>
      <c r="B19" s="118">
        <f>C19*1000*B13*B15/1000</f>
        <v>8.8800000000000004E-2</v>
      </c>
      <c r="C19" s="118">
        <v>44.4</v>
      </c>
    </row>
    <row r="20" spans="1:7" x14ac:dyDescent="0.25">
      <c r="A20" s="451" t="s">
        <v>314</v>
      </c>
      <c r="B20" s="451"/>
      <c r="C20" s="118"/>
      <c r="E20" s="448" t="s">
        <v>428</v>
      </c>
      <c r="F20" s="449"/>
      <c r="G20" s="450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429</v>
      </c>
      <c r="G21" s="110" t="s">
        <v>427</v>
      </c>
    </row>
    <row r="22" spans="1:7" x14ac:dyDescent="0.25">
      <c r="A22" s="122" t="s">
        <v>437</v>
      </c>
      <c r="B22" s="86">
        <f>(B18+B19)/B15</f>
        <v>0.38500799999999996</v>
      </c>
      <c r="C22" s="118"/>
      <c r="E22" s="118" t="s">
        <v>426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425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443" t="s">
        <v>452</v>
      </c>
      <c r="B25" s="443"/>
      <c r="C25" s="443"/>
      <c r="D25" s="443"/>
      <c r="E25" s="443"/>
      <c r="F25" s="443"/>
    </row>
    <row r="26" spans="1:7" ht="30" x14ac:dyDescent="0.25">
      <c r="A26" s="119" t="s">
        <v>227</v>
      </c>
      <c r="B26" s="119" t="s">
        <v>441</v>
      </c>
      <c r="C26" s="119" t="s">
        <v>242</v>
      </c>
      <c r="D26" s="120" t="s">
        <v>287</v>
      </c>
      <c r="E26" s="119" t="s">
        <v>442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458" t="s">
        <v>443</v>
      </c>
      <c r="D27" s="122">
        <v>16.809999999999999</v>
      </c>
      <c r="E27" s="82">
        <f>B27/D27</f>
        <v>0.48839976204640106</v>
      </c>
      <c r="F27" s="458" t="s">
        <v>444</v>
      </c>
    </row>
    <row r="28" spans="1:7" x14ac:dyDescent="0.25">
      <c r="A28" s="122" t="s">
        <v>438</v>
      </c>
      <c r="B28" s="122">
        <v>8.67</v>
      </c>
      <c r="C28" s="459"/>
      <c r="D28" s="122">
        <v>17.84</v>
      </c>
      <c r="E28" s="82">
        <f t="shared" ref="E28:E29" si="0">B28/D28</f>
        <v>0.48598654708520178</v>
      </c>
      <c r="F28" s="459"/>
    </row>
    <row r="29" spans="1:7" x14ac:dyDescent="0.25">
      <c r="A29" s="122" t="s">
        <v>439</v>
      </c>
      <c r="B29" s="122">
        <v>8.61</v>
      </c>
      <c r="C29" s="459"/>
      <c r="D29" s="122">
        <v>17.600000000000001</v>
      </c>
      <c r="E29" s="82">
        <f t="shared" si="0"/>
        <v>0.48920454545454539</v>
      </c>
      <c r="F29" s="459"/>
    </row>
    <row r="30" spans="1:7" ht="45" x14ac:dyDescent="0.25">
      <c r="A30" s="121" t="s">
        <v>440</v>
      </c>
      <c r="B30" s="122"/>
      <c r="C30" s="460"/>
      <c r="D30" s="122"/>
      <c r="E30" s="82">
        <v>0.49</v>
      </c>
      <c r="F30" s="460"/>
    </row>
    <row r="31" spans="1:7" x14ac:dyDescent="0.25">
      <c r="A31" s="132"/>
      <c r="B31" s="132"/>
      <c r="C31" s="132"/>
    </row>
    <row r="32" spans="1:7" x14ac:dyDescent="0.25">
      <c r="A32" s="443" t="s">
        <v>453</v>
      </c>
      <c r="B32" s="443"/>
    </row>
    <row r="33" spans="1:2" x14ac:dyDescent="0.25">
      <c r="A33" s="110" t="s">
        <v>251</v>
      </c>
      <c r="B33" s="110" t="s">
        <v>427</v>
      </c>
    </row>
    <row r="34" spans="1:2" x14ac:dyDescent="0.25">
      <c r="A34" s="118" t="s">
        <v>425</v>
      </c>
      <c r="B34" s="86">
        <v>0.4</v>
      </c>
    </row>
    <row r="35" spans="1:2" x14ac:dyDescent="0.25">
      <c r="A35" s="118" t="s">
        <v>426</v>
      </c>
      <c r="B35" s="86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x14ac:dyDescent="0.25">
      <c r="A1" s="424" t="s">
        <v>421</v>
      </c>
      <c r="B1" s="425"/>
      <c r="C1" s="426"/>
      <c r="D1" s="13"/>
      <c r="E1" s="13"/>
    </row>
    <row r="2" spans="1:10" x14ac:dyDescent="0.25">
      <c r="A2" s="64" t="s">
        <v>281</v>
      </c>
      <c r="B2" s="64" t="s">
        <v>279</v>
      </c>
      <c r="C2" s="64" t="s">
        <v>280</v>
      </c>
    </row>
    <row r="3" spans="1:10" x14ac:dyDescent="0.25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x14ac:dyDescent="0.25">
      <c r="A6" s="433" t="s">
        <v>239</v>
      </c>
      <c r="B6" s="433"/>
      <c r="C6" s="433"/>
      <c r="D6" s="433"/>
      <c r="E6" s="433"/>
      <c r="F6" s="433"/>
      <c r="G6" s="433"/>
      <c r="I6" s="76"/>
      <c r="J6" s="76"/>
    </row>
    <row r="7" spans="1:10" ht="45" x14ac:dyDescent="0.25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463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463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463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463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463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x14ac:dyDescent="0.25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x14ac:dyDescent="0.25">
      <c r="A14" s="420" t="s">
        <v>240</v>
      </c>
      <c r="B14" s="420"/>
      <c r="C14" s="420"/>
      <c r="D14" s="1"/>
      <c r="E14" s="75"/>
      <c r="F14" s="76"/>
      <c r="G14" s="74"/>
      <c r="H14" s="76"/>
      <c r="I14" s="76"/>
      <c r="J14" s="76"/>
    </row>
    <row r="15" spans="1:10" x14ac:dyDescent="0.25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x14ac:dyDescent="0.25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x14ac:dyDescent="0.25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x14ac:dyDescent="0.25">
      <c r="A18" s="420" t="s">
        <v>253</v>
      </c>
      <c r="B18" s="420"/>
      <c r="C18" s="420"/>
      <c r="D18" s="420"/>
      <c r="E18" s="420"/>
      <c r="F18" s="420"/>
      <c r="G18" s="76"/>
      <c r="H18" s="76"/>
      <c r="I18" s="76"/>
      <c r="J18" s="76"/>
    </row>
    <row r="19" spans="1:10" ht="46.9" customHeight="1" x14ac:dyDescent="0.25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462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462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462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462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462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462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462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462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462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424" t="s">
        <v>252</v>
      </c>
      <c r="B30" s="425"/>
      <c r="C30" s="425"/>
      <c r="D30" s="425"/>
      <c r="E30" s="425"/>
      <c r="F30" s="425"/>
      <c r="G30" s="425"/>
      <c r="H30" s="425"/>
      <c r="I30" s="425"/>
      <c r="J30" s="426"/>
    </row>
    <row r="31" spans="1:10" x14ac:dyDescent="0.25">
      <c r="A31" s="44" t="s">
        <v>227</v>
      </c>
      <c r="B31" s="463" t="s">
        <v>255</v>
      </c>
      <c r="C31" s="463"/>
      <c r="D31" s="463"/>
      <c r="E31" s="463" t="s">
        <v>256</v>
      </c>
      <c r="F31" s="463"/>
      <c r="G31" s="463"/>
      <c r="H31" s="463" t="s">
        <v>164</v>
      </c>
      <c r="I31" s="463"/>
      <c r="J31" s="463"/>
    </row>
    <row r="32" spans="1:10" x14ac:dyDescent="0.25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x14ac:dyDescent="0.25">
      <c r="A33" s="451" t="s">
        <v>237</v>
      </c>
      <c r="B33" s="451"/>
      <c r="C33" s="451"/>
      <c r="D33" s="451"/>
      <c r="E33" s="451"/>
      <c r="F33" s="451"/>
      <c r="G33" s="451"/>
      <c r="H33" s="451"/>
      <c r="I33" s="451"/>
      <c r="J33" s="451"/>
    </row>
    <row r="34" spans="1:12" x14ac:dyDescent="0.25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x14ac:dyDescent="0.25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x14ac:dyDescent="0.25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x14ac:dyDescent="0.25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x14ac:dyDescent="0.25">
      <c r="A38" s="444" t="s">
        <v>291</v>
      </c>
      <c r="B38" s="465"/>
      <c r="C38" s="465"/>
      <c r="D38" s="465"/>
      <c r="E38" s="465"/>
      <c r="F38" s="465"/>
      <c r="G38" s="465"/>
      <c r="H38" s="465"/>
      <c r="I38" s="465"/>
      <c r="J38" s="445"/>
    </row>
    <row r="39" spans="1:12" x14ac:dyDescent="0.25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451" t="s">
        <v>238</v>
      </c>
      <c r="B42" s="451"/>
      <c r="C42" s="451"/>
      <c r="D42" s="451"/>
      <c r="E42" s="451"/>
      <c r="F42" s="451"/>
      <c r="G42" s="451"/>
      <c r="H42" s="451"/>
      <c r="I42" s="451"/>
      <c r="J42" s="451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464" t="s">
        <v>276</v>
      </c>
      <c r="L43" s="464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461" t="s">
        <v>292</v>
      </c>
      <c r="B50" s="461"/>
      <c r="C50" s="461"/>
      <c r="D50" s="461"/>
      <c r="E50" s="461"/>
      <c r="F50" s="461"/>
      <c r="G50" s="461"/>
      <c r="H50" s="461"/>
      <c r="I50" s="461"/>
      <c r="J50" s="461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461" t="s">
        <v>257</v>
      </c>
      <c r="B58" s="461"/>
      <c r="C58" s="461"/>
      <c r="D58" s="461"/>
      <c r="E58" s="461"/>
      <c r="F58" s="461"/>
      <c r="G58" s="461"/>
      <c r="H58" s="461"/>
      <c r="I58" s="461"/>
      <c r="J58" s="461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K43:L43"/>
    <mergeCell ref="A1:C1"/>
    <mergeCell ref="A38:J38"/>
    <mergeCell ref="A33:J33"/>
    <mergeCell ref="A42:J42"/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workbookViewId="0">
      <selection activeCell="F26" sqref="F26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x14ac:dyDescent="0.25">
      <c r="A1" s="424" t="s">
        <v>422</v>
      </c>
      <c r="B1" s="425"/>
      <c r="C1" s="426"/>
      <c r="E1" s="424" t="s">
        <v>423</v>
      </c>
      <c r="F1" s="425"/>
      <c r="G1" s="426"/>
      <c r="I1" s="424" t="s">
        <v>424</v>
      </c>
      <c r="J1" s="425"/>
      <c r="K1" s="426"/>
    </row>
    <row r="2" spans="1:18" x14ac:dyDescent="0.25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x14ac:dyDescent="0.25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452" t="s">
        <v>372</v>
      </c>
      <c r="B5" s="453"/>
      <c r="C5" s="454"/>
      <c r="E5" s="452" t="s">
        <v>419</v>
      </c>
      <c r="F5" s="453"/>
      <c r="G5" s="454"/>
      <c r="I5" s="452" t="s">
        <v>419</v>
      </c>
      <c r="J5" s="453"/>
      <c r="K5" s="454"/>
    </row>
    <row r="6" spans="1:18" ht="15.75" thickBot="1" x14ac:dyDescent="0.3">
      <c r="A6" s="455" t="s">
        <v>373</v>
      </c>
      <c r="B6" s="456"/>
      <c r="C6" s="457"/>
      <c r="E6" s="455" t="s">
        <v>359</v>
      </c>
      <c r="F6" s="456"/>
      <c r="G6" s="457"/>
      <c r="I6" s="455" t="s">
        <v>358</v>
      </c>
      <c r="J6" s="456"/>
      <c r="K6" s="457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25">
      <c r="A9" s="470" t="s">
        <v>347</v>
      </c>
      <c r="B9" s="470"/>
      <c r="C9" s="470"/>
      <c r="D9" s="470"/>
      <c r="E9" s="470"/>
      <c r="F9" s="470"/>
      <c r="G9" s="104"/>
      <c r="H9" s="470" t="s">
        <v>356</v>
      </c>
      <c r="I9" s="470"/>
      <c r="J9" s="470"/>
      <c r="K9" s="470"/>
      <c r="L9" s="470"/>
      <c r="M9" s="470"/>
      <c r="N9" s="470"/>
      <c r="O9" s="470"/>
      <c r="P9" s="470"/>
    </row>
    <row r="10" spans="1:18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x14ac:dyDescent="0.25">
      <c r="A11" s="420" t="s">
        <v>310</v>
      </c>
      <c r="B11" s="420"/>
      <c r="C11" s="420"/>
      <c r="D11" s="420"/>
      <c r="E11" s="420"/>
      <c r="F11" s="420"/>
      <c r="G11" s="93"/>
      <c r="H11" s="420" t="s">
        <v>349</v>
      </c>
      <c r="I11" s="420"/>
      <c r="J11" s="420"/>
      <c r="K11" s="420"/>
      <c r="L11" s="420"/>
      <c r="M11" s="420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479" t="s">
        <v>227</v>
      </c>
      <c r="I12" s="451" t="s">
        <v>350</v>
      </c>
      <c r="J12" s="451"/>
      <c r="K12" s="466" t="s">
        <v>316</v>
      </c>
      <c r="L12" s="451" t="s">
        <v>357</v>
      </c>
      <c r="M12" s="451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480"/>
      <c r="I13" s="44" t="s">
        <v>354</v>
      </c>
      <c r="J13" s="44" t="s">
        <v>355</v>
      </c>
      <c r="K13" s="466"/>
      <c r="L13" s="44" t="s">
        <v>354</v>
      </c>
      <c r="M13" s="44" t="s">
        <v>355</v>
      </c>
    </row>
    <row r="14" spans="1:18" x14ac:dyDescent="0.25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444" t="s">
        <v>352</v>
      </c>
      <c r="I14" s="465"/>
      <c r="J14" s="465"/>
      <c r="K14" s="465"/>
      <c r="L14" s="465"/>
      <c r="M14" s="445"/>
    </row>
    <row r="15" spans="1:18" x14ac:dyDescent="0.25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5" x14ac:dyDescent="0.25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x14ac:dyDescent="0.25">
      <c r="A17" s="98"/>
      <c r="B17" s="97"/>
      <c r="C17" s="97"/>
      <c r="D17" s="97"/>
      <c r="E17" s="97"/>
      <c r="F17" s="97"/>
      <c r="H17" s="444" t="s">
        <v>353</v>
      </c>
      <c r="I17" s="465"/>
      <c r="J17" s="465"/>
      <c r="K17" s="465"/>
      <c r="L17" s="465"/>
      <c r="M17" s="445"/>
      <c r="N17" s="2"/>
      <c r="O17" s="2"/>
      <c r="P17" s="2"/>
      <c r="Q17" s="2"/>
      <c r="R17" s="2"/>
    </row>
    <row r="18" spans="1:18" x14ac:dyDescent="0.25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x14ac:dyDescent="0.25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x14ac:dyDescent="0.25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x14ac:dyDescent="0.25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420" t="s">
        <v>317</v>
      </c>
      <c r="B22" s="420"/>
      <c r="C22" s="420"/>
      <c r="D22" s="420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474" t="s">
        <v>335</v>
      </c>
      <c r="B23" s="474"/>
      <c r="C23" s="474"/>
      <c r="D23" s="474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444" t="s">
        <v>314</v>
      </c>
      <c r="I25" s="465"/>
      <c r="J25" s="465"/>
      <c r="K25" s="465"/>
      <c r="L25" s="465"/>
      <c r="M25" s="445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443" t="s">
        <v>365</v>
      </c>
      <c r="I29" s="443"/>
      <c r="J29" s="443"/>
      <c r="K29" s="114"/>
      <c r="L29" s="443" t="s">
        <v>368</v>
      </c>
      <c r="M29" s="443"/>
      <c r="N29" s="114"/>
    </row>
    <row r="30" spans="1:18" ht="30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460</v>
      </c>
      <c r="I30" s="61" t="s">
        <v>366</v>
      </c>
      <c r="J30" s="61" t="s">
        <v>367</v>
      </c>
      <c r="K30" s="115"/>
      <c r="L30" s="61" t="s">
        <v>367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420" t="s">
        <v>369</v>
      </c>
      <c r="I33" s="420"/>
      <c r="J33" s="420"/>
      <c r="K33" s="420"/>
      <c r="L33" s="420"/>
      <c r="M33" s="420"/>
      <c r="N33" s="420"/>
      <c r="O33" s="420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467" t="s">
        <v>227</v>
      </c>
      <c r="I34" s="467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466" t="s">
        <v>341</v>
      </c>
      <c r="I35" s="466"/>
      <c r="J35" s="466"/>
      <c r="K35" s="466"/>
      <c r="L35" s="466"/>
      <c r="M35" s="466"/>
      <c r="N35" s="466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379</v>
      </c>
      <c r="I36" s="72" t="s">
        <v>384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471" t="s">
        <v>320</v>
      </c>
      <c r="B37" s="472"/>
      <c r="C37" s="472"/>
      <c r="D37" s="473"/>
      <c r="E37" s="92"/>
      <c r="F37" s="92"/>
      <c r="G37" s="92"/>
      <c r="H37" s="72" t="s">
        <v>374</v>
      </c>
      <c r="I37" s="72" t="s">
        <v>385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375</v>
      </c>
      <c r="I38" s="72" t="s">
        <v>386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376</v>
      </c>
      <c r="I39" s="72" t="s">
        <v>387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377</v>
      </c>
      <c r="I40" s="72" t="s">
        <v>388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378</v>
      </c>
      <c r="I41" s="72" t="s">
        <v>389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466" t="s">
        <v>380</v>
      </c>
      <c r="I42" s="466"/>
      <c r="J42" s="466"/>
      <c r="K42" s="466"/>
      <c r="L42" s="466"/>
      <c r="M42" s="466"/>
      <c r="N42" s="466"/>
      <c r="O42" s="70" t="s">
        <v>390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381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381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382</v>
      </c>
      <c r="I46" s="79" t="s">
        <v>381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383</v>
      </c>
      <c r="I47" s="79" t="s">
        <v>381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381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466" t="s">
        <v>314</v>
      </c>
      <c r="I49" s="466"/>
      <c r="J49" s="466"/>
      <c r="K49" s="466"/>
      <c r="L49" s="466"/>
      <c r="M49" s="466"/>
      <c r="N49" s="466"/>
      <c r="O49" s="14"/>
    </row>
    <row r="50" spans="1:15" x14ac:dyDescent="0.25">
      <c r="A50" s="474" t="s">
        <v>327</v>
      </c>
      <c r="B50" s="474"/>
      <c r="C50" s="474"/>
      <c r="D50" s="474"/>
      <c r="E50" s="92"/>
      <c r="F50" s="92"/>
      <c r="G50" s="92"/>
      <c r="H50" s="464" t="s">
        <v>358</v>
      </c>
      <c r="I50" s="464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478">
        <v>0.35</v>
      </c>
      <c r="C51" s="478"/>
      <c r="D51" s="478"/>
      <c r="E51" s="91"/>
      <c r="F51" s="92"/>
      <c r="G51" s="92"/>
      <c r="H51" s="464" t="s">
        <v>391</v>
      </c>
      <c r="I51" s="464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464" t="s">
        <v>315</v>
      </c>
      <c r="I52" s="464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464" t="s">
        <v>359</v>
      </c>
      <c r="I53" s="464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420" t="s">
        <v>370</v>
      </c>
      <c r="I55" s="420"/>
      <c r="J55" s="420"/>
      <c r="K55" s="420"/>
      <c r="L55" s="420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392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451" t="s">
        <v>341</v>
      </c>
      <c r="I57" s="451"/>
      <c r="J57" s="451"/>
      <c r="K57" s="451"/>
      <c r="L57" s="71"/>
    </row>
    <row r="58" spans="1:15" x14ac:dyDescent="0.25">
      <c r="A58" s="474" t="s">
        <v>325</v>
      </c>
      <c r="B58" s="474"/>
      <c r="C58" s="474"/>
      <c r="D58" s="474"/>
      <c r="E58" s="92"/>
      <c r="F58" s="92"/>
      <c r="G58" s="92"/>
      <c r="H58" s="79" t="s">
        <v>393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475">
        <v>0.44</v>
      </c>
      <c r="C59" s="476"/>
      <c r="D59" s="477"/>
      <c r="E59" s="92"/>
      <c r="F59" s="92"/>
      <c r="G59" s="92"/>
      <c r="H59" s="79" t="s">
        <v>394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395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396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402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403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404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451" t="s">
        <v>380</v>
      </c>
      <c r="I65" s="451"/>
      <c r="J65" s="451"/>
      <c r="K65" s="451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397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468" t="s">
        <v>334</v>
      </c>
      <c r="B67" s="469"/>
      <c r="C67" s="469"/>
      <c r="D67" s="469"/>
      <c r="E67" s="469"/>
      <c r="H67" s="79" t="s">
        <v>398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399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401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400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466" t="s">
        <v>314</v>
      </c>
      <c r="I73" s="466"/>
      <c r="J73" s="466"/>
      <c r="K73" s="466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391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424" t="s">
        <v>371</v>
      </c>
      <c r="I79" s="425"/>
      <c r="J79" s="426"/>
      <c r="K79" s="73"/>
    </row>
    <row r="80" spans="1:12" x14ac:dyDescent="0.25">
      <c r="H80" s="451" t="s">
        <v>341</v>
      </c>
      <c r="I80" s="451"/>
      <c r="J80" s="17"/>
      <c r="K80" s="73"/>
    </row>
    <row r="81" spans="8:11" x14ac:dyDescent="0.25">
      <c r="H81" s="79" t="s">
        <v>405</v>
      </c>
      <c r="I81" s="79">
        <v>150</v>
      </c>
      <c r="J81" s="17"/>
      <c r="K81" s="73"/>
    </row>
    <row r="82" spans="8:11" x14ac:dyDescent="0.25">
      <c r="H82" s="79" t="s">
        <v>406</v>
      </c>
      <c r="I82" s="79">
        <v>2.7E-2</v>
      </c>
      <c r="J82" s="17"/>
      <c r="K82" s="73"/>
    </row>
    <row r="83" spans="8:11" x14ac:dyDescent="0.25">
      <c r="H83" s="79" t="s">
        <v>407</v>
      </c>
      <c r="I83" s="79">
        <v>8.7999999999999995E-2</v>
      </c>
      <c r="J83" s="71"/>
    </row>
    <row r="84" spans="8:11" x14ac:dyDescent="0.25">
      <c r="H84" s="79" t="s">
        <v>408</v>
      </c>
      <c r="I84" s="79">
        <v>0.128</v>
      </c>
      <c r="J84" s="71"/>
    </row>
    <row r="85" spans="8:11" x14ac:dyDescent="0.25">
      <c r="H85" s="79" t="s">
        <v>409</v>
      </c>
      <c r="I85" s="79">
        <v>0.68100000000000005</v>
      </c>
      <c r="J85" s="71"/>
    </row>
    <row r="86" spans="8:11" x14ac:dyDescent="0.25">
      <c r="H86" s="79" t="s">
        <v>410</v>
      </c>
      <c r="I86" s="79">
        <v>1.7999999999999999E-2</v>
      </c>
      <c r="J86" s="71"/>
    </row>
    <row r="87" spans="8:11" x14ac:dyDescent="0.25">
      <c r="H87" s="79" t="s">
        <v>411</v>
      </c>
      <c r="I87" s="79">
        <v>1.6E-2</v>
      </c>
      <c r="J87" s="71"/>
    </row>
    <row r="88" spans="8:11" x14ac:dyDescent="0.25">
      <c r="H88" s="79" t="s">
        <v>412</v>
      </c>
      <c r="I88" s="79">
        <v>4.2000000000000003E-2</v>
      </c>
      <c r="J88" s="71"/>
    </row>
    <row r="89" spans="8:11" x14ac:dyDescent="0.25">
      <c r="H89" s="451" t="s">
        <v>380</v>
      </c>
      <c r="I89" s="451"/>
      <c r="J89" s="71" t="s">
        <v>316</v>
      </c>
    </row>
    <row r="90" spans="8:11" x14ac:dyDescent="0.25">
      <c r="H90" s="79" t="s">
        <v>397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398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413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401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414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415</v>
      </c>
      <c r="I98" s="71">
        <f>J98*I88*I90/J90</f>
        <v>5.2387096774193544E-2</v>
      </c>
      <c r="J98" s="71">
        <v>46.4</v>
      </c>
    </row>
    <row r="99" spans="8:10" x14ac:dyDescent="0.25">
      <c r="H99" s="451" t="s">
        <v>314</v>
      </c>
      <c r="I99" s="451"/>
      <c r="J99" s="71"/>
    </row>
    <row r="100" spans="8:10" x14ac:dyDescent="0.25">
      <c r="H100" s="71" t="s">
        <v>391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xmlns:xlrd2="http://schemas.microsoft.com/office/spreadsheetml/2017/richdata2" ref="D101:D111">
    <sortCondition ref="D101"/>
  </sortState>
  <mergeCells count="47"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G20" zoomScaleNormal="100" workbookViewId="0">
      <selection activeCell="Z27" sqref="Z27"/>
    </sheetView>
  </sheetViews>
  <sheetFormatPr baseColWidth="10" defaultRowHeight="15" x14ac:dyDescent="0.25"/>
  <cols>
    <col min="24" max="24" width="19.42578125" customWidth="1"/>
  </cols>
  <sheetData>
    <row r="1" spans="1:27" ht="52.5" x14ac:dyDescent="0.25">
      <c r="A1" s="299" t="s">
        <v>627</v>
      </c>
      <c r="B1" s="300" t="s">
        <v>500</v>
      </c>
      <c r="C1" s="300" t="s">
        <v>250</v>
      </c>
      <c r="D1" s="301" t="s">
        <v>628</v>
      </c>
      <c r="E1" s="301" t="s">
        <v>629</v>
      </c>
      <c r="F1" s="301" t="s">
        <v>630</v>
      </c>
      <c r="G1" s="301" t="s">
        <v>631</v>
      </c>
      <c r="H1" s="301" t="s">
        <v>632</v>
      </c>
      <c r="I1" s="302" t="s">
        <v>633</v>
      </c>
      <c r="J1" s="301" t="s">
        <v>634</v>
      </c>
      <c r="K1" s="301" t="s">
        <v>635</v>
      </c>
      <c r="L1" s="301" t="s">
        <v>636</v>
      </c>
      <c r="M1" s="302" t="s">
        <v>637</v>
      </c>
      <c r="N1" s="302" t="s">
        <v>638</v>
      </c>
      <c r="O1" s="303" t="s">
        <v>639</v>
      </c>
      <c r="P1" s="304" t="s">
        <v>640</v>
      </c>
      <c r="Q1" s="304" t="s">
        <v>641</v>
      </c>
      <c r="R1" s="305" t="s">
        <v>642</v>
      </c>
      <c r="S1" s="306" t="s">
        <v>643</v>
      </c>
      <c r="T1" s="306" t="s">
        <v>644</v>
      </c>
      <c r="U1" s="306" t="s">
        <v>645</v>
      </c>
      <c r="V1" s="306" t="s">
        <v>646</v>
      </c>
      <c r="W1" s="306" t="s">
        <v>647</v>
      </c>
      <c r="X1" s="306" t="s">
        <v>648</v>
      </c>
      <c r="Y1" s="306" t="s">
        <v>649</v>
      </c>
      <c r="Z1" s="306" t="s">
        <v>650</v>
      </c>
      <c r="AA1" s="307" t="s">
        <v>651</v>
      </c>
    </row>
    <row r="2" spans="1:27" x14ac:dyDescent="0.25">
      <c r="A2" s="308" t="s">
        <v>475</v>
      </c>
      <c r="B2" s="309" t="s">
        <v>124</v>
      </c>
      <c r="C2" s="310" t="s">
        <v>499</v>
      </c>
      <c r="D2" s="311" t="s">
        <v>8</v>
      </c>
      <c r="E2" s="312">
        <v>0.1</v>
      </c>
      <c r="F2" s="312">
        <v>8.7550341446331642E-2</v>
      </c>
      <c r="G2" s="313">
        <v>0.26</v>
      </c>
      <c r="H2" s="313">
        <v>0.22763088776046225</v>
      </c>
      <c r="I2" s="313">
        <v>0.86</v>
      </c>
      <c r="J2" s="313">
        <v>0.75293293643845205</v>
      </c>
      <c r="K2" s="313">
        <v>1.22</v>
      </c>
      <c r="L2" s="313">
        <v>1.068114165645246</v>
      </c>
      <c r="M2" s="314">
        <v>34.857142857142854</v>
      </c>
      <c r="N2" s="313">
        <v>30.517547589864165</v>
      </c>
      <c r="O2" s="313">
        <v>1.22</v>
      </c>
      <c r="P2" s="313">
        <v>1.22</v>
      </c>
      <c r="Q2" s="313">
        <v>1.068114165645246</v>
      </c>
      <c r="R2" s="311" t="s">
        <v>56</v>
      </c>
      <c r="S2" s="315" t="s">
        <v>652</v>
      </c>
      <c r="T2" s="315">
        <v>8.1967213114754106E-2</v>
      </c>
      <c r="U2" s="315">
        <v>0.21311475409836067</v>
      </c>
      <c r="V2" s="315">
        <v>0.70491803278688525</v>
      </c>
      <c r="W2" s="315">
        <v>1</v>
      </c>
      <c r="X2" s="316">
        <v>373574.83305831201</v>
      </c>
      <c r="Y2" s="317">
        <v>338457.32199052884</v>
      </c>
      <c r="Z2" s="318">
        <v>327066.04190011555</v>
      </c>
      <c r="AA2" s="319">
        <v>2075</v>
      </c>
    </row>
    <row r="3" spans="1:27" x14ac:dyDescent="0.25">
      <c r="A3" s="320" t="s">
        <v>475</v>
      </c>
      <c r="B3" s="309" t="s">
        <v>179</v>
      </c>
      <c r="C3" s="310" t="s">
        <v>499</v>
      </c>
      <c r="D3" s="311" t="s">
        <v>8</v>
      </c>
      <c r="E3" s="312">
        <v>0.2</v>
      </c>
      <c r="F3" s="312">
        <v>0.17510068289266328</v>
      </c>
      <c r="G3" s="313">
        <v>0.19</v>
      </c>
      <c r="H3" s="313">
        <v>0.16634564874803009</v>
      </c>
      <c r="I3" s="313">
        <v>0.57999999999999996</v>
      </c>
      <c r="J3" s="313">
        <v>0.50779198038872342</v>
      </c>
      <c r="K3" s="313">
        <v>0.97</v>
      </c>
      <c r="L3" s="313">
        <v>0.8492383120294168</v>
      </c>
      <c r="M3" s="314">
        <v>27.714285714285712</v>
      </c>
      <c r="N3" s="313">
        <v>24.263951772269049</v>
      </c>
      <c r="O3" s="321" t="s">
        <v>653</v>
      </c>
      <c r="P3" s="322">
        <v>0.95</v>
      </c>
      <c r="Q3" s="313">
        <v>0.83172824374015042</v>
      </c>
      <c r="R3" s="311" t="s">
        <v>59</v>
      </c>
      <c r="S3" s="315" t="s">
        <v>652</v>
      </c>
      <c r="T3" s="315">
        <v>0.2061855670103093</v>
      </c>
      <c r="U3" s="315">
        <v>0.19587628865979381</v>
      </c>
      <c r="V3" s="315">
        <v>0.59793814432989689</v>
      </c>
      <c r="W3" s="315">
        <v>1.0210526315789474</v>
      </c>
      <c r="X3" s="316">
        <v>747149.66611662495</v>
      </c>
      <c r="Y3" s="323"/>
      <c r="Z3" s="318">
        <v>654132.08380023192</v>
      </c>
      <c r="AA3" s="319">
        <v>244</v>
      </c>
    </row>
    <row r="4" spans="1:27" x14ac:dyDescent="0.25">
      <c r="A4" s="320" t="s">
        <v>475</v>
      </c>
      <c r="B4" s="309" t="s">
        <v>123</v>
      </c>
      <c r="C4" s="310" t="s">
        <v>499</v>
      </c>
      <c r="D4" s="311" t="s">
        <v>8</v>
      </c>
      <c r="E4" s="312">
        <v>0.2</v>
      </c>
      <c r="F4" s="312">
        <v>0.17510068289266328</v>
      </c>
      <c r="G4" s="313">
        <v>0.19</v>
      </c>
      <c r="H4" s="313">
        <v>0.16634564874803009</v>
      </c>
      <c r="I4" s="313">
        <v>0.73</v>
      </c>
      <c r="J4" s="313">
        <v>0.63911749255822092</v>
      </c>
      <c r="K4" s="313">
        <v>1.1200000000000001</v>
      </c>
      <c r="L4" s="313">
        <v>0.98056382419891441</v>
      </c>
      <c r="M4" s="314">
        <v>32</v>
      </c>
      <c r="N4" s="313">
        <v>28.016109262826124</v>
      </c>
      <c r="O4" s="321" t="s">
        <v>654</v>
      </c>
      <c r="P4" s="312">
        <v>1.105</v>
      </c>
      <c r="Q4" s="313">
        <v>0.96743127298196452</v>
      </c>
      <c r="R4" s="311" t="s">
        <v>59</v>
      </c>
      <c r="S4" s="315" t="s">
        <v>652</v>
      </c>
      <c r="T4" s="315">
        <v>0.17857142857142858</v>
      </c>
      <c r="U4" s="315">
        <v>0.16964285714285712</v>
      </c>
      <c r="V4" s="315">
        <v>0.65178571428571419</v>
      </c>
      <c r="W4" s="315">
        <v>1.0135746606334843</v>
      </c>
      <c r="X4" s="316">
        <v>747149.66611662495</v>
      </c>
      <c r="Y4" s="323"/>
      <c r="Z4" s="318">
        <v>654132.08380023192</v>
      </c>
      <c r="AA4" s="319">
        <v>244</v>
      </c>
    </row>
    <row r="5" spans="1:27" x14ac:dyDescent="0.25">
      <c r="A5" s="320" t="s">
        <v>475</v>
      </c>
      <c r="B5" s="309" t="s">
        <v>221</v>
      </c>
      <c r="C5" s="310" t="s">
        <v>812</v>
      </c>
      <c r="D5" s="311" t="s">
        <v>8</v>
      </c>
      <c r="E5" s="312">
        <v>0.2</v>
      </c>
      <c r="F5" s="312">
        <v>0.17510068289266328</v>
      </c>
      <c r="G5" s="313">
        <v>0.19</v>
      </c>
      <c r="H5" s="313">
        <v>0.16634564874803009</v>
      </c>
      <c r="I5" s="313">
        <v>0.85</v>
      </c>
      <c r="J5" s="313">
        <v>0.74417790229381886</v>
      </c>
      <c r="K5" s="313">
        <v>1.24</v>
      </c>
      <c r="L5" s="313">
        <v>1.0856242339345121</v>
      </c>
      <c r="M5" s="314">
        <v>35.428571428571423</v>
      </c>
      <c r="N5" s="313">
        <v>31.017835255271773</v>
      </c>
      <c r="O5" s="324" t="s">
        <v>655</v>
      </c>
      <c r="P5" s="312">
        <v>1.2350000000000001</v>
      </c>
      <c r="Q5" s="313">
        <v>1.0812467168621958</v>
      </c>
      <c r="R5" s="311" t="s">
        <v>59</v>
      </c>
      <c r="S5" s="315" t="s">
        <v>652</v>
      </c>
      <c r="T5" s="315">
        <v>0.16129032258064518</v>
      </c>
      <c r="U5" s="315">
        <v>0.15322580645161291</v>
      </c>
      <c r="V5" s="315">
        <v>0.68548387096774188</v>
      </c>
      <c r="W5" s="315">
        <v>1.0040485829959513</v>
      </c>
      <c r="X5" s="316">
        <v>747149.66611662495</v>
      </c>
      <c r="Y5" s="323"/>
      <c r="Z5" s="318">
        <v>654132.08380023192</v>
      </c>
      <c r="AA5" s="319">
        <v>244</v>
      </c>
    </row>
    <row r="6" spans="1:27" x14ac:dyDescent="0.25">
      <c r="A6" s="320" t="s">
        <v>475</v>
      </c>
      <c r="B6" s="325" t="s">
        <v>476</v>
      </c>
      <c r="C6" s="310" t="s">
        <v>812</v>
      </c>
      <c r="D6" s="311" t="s">
        <v>8</v>
      </c>
      <c r="E6" s="326">
        <v>0.09</v>
      </c>
      <c r="F6" s="326">
        <v>7.8795307301698467E-2</v>
      </c>
      <c r="G6" s="314">
        <v>0.14000000000000001</v>
      </c>
      <c r="H6" s="314">
        <v>0.1225704780248643</v>
      </c>
      <c r="I6" s="314">
        <v>2.0699999999999998</v>
      </c>
      <c r="J6" s="314">
        <v>1.8122920679390646</v>
      </c>
      <c r="K6" s="314">
        <v>2.29</v>
      </c>
      <c r="L6" s="313">
        <v>2.0049028191209946</v>
      </c>
      <c r="M6" s="314">
        <v>65.428571428571416</v>
      </c>
      <c r="N6" s="313">
        <v>57.282937689171256</v>
      </c>
      <c r="O6" s="314">
        <v>1.81</v>
      </c>
      <c r="P6" s="314">
        <v>1.81</v>
      </c>
      <c r="Q6" s="313">
        <v>1.5846611801786026</v>
      </c>
      <c r="R6" s="311" t="s">
        <v>62</v>
      </c>
      <c r="S6" s="315" t="s">
        <v>652</v>
      </c>
      <c r="T6" s="315">
        <v>3.9301310043668117E-2</v>
      </c>
      <c r="U6" s="315">
        <v>6.1135371179039305E-2</v>
      </c>
      <c r="V6" s="315">
        <v>0.9039301310043667</v>
      </c>
      <c r="W6" s="315">
        <v>1.2651933701657458</v>
      </c>
      <c r="X6" s="316">
        <v>336217.34975248098</v>
      </c>
      <c r="Y6" s="317">
        <v>261021.08880576122</v>
      </c>
      <c r="Z6" s="318">
        <v>294359.43771010416</v>
      </c>
      <c r="AA6" s="319">
        <v>2560</v>
      </c>
    </row>
    <row r="7" spans="1:27" x14ac:dyDescent="0.25">
      <c r="A7" s="320" t="s">
        <v>475</v>
      </c>
      <c r="B7" s="325" t="s">
        <v>477</v>
      </c>
      <c r="C7" s="310" t="s">
        <v>812</v>
      </c>
      <c r="D7" s="311" t="s">
        <v>8</v>
      </c>
      <c r="E7" s="326">
        <v>0.08</v>
      </c>
      <c r="F7" s="326">
        <v>7.0040273157065305E-2</v>
      </c>
      <c r="G7" s="314">
        <v>0.13</v>
      </c>
      <c r="H7" s="314">
        <v>0.11381544388023113</v>
      </c>
      <c r="I7" s="314">
        <v>1.04</v>
      </c>
      <c r="J7" s="314">
        <v>0.91052355104184901</v>
      </c>
      <c r="K7" s="314">
        <v>1.25</v>
      </c>
      <c r="L7" s="313">
        <v>1.0943792680791453</v>
      </c>
      <c r="M7" s="314">
        <v>35.714285714285708</v>
      </c>
      <c r="N7" s="313">
        <v>31.267979087975579</v>
      </c>
      <c r="O7" s="314">
        <v>0.8</v>
      </c>
      <c r="P7" s="314">
        <v>0.8</v>
      </c>
      <c r="Q7" s="313">
        <v>0.70040273157065314</v>
      </c>
      <c r="R7" s="311" t="s">
        <v>62</v>
      </c>
      <c r="S7" s="315" t="s">
        <v>652</v>
      </c>
      <c r="T7" s="315">
        <v>6.4000000000000001E-2</v>
      </c>
      <c r="U7" s="315">
        <v>0.10400000000000001</v>
      </c>
      <c r="V7" s="315">
        <v>0.83200000000000007</v>
      </c>
      <c r="W7" s="315">
        <v>1.5625</v>
      </c>
      <c r="X7" s="316">
        <v>298859.86644665</v>
      </c>
      <c r="Y7" s="317">
        <v>261311.51763731553</v>
      </c>
      <c r="Z7" s="318">
        <v>261652.8335200928</v>
      </c>
      <c r="AA7" s="319">
        <v>2560</v>
      </c>
    </row>
    <row r="8" spans="1:27" x14ac:dyDescent="0.25">
      <c r="A8" s="320" t="s">
        <v>475</v>
      </c>
      <c r="B8" s="325" t="s">
        <v>110</v>
      </c>
      <c r="C8" s="310" t="s">
        <v>812</v>
      </c>
      <c r="D8" s="311" t="s">
        <v>8</v>
      </c>
      <c r="E8" s="326">
        <v>0.33</v>
      </c>
      <c r="F8" s="326">
        <v>0.28891612677289441</v>
      </c>
      <c r="G8" s="314">
        <v>0.17</v>
      </c>
      <c r="H8" s="314">
        <v>0.1488355804587638</v>
      </c>
      <c r="I8" s="314">
        <v>1.59</v>
      </c>
      <c r="J8" s="314">
        <v>1.3920504289966731</v>
      </c>
      <c r="K8" s="314">
        <v>2.09</v>
      </c>
      <c r="L8" s="313">
        <v>1.829802136228331</v>
      </c>
      <c r="M8" s="314">
        <v>59.714285714285701</v>
      </c>
      <c r="N8" s="313">
        <v>52.280061035095166</v>
      </c>
      <c r="O8" s="314">
        <v>1.78</v>
      </c>
      <c r="P8" s="314">
        <v>1.78</v>
      </c>
      <c r="Q8" s="313">
        <v>1.558396077744703</v>
      </c>
      <c r="R8" s="311" t="s">
        <v>65</v>
      </c>
      <c r="S8" s="315" t="s">
        <v>652</v>
      </c>
      <c r="T8" s="315">
        <v>0.15789473684210528</v>
      </c>
      <c r="U8" s="315">
        <v>8.1339712918660295E-2</v>
      </c>
      <c r="V8" s="315">
        <v>0.76076555023923453</v>
      </c>
      <c r="W8" s="315">
        <v>1.1741573033707864</v>
      </c>
      <c r="X8" s="316">
        <v>1232796.9490924301</v>
      </c>
      <c r="Y8" s="323"/>
      <c r="Z8" s="318">
        <v>1079317.9382703817</v>
      </c>
      <c r="AA8" s="319">
        <v>220</v>
      </c>
    </row>
    <row r="9" spans="1:27" x14ac:dyDescent="0.25">
      <c r="A9" s="320" t="s">
        <v>475</v>
      </c>
      <c r="B9" s="309" t="s">
        <v>124</v>
      </c>
      <c r="C9" s="310" t="s">
        <v>499</v>
      </c>
      <c r="D9" s="311" t="s">
        <v>8</v>
      </c>
      <c r="E9" s="312">
        <v>0.1</v>
      </c>
      <c r="F9" s="312">
        <v>8.7550341446331642E-2</v>
      </c>
      <c r="G9" s="313">
        <v>0.13</v>
      </c>
      <c r="H9" s="313">
        <v>0.11381544388023113</v>
      </c>
      <c r="I9" s="313">
        <v>0.55000000000000004</v>
      </c>
      <c r="J9" s="313">
        <v>0.48152687795482402</v>
      </c>
      <c r="K9" s="313">
        <v>0.78</v>
      </c>
      <c r="L9" s="313">
        <v>0.68289266328138676</v>
      </c>
      <c r="M9" s="314">
        <v>22.285714285714285</v>
      </c>
      <c r="N9" s="313">
        <v>19.511218950896762</v>
      </c>
      <c r="O9" s="321" t="s">
        <v>656</v>
      </c>
      <c r="P9" s="312">
        <v>0.78</v>
      </c>
      <c r="Q9" s="313">
        <v>0.68289266328138676</v>
      </c>
      <c r="R9" s="311" t="s">
        <v>68</v>
      </c>
      <c r="S9" s="315" t="s">
        <v>652</v>
      </c>
      <c r="T9" s="315">
        <v>0.12820512820512822</v>
      </c>
      <c r="U9" s="315">
        <v>0.16666666666666666</v>
      </c>
      <c r="V9" s="315">
        <v>0.70512820512820518</v>
      </c>
      <c r="W9" s="315">
        <v>1</v>
      </c>
      <c r="X9" s="316">
        <v>373574.83305831201</v>
      </c>
      <c r="Y9" s="323"/>
      <c r="Z9" s="318">
        <v>327066.04190011555</v>
      </c>
      <c r="AA9" s="319"/>
    </row>
    <row r="10" spans="1:27" ht="31.5" x14ac:dyDescent="0.25">
      <c r="A10" s="320" t="s">
        <v>657</v>
      </c>
      <c r="B10" s="309" t="s">
        <v>568</v>
      </c>
      <c r="C10" s="310" t="s">
        <v>587</v>
      </c>
      <c r="D10" s="311" t="s">
        <v>7</v>
      </c>
      <c r="E10" s="312">
        <v>0.63</v>
      </c>
      <c r="F10" s="312">
        <v>0.55156715111188925</v>
      </c>
      <c r="G10" s="314">
        <v>0.62</v>
      </c>
      <c r="H10" s="314">
        <v>0.54281211696725606</v>
      </c>
      <c r="I10" s="314">
        <v>0.87</v>
      </c>
      <c r="J10" s="314">
        <v>0.76168797058308524</v>
      </c>
      <c r="K10" s="314">
        <v>2.12</v>
      </c>
      <c r="L10" s="313">
        <v>1.8560672386622308</v>
      </c>
      <c r="M10" s="314">
        <v>60.571428571428569</v>
      </c>
      <c r="N10" s="313">
        <v>53.030492533206591</v>
      </c>
      <c r="O10" s="327" t="s">
        <v>658</v>
      </c>
      <c r="P10" s="326">
        <v>2.0149999999999997</v>
      </c>
      <c r="Q10" s="313">
        <v>1.7641393801435821</v>
      </c>
      <c r="R10" s="328" t="s">
        <v>56</v>
      </c>
      <c r="S10" s="315" t="s">
        <v>652</v>
      </c>
      <c r="T10" s="315">
        <v>0.29716981132075471</v>
      </c>
      <c r="U10" s="315">
        <v>0.29245283018867924</v>
      </c>
      <c r="V10" s="315">
        <v>0.410377358490566</v>
      </c>
      <c r="W10" s="315">
        <v>1.0521091811414394</v>
      </c>
      <c r="X10" s="316">
        <v>2353521.4482673602</v>
      </c>
      <c r="Y10" s="317">
        <v>1480807.6023564939</v>
      </c>
      <c r="Z10" s="318">
        <v>2060516.0639707232</v>
      </c>
      <c r="AA10" s="319">
        <v>340</v>
      </c>
    </row>
    <row r="11" spans="1:27" ht="21" x14ac:dyDescent="0.25">
      <c r="A11" s="320" t="s">
        <v>657</v>
      </c>
      <c r="B11" s="309" t="s">
        <v>569</v>
      </c>
      <c r="C11" s="310" t="s">
        <v>586</v>
      </c>
      <c r="D11" s="311" t="s">
        <v>7</v>
      </c>
      <c r="E11" s="312">
        <v>0.64</v>
      </c>
      <c r="F11" s="312">
        <v>0.56032218525652244</v>
      </c>
      <c r="G11" s="313">
        <v>0.24</v>
      </c>
      <c r="H11" s="313">
        <v>0.2101208194711959</v>
      </c>
      <c r="I11" s="313">
        <v>0.37</v>
      </c>
      <c r="J11" s="313">
        <v>0.32393626335142706</v>
      </c>
      <c r="K11" s="313">
        <v>1.26</v>
      </c>
      <c r="L11" s="313">
        <v>1.1031343022237785</v>
      </c>
      <c r="M11" s="314">
        <v>36</v>
      </c>
      <c r="N11" s="313">
        <v>31.518122920679389</v>
      </c>
      <c r="O11" s="321" t="s">
        <v>659</v>
      </c>
      <c r="P11" s="312">
        <v>1.2</v>
      </c>
      <c r="Q11" s="313">
        <v>1.0506040973559796</v>
      </c>
      <c r="R11" s="311" t="s">
        <v>68</v>
      </c>
      <c r="S11" s="315" t="s">
        <v>652</v>
      </c>
      <c r="T11" s="315">
        <v>0.50793650793650791</v>
      </c>
      <c r="U11" s="315">
        <v>0.19047619047619047</v>
      </c>
      <c r="V11" s="315">
        <v>0.29365079365079366</v>
      </c>
      <c r="W11" s="315">
        <v>1.05</v>
      </c>
      <c r="X11" s="316">
        <v>2390878.9315732</v>
      </c>
      <c r="Y11" s="323"/>
      <c r="Z11" s="318">
        <v>2093222.6681607424</v>
      </c>
      <c r="AA11" s="319"/>
    </row>
    <row r="12" spans="1:27" ht="21" x14ac:dyDescent="0.25">
      <c r="A12" s="320" t="s">
        <v>657</v>
      </c>
      <c r="B12" s="309" t="s">
        <v>570</v>
      </c>
      <c r="C12" s="310" t="s">
        <v>588</v>
      </c>
      <c r="D12" s="311" t="s">
        <v>7</v>
      </c>
      <c r="E12" s="312">
        <v>0.67</v>
      </c>
      <c r="F12" s="312">
        <v>0.58658728769042201</v>
      </c>
      <c r="G12" s="313">
        <v>0.33</v>
      </c>
      <c r="H12" s="313">
        <v>0.28891612677289441</v>
      </c>
      <c r="I12" s="313">
        <v>0</v>
      </c>
      <c r="J12" s="313">
        <v>0</v>
      </c>
      <c r="K12" s="313">
        <v>1</v>
      </c>
      <c r="L12" s="313">
        <v>0.87550341446331637</v>
      </c>
      <c r="M12" s="314">
        <v>28.571428571428569</v>
      </c>
      <c r="N12" s="313">
        <v>25.014383270380463</v>
      </c>
      <c r="O12" s="321" t="s">
        <v>660</v>
      </c>
      <c r="P12" s="312">
        <v>0.85999999999999988</v>
      </c>
      <c r="Q12" s="313">
        <v>0.75293293643845194</v>
      </c>
      <c r="R12" s="311" t="s">
        <v>68</v>
      </c>
      <c r="S12" s="315" t="s">
        <v>652</v>
      </c>
      <c r="T12" s="315">
        <v>0.67</v>
      </c>
      <c r="U12" s="315">
        <v>0.33</v>
      </c>
      <c r="V12" s="315">
        <v>0</v>
      </c>
      <c r="W12" s="315">
        <v>1.1627906976744187</v>
      </c>
      <c r="X12" s="316">
        <v>2502951.3814906902</v>
      </c>
      <c r="Y12" s="323"/>
      <c r="Z12" s="318">
        <v>2191342.4807307739</v>
      </c>
      <c r="AA12" s="319"/>
    </row>
    <row r="13" spans="1:27" ht="21" x14ac:dyDescent="0.25">
      <c r="A13" s="320" t="s">
        <v>657</v>
      </c>
      <c r="B13" s="309" t="s">
        <v>32</v>
      </c>
      <c r="C13" s="310" t="s">
        <v>588</v>
      </c>
      <c r="D13" s="311" t="s">
        <v>7</v>
      </c>
      <c r="E13" s="312">
        <v>0.93</v>
      </c>
      <c r="F13" s="312">
        <v>0.81421817545088426</v>
      </c>
      <c r="G13" s="313">
        <v>0.34</v>
      </c>
      <c r="H13" s="313">
        <v>0.2976711609175276</v>
      </c>
      <c r="I13" s="313">
        <v>0</v>
      </c>
      <c r="J13" s="313">
        <v>0</v>
      </c>
      <c r="K13" s="313">
        <v>1.27</v>
      </c>
      <c r="L13" s="313">
        <v>1.1118893363684117</v>
      </c>
      <c r="M13" s="314">
        <v>36.285714285714285</v>
      </c>
      <c r="N13" s="313">
        <v>31.768266753383191</v>
      </c>
      <c r="O13" s="321" t="s">
        <v>661</v>
      </c>
      <c r="P13" s="312">
        <v>1.17</v>
      </c>
      <c r="Q13" s="313">
        <v>1.02433899492208</v>
      </c>
      <c r="R13" s="311" t="s">
        <v>59</v>
      </c>
      <c r="S13" s="315" t="s">
        <v>652</v>
      </c>
      <c r="T13" s="315">
        <v>0.73228346456692917</v>
      </c>
      <c r="U13" s="315">
        <v>0.26771653543307089</v>
      </c>
      <c r="V13" s="315">
        <v>0</v>
      </c>
      <c r="W13" s="315">
        <v>1.0854700854700856</v>
      </c>
      <c r="X13" s="316">
        <v>3474245.9474423002</v>
      </c>
      <c r="Y13" s="323"/>
      <c r="Z13" s="318">
        <v>3041714.1896710731</v>
      </c>
      <c r="AA13" s="319">
        <v>244</v>
      </c>
    </row>
    <row r="14" spans="1:27" ht="21" x14ac:dyDescent="0.25">
      <c r="A14" s="320" t="s">
        <v>657</v>
      </c>
      <c r="B14" s="325" t="s">
        <v>571</v>
      </c>
      <c r="C14" s="329" t="s">
        <v>586</v>
      </c>
      <c r="D14" s="328" t="s">
        <v>7</v>
      </c>
      <c r="E14" s="326">
        <v>1.03</v>
      </c>
      <c r="F14" s="326">
        <v>0.90176851689721582</v>
      </c>
      <c r="G14" s="314">
        <v>0.5</v>
      </c>
      <c r="H14" s="314">
        <v>0.43775170723165818</v>
      </c>
      <c r="I14" s="314">
        <v>0.75</v>
      </c>
      <c r="J14" s="314">
        <v>0.65662756084748719</v>
      </c>
      <c r="K14" s="314">
        <v>2.29</v>
      </c>
      <c r="L14" s="313">
        <v>2.0049028191209946</v>
      </c>
      <c r="M14" s="314">
        <v>65.428571428571416</v>
      </c>
      <c r="N14" s="313">
        <v>57.282937689171256</v>
      </c>
      <c r="O14" s="314">
        <v>1.95</v>
      </c>
      <c r="P14" s="314">
        <v>1.95</v>
      </c>
      <c r="Q14" s="313">
        <v>1.7072316582034668</v>
      </c>
      <c r="R14" s="311" t="s">
        <v>65</v>
      </c>
      <c r="S14" s="315" t="s">
        <v>652</v>
      </c>
      <c r="T14" s="315">
        <v>0.44978165938864628</v>
      </c>
      <c r="U14" s="315">
        <v>0.2183406113537118</v>
      </c>
      <c r="V14" s="315">
        <v>0.32751091703056767</v>
      </c>
      <c r="W14" s="315">
        <v>1.1743589743589744</v>
      </c>
      <c r="X14" s="316">
        <v>3847820.7805006201</v>
      </c>
      <c r="Y14" s="323"/>
      <c r="Z14" s="318">
        <v>3368780.2315711956</v>
      </c>
      <c r="AA14" s="319">
        <v>247</v>
      </c>
    </row>
    <row r="15" spans="1:27" ht="31.5" x14ac:dyDescent="0.25">
      <c r="A15" s="320" t="s">
        <v>662</v>
      </c>
      <c r="B15" s="309" t="s">
        <v>568</v>
      </c>
      <c r="C15" s="310" t="s">
        <v>587</v>
      </c>
      <c r="D15" s="311" t="s">
        <v>663</v>
      </c>
      <c r="E15" s="312">
        <v>0.28000000000000003</v>
      </c>
      <c r="F15" s="312">
        <v>0.2451409560497286</v>
      </c>
      <c r="G15" s="314">
        <v>0.54</v>
      </c>
      <c r="H15" s="314">
        <v>0.47277184381019083</v>
      </c>
      <c r="I15" s="314">
        <v>0.53</v>
      </c>
      <c r="J15" s="314">
        <v>0.46401680966555769</v>
      </c>
      <c r="K15" s="314">
        <v>1.34</v>
      </c>
      <c r="L15" s="313">
        <v>1.173174575380844</v>
      </c>
      <c r="M15" s="314">
        <v>38.285714285714285</v>
      </c>
      <c r="N15" s="313">
        <v>33.519273582309822</v>
      </c>
      <c r="O15" s="327" t="s">
        <v>664</v>
      </c>
      <c r="P15" s="326">
        <v>1.4249999999999998</v>
      </c>
      <c r="Q15" s="313">
        <v>1.2475923656102257</v>
      </c>
      <c r="R15" s="328" t="s">
        <v>56</v>
      </c>
      <c r="S15" s="315" t="s">
        <v>652</v>
      </c>
      <c r="T15" s="315">
        <v>0.20895522388059704</v>
      </c>
      <c r="U15" s="315">
        <v>0.40298507462686567</v>
      </c>
      <c r="V15" s="315">
        <v>0.39552238805970147</v>
      </c>
      <c r="W15" s="315">
        <v>0.9403508771929826</v>
      </c>
      <c r="X15" s="316">
        <v>1046009.53256327</v>
      </c>
      <c r="Y15" s="323"/>
      <c r="Z15" s="318">
        <v>915784.91732032027</v>
      </c>
      <c r="AA15" s="319">
        <v>540</v>
      </c>
    </row>
    <row r="16" spans="1:27" ht="52.5" x14ac:dyDescent="0.25">
      <c r="A16" s="320" t="s">
        <v>662</v>
      </c>
      <c r="B16" s="309" t="s">
        <v>665</v>
      </c>
      <c r="C16" s="310" t="s">
        <v>587</v>
      </c>
      <c r="D16" s="311" t="s">
        <v>663</v>
      </c>
      <c r="E16" s="312">
        <v>0.57999999999999996</v>
      </c>
      <c r="F16" s="312">
        <v>0.50779198038872342</v>
      </c>
      <c r="G16" s="314">
        <v>0.05</v>
      </c>
      <c r="H16" s="314">
        <v>4.3775170723165821E-2</v>
      </c>
      <c r="I16" s="314">
        <v>0.56000000000000005</v>
      </c>
      <c r="J16" s="314">
        <v>0.49028191209945721</v>
      </c>
      <c r="K16" s="314">
        <v>1.2</v>
      </c>
      <c r="L16" s="313">
        <v>1.0506040973559796</v>
      </c>
      <c r="M16" s="314">
        <v>34.285714285714285</v>
      </c>
      <c r="N16" s="313">
        <v>30.01725992445656</v>
      </c>
      <c r="O16" s="327" t="s">
        <v>666</v>
      </c>
      <c r="P16" s="326">
        <v>1.2</v>
      </c>
      <c r="Q16" s="313">
        <v>1.0506040973559796</v>
      </c>
      <c r="R16" s="311" t="s">
        <v>68</v>
      </c>
      <c r="S16" s="315" t="s">
        <v>652</v>
      </c>
      <c r="T16" s="315">
        <v>0.48333333333333334</v>
      </c>
      <c r="U16" s="315">
        <v>4.1666666666666671E-2</v>
      </c>
      <c r="V16" s="315">
        <v>0.46666666666666673</v>
      </c>
      <c r="W16" s="315">
        <v>1</v>
      </c>
      <c r="X16" s="316">
        <v>2166734.03173821</v>
      </c>
      <c r="Y16" s="323"/>
      <c r="Z16" s="318">
        <v>1896983.0430206705</v>
      </c>
      <c r="AA16" s="319"/>
    </row>
    <row r="17" spans="1:27" ht="52.5" x14ac:dyDescent="0.25">
      <c r="A17" s="320" t="s">
        <v>662</v>
      </c>
      <c r="B17" s="309" t="s">
        <v>667</v>
      </c>
      <c r="C17" s="310" t="s">
        <v>587</v>
      </c>
      <c r="D17" s="311" t="s">
        <v>663</v>
      </c>
      <c r="E17" s="312">
        <v>0.42</v>
      </c>
      <c r="F17" s="312">
        <v>0.36771143407459284</v>
      </c>
      <c r="G17" s="314">
        <v>0.48</v>
      </c>
      <c r="H17" s="314">
        <v>0.4202416389423918</v>
      </c>
      <c r="I17" s="314">
        <v>0.25</v>
      </c>
      <c r="J17" s="314">
        <v>0.21887585361582909</v>
      </c>
      <c r="K17" s="314">
        <v>1.1499999999999999</v>
      </c>
      <c r="L17" s="313">
        <v>1.0068289266328136</v>
      </c>
      <c r="M17" s="314">
        <v>32.857142857142854</v>
      </c>
      <c r="N17" s="313">
        <v>28.766540760937534</v>
      </c>
      <c r="O17" s="327" t="s">
        <v>668</v>
      </c>
      <c r="P17" s="326">
        <v>1.1499999999999999</v>
      </c>
      <c r="Q17" s="313">
        <v>1.0068289266328136</v>
      </c>
      <c r="R17" s="311" t="s">
        <v>68</v>
      </c>
      <c r="S17" s="315" t="s">
        <v>652</v>
      </c>
      <c r="T17" s="315">
        <v>0.36521739130434783</v>
      </c>
      <c r="U17" s="315">
        <v>0.41739130434782612</v>
      </c>
      <c r="V17" s="315">
        <v>0.21739130434782611</v>
      </c>
      <c r="W17" s="315">
        <v>1</v>
      </c>
      <c r="X17" s="316">
        <v>1569014.29884491</v>
      </c>
      <c r="Y17" s="323"/>
      <c r="Z17" s="318">
        <v>1373677.375980485</v>
      </c>
      <c r="AA17" s="319"/>
    </row>
    <row r="18" spans="1:27" ht="42" x14ac:dyDescent="0.25">
      <c r="A18" s="320" t="s">
        <v>662</v>
      </c>
      <c r="B18" s="309" t="s">
        <v>669</v>
      </c>
      <c r="C18" s="310" t="s">
        <v>587</v>
      </c>
      <c r="D18" s="311" t="s">
        <v>663</v>
      </c>
      <c r="E18" s="312">
        <v>0.35</v>
      </c>
      <c r="F18" s="312">
        <v>0.30642619506216068</v>
      </c>
      <c r="G18" s="314">
        <v>0.28000000000000003</v>
      </c>
      <c r="H18" s="314">
        <v>0.2451409560497286</v>
      </c>
      <c r="I18" s="314">
        <v>0.24</v>
      </c>
      <c r="J18" s="314">
        <v>0.2101208194711959</v>
      </c>
      <c r="K18" s="314">
        <v>0.87</v>
      </c>
      <c r="L18" s="313">
        <v>0.76168797058308524</v>
      </c>
      <c r="M18" s="314">
        <v>24.857142857142854</v>
      </c>
      <c r="N18" s="313">
        <v>21.762513445231004</v>
      </c>
      <c r="O18" s="314">
        <v>0.9</v>
      </c>
      <c r="P18" s="314">
        <v>0.9</v>
      </c>
      <c r="Q18" s="313">
        <v>0.7879530730169847</v>
      </c>
      <c r="R18" s="328" t="s">
        <v>70</v>
      </c>
      <c r="S18" s="315" t="s">
        <v>652</v>
      </c>
      <c r="T18" s="315">
        <v>0.4022988505747126</v>
      </c>
      <c r="U18" s="315">
        <v>0.32183908045977017</v>
      </c>
      <c r="V18" s="315">
        <v>0.27586206896551724</v>
      </c>
      <c r="W18" s="315">
        <v>0.96666666666666667</v>
      </c>
      <c r="X18" s="316">
        <v>1307511.9157040899</v>
      </c>
      <c r="Y18" s="323"/>
      <c r="Z18" s="318">
        <v>1144731.1466504026</v>
      </c>
      <c r="AA18" s="319"/>
    </row>
    <row r="19" spans="1:27" ht="31.5" x14ac:dyDescent="0.25">
      <c r="A19" s="320" t="s">
        <v>662</v>
      </c>
      <c r="B19" s="309" t="s">
        <v>670</v>
      </c>
      <c r="C19" s="310" t="s">
        <v>586</v>
      </c>
      <c r="D19" s="311" t="s">
        <v>663</v>
      </c>
      <c r="E19" s="312">
        <v>1.21</v>
      </c>
      <c r="F19" s="312">
        <v>1.0593591315006128</v>
      </c>
      <c r="G19" s="314">
        <v>0.95</v>
      </c>
      <c r="H19" s="314">
        <v>0.83172824374015042</v>
      </c>
      <c r="I19" s="314">
        <v>0.15</v>
      </c>
      <c r="J19" s="314">
        <v>0.13132551216949745</v>
      </c>
      <c r="K19" s="314">
        <v>2.31</v>
      </c>
      <c r="L19" s="313">
        <v>2.0224128874102609</v>
      </c>
      <c r="M19" s="314">
        <v>66</v>
      </c>
      <c r="N19" s="313">
        <v>57.783225354578875</v>
      </c>
      <c r="O19" s="330" t="s">
        <v>671</v>
      </c>
      <c r="P19" s="326">
        <v>1.56</v>
      </c>
      <c r="Q19" s="313">
        <v>1.3657853265627735</v>
      </c>
      <c r="R19" s="311" t="s">
        <v>59</v>
      </c>
      <c r="S19" s="315" t="s">
        <v>652</v>
      </c>
      <c r="T19" s="315">
        <v>0.52380952380952384</v>
      </c>
      <c r="U19" s="315">
        <v>0.41125541125541121</v>
      </c>
      <c r="V19" s="315">
        <v>6.4935064935064929E-2</v>
      </c>
      <c r="W19" s="315">
        <v>1.4807692307692308</v>
      </c>
      <c r="X19" s="316">
        <v>4520255.48000558</v>
      </c>
      <c r="Y19" s="323"/>
      <c r="Z19" s="318">
        <v>3957499.1069914023</v>
      </c>
      <c r="AA19" s="319">
        <v>244</v>
      </c>
    </row>
    <row r="20" spans="1:27" ht="52.5" x14ac:dyDescent="0.25">
      <c r="A20" s="320" t="s">
        <v>160</v>
      </c>
      <c r="B20" s="309" t="s">
        <v>543</v>
      </c>
      <c r="C20" s="310" t="s">
        <v>10</v>
      </c>
      <c r="D20" s="311" t="s">
        <v>10</v>
      </c>
      <c r="E20" s="312">
        <v>0.57999999999999996</v>
      </c>
      <c r="F20" s="312">
        <v>0.50779198038872297</v>
      </c>
      <c r="G20" s="314">
        <v>0.96</v>
      </c>
      <c r="H20" s="314">
        <v>0.84048327788478361</v>
      </c>
      <c r="I20" s="314">
        <v>1.1100000000000001</v>
      </c>
      <c r="J20" s="314">
        <v>0.97180879005428122</v>
      </c>
      <c r="K20" s="314">
        <v>2.65</v>
      </c>
      <c r="L20" s="313">
        <v>2.320084048327788</v>
      </c>
      <c r="M20" s="314">
        <v>75.714285714285708</v>
      </c>
      <c r="N20" s="313">
        <v>66.288115666508233</v>
      </c>
      <c r="O20" s="327" t="s">
        <v>672</v>
      </c>
      <c r="P20" s="326">
        <v>2.665</v>
      </c>
      <c r="Q20" s="313">
        <v>2.333216599544738</v>
      </c>
      <c r="R20" s="328" t="s">
        <v>56</v>
      </c>
      <c r="S20" s="315" t="s">
        <v>652</v>
      </c>
      <c r="T20" s="315">
        <v>0.21886792452830187</v>
      </c>
      <c r="U20" s="315">
        <v>0.3622641509433962</v>
      </c>
      <c r="V20" s="315">
        <v>0.41886792452830196</v>
      </c>
      <c r="W20" s="315">
        <v>0.99437148217636018</v>
      </c>
      <c r="X20" s="316">
        <v>2166734.03173821</v>
      </c>
      <c r="Y20" s="317"/>
      <c r="Z20" s="318">
        <v>1896983.0430206705</v>
      </c>
      <c r="AA20" s="319">
        <v>269.92</v>
      </c>
    </row>
    <row r="21" spans="1:27" x14ac:dyDescent="0.25">
      <c r="A21" s="320" t="s">
        <v>160</v>
      </c>
      <c r="B21" s="309" t="s">
        <v>544</v>
      </c>
      <c r="C21" s="310" t="s">
        <v>10</v>
      </c>
      <c r="D21" s="311" t="s">
        <v>10</v>
      </c>
      <c r="E21" s="312">
        <v>0.1</v>
      </c>
      <c r="F21" s="312">
        <v>8.7550341446331642E-2</v>
      </c>
      <c r="G21" s="313">
        <v>0.23</v>
      </c>
      <c r="H21" s="313">
        <v>0.20136578532656277</v>
      </c>
      <c r="I21" s="313">
        <v>1.23</v>
      </c>
      <c r="J21" s="313">
        <v>1.0768691997898792</v>
      </c>
      <c r="K21" s="313">
        <v>1.56</v>
      </c>
      <c r="L21" s="313">
        <v>1.3657853265627735</v>
      </c>
      <c r="M21" s="314">
        <v>44.571428571428569</v>
      </c>
      <c r="N21" s="313">
        <v>39.022437901793523</v>
      </c>
      <c r="O21" s="313">
        <v>0.75</v>
      </c>
      <c r="P21" s="313">
        <v>0.75</v>
      </c>
      <c r="Q21" s="313" t="s">
        <v>482</v>
      </c>
      <c r="R21" s="311" t="s">
        <v>71</v>
      </c>
      <c r="S21" s="315" t="s">
        <v>652</v>
      </c>
      <c r="T21" s="315">
        <v>6.4102564102564111E-2</v>
      </c>
      <c r="U21" s="315">
        <v>0.14743589743589744</v>
      </c>
      <c r="V21" s="315">
        <v>0.78846153846153844</v>
      </c>
      <c r="W21" s="315">
        <v>2.08</v>
      </c>
      <c r="X21" s="316">
        <v>373574.83305831201</v>
      </c>
      <c r="Y21" s="317">
        <v>562085.0233740448</v>
      </c>
      <c r="Z21" s="331">
        <v>562085.0233740448</v>
      </c>
      <c r="AA21" s="319">
        <v>119.19000000000001</v>
      </c>
    </row>
    <row r="22" spans="1:27" x14ac:dyDescent="0.25">
      <c r="A22" s="320" t="s">
        <v>160</v>
      </c>
      <c r="B22" s="309" t="s">
        <v>545</v>
      </c>
      <c r="C22" s="310" t="s">
        <v>10</v>
      </c>
      <c r="D22" s="311" t="s">
        <v>10</v>
      </c>
      <c r="E22" s="312">
        <v>0.05</v>
      </c>
      <c r="F22" s="312">
        <v>4.3775170723165821E-2</v>
      </c>
      <c r="G22" s="313">
        <v>0.16</v>
      </c>
      <c r="H22" s="313">
        <v>0.14008054631413061</v>
      </c>
      <c r="I22" s="313">
        <v>1.38</v>
      </c>
      <c r="J22" s="313">
        <v>1.2081947119593763</v>
      </c>
      <c r="K22" s="313">
        <v>1.59</v>
      </c>
      <c r="L22" s="313">
        <v>1.3920504289966731</v>
      </c>
      <c r="M22" s="314">
        <v>45.428571428571423</v>
      </c>
      <c r="N22" s="313">
        <v>39.772869399904934</v>
      </c>
      <c r="O22" s="321" t="s">
        <v>673</v>
      </c>
      <c r="P22" s="312">
        <v>0.74</v>
      </c>
      <c r="Q22" s="313" t="s">
        <v>482</v>
      </c>
      <c r="R22" s="311" t="s">
        <v>71</v>
      </c>
      <c r="S22" s="315" t="s">
        <v>652</v>
      </c>
      <c r="T22" s="315">
        <v>3.1446540880503145E-2</v>
      </c>
      <c r="U22" s="315">
        <v>0.10062893081761005</v>
      </c>
      <c r="V22" s="315">
        <v>0.86792452830188671</v>
      </c>
      <c r="W22" s="315">
        <v>2.1486486486486487</v>
      </c>
      <c r="X22" s="316">
        <v>186787.41652915601</v>
      </c>
      <c r="Y22" s="317">
        <v>395088.6343271326</v>
      </c>
      <c r="Z22" s="331">
        <v>395088.6343271326</v>
      </c>
      <c r="AA22" s="319">
        <v>120.495</v>
      </c>
    </row>
    <row r="23" spans="1:27" x14ac:dyDescent="0.25">
      <c r="A23" s="320" t="s">
        <v>160</v>
      </c>
      <c r="B23" s="309" t="s">
        <v>545</v>
      </c>
      <c r="C23" s="310" t="s">
        <v>10</v>
      </c>
      <c r="D23" s="311" t="s">
        <v>10</v>
      </c>
      <c r="E23" s="312">
        <v>0.05</v>
      </c>
      <c r="F23" s="312">
        <v>4.3775170723165821E-2</v>
      </c>
      <c r="G23" s="313">
        <v>0.16</v>
      </c>
      <c r="H23" s="313">
        <v>0.14008054631413061</v>
      </c>
      <c r="I23" s="313">
        <v>1.38</v>
      </c>
      <c r="J23" s="313">
        <v>1.2081947119593763</v>
      </c>
      <c r="K23" s="313">
        <v>1.59</v>
      </c>
      <c r="L23" s="313">
        <v>1.3920504289966731</v>
      </c>
      <c r="M23" s="314">
        <v>45.428571428571423</v>
      </c>
      <c r="N23" s="313">
        <v>39.772869399904934</v>
      </c>
      <c r="O23" s="321" t="s">
        <v>673</v>
      </c>
      <c r="P23" s="312">
        <v>0.74</v>
      </c>
      <c r="Q23" s="313" t="s">
        <v>482</v>
      </c>
      <c r="R23" s="311" t="s">
        <v>71</v>
      </c>
      <c r="S23" s="315" t="s">
        <v>652</v>
      </c>
      <c r="T23" s="315">
        <v>3.1446540880503145E-2</v>
      </c>
      <c r="U23" s="315">
        <v>0.10062893081761005</v>
      </c>
      <c r="V23" s="315">
        <v>0.86792452830188671</v>
      </c>
      <c r="W23" s="315">
        <v>2.1486486486486487</v>
      </c>
      <c r="X23" s="316">
        <v>186787.41652915601</v>
      </c>
      <c r="Y23" s="317">
        <v>676679.07915665256</v>
      </c>
      <c r="Z23" s="331">
        <v>676679.07915665256</v>
      </c>
      <c r="AA23" s="319">
        <v>121.04900000000001</v>
      </c>
    </row>
    <row r="24" spans="1:27" ht="21" x14ac:dyDescent="0.25">
      <c r="A24" s="320" t="s">
        <v>160</v>
      </c>
      <c r="B24" s="309" t="s">
        <v>546</v>
      </c>
      <c r="C24" s="310" t="s">
        <v>10</v>
      </c>
      <c r="D24" s="311" t="s">
        <v>10</v>
      </c>
      <c r="E24" s="312">
        <v>0.24</v>
      </c>
      <c r="F24" s="312">
        <v>0.2101208194711959</v>
      </c>
      <c r="G24" s="314">
        <v>0.38</v>
      </c>
      <c r="H24" s="314">
        <v>0.33269129749606019</v>
      </c>
      <c r="I24" s="314">
        <v>1.03</v>
      </c>
      <c r="J24" s="314">
        <v>0.90176851689721582</v>
      </c>
      <c r="K24" s="314">
        <v>1.65</v>
      </c>
      <c r="L24" s="313">
        <v>1.4445806338644718</v>
      </c>
      <c r="M24" s="314">
        <v>47.142857142857139</v>
      </c>
      <c r="N24" s="313">
        <v>41.27373239612777</v>
      </c>
      <c r="O24" s="314">
        <v>1.2</v>
      </c>
      <c r="P24" s="314">
        <v>1.2</v>
      </c>
      <c r="Q24" s="313">
        <v>1.0506040973559796</v>
      </c>
      <c r="R24" s="311" t="s">
        <v>62</v>
      </c>
      <c r="S24" s="315" t="s">
        <v>652</v>
      </c>
      <c r="T24" s="315">
        <v>0.14545454545454545</v>
      </c>
      <c r="U24" s="315">
        <v>0.23030303030303031</v>
      </c>
      <c r="V24" s="315">
        <v>0.62424242424242427</v>
      </c>
      <c r="W24" s="315">
        <v>1.375</v>
      </c>
      <c r="X24" s="316">
        <v>896579.59933995001</v>
      </c>
      <c r="Y24" s="317">
        <v>698793.49552411214</v>
      </c>
      <c r="Z24" s="318">
        <v>784958.50056027831</v>
      </c>
      <c r="AA24" s="319">
        <v>2540</v>
      </c>
    </row>
    <row r="25" spans="1:27" ht="21" x14ac:dyDescent="0.25">
      <c r="A25" s="320" t="s">
        <v>160</v>
      </c>
      <c r="B25" s="309" t="s">
        <v>547</v>
      </c>
      <c r="C25" s="310" t="s">
        <v>10</v>
      </c>
      <c r="D25" s="311" t="s">
        <v>10</v>
      </c>
      <c r="E25" s="312">
        <v>0.09</v>
      </c>
      <c r="F25" s="312">
        <v>7.8795307301698467E-2</v>
      </c>
      <c r="G25" s="314">
        <v>0.32</v>
      </c>
      <c r="H25" s="314">
        <v>0.28016109262826122</v>
      </c>
      <c r="I25" s="314">
        <v>0.85</v>
      </c>
      <c r="J25" s="314">
        <v>0.74417790229381886</v>
      </c>
      <c r="K25" s="314">
        <v>1.25</v>
      </c>
      <c r="L25" s="313">
        <v>1.0943792680791453</v>
      </c>
      <c r="M25" s="314">
        <v>35.714285714285708</v>
      </c>
      <c r="N25" s="313">
        <v>31.267979087975579</v>
      </c>
      <c r="O25" s="314">
        <v>0.75</v>
      </c>
      <c r="P25" s="314">
        <v>0.75</v>
      </c>
      <c r="Q25" s="313">
        <v>0.65662756084748719</v>
      </c>
      <c r="R25" s="311" t="s">
        <v>62</v>
      </c>
      <c r="S25" s="315" t="s">
        <v>652</v>
      </c>
      <c r="T25" s="315">
        <v>7.1999999999999995E-2</v>
      </c>
      <c r="U25" s="315">
        <v>0.25600000000000001</v>
      </c>
      <c r="V25" s="315">
        <v>0.67999999999999994</v>
      </c>
      <c r="W25" s="315">
        <v>1.6666666666666667</v>
      </c>
      <c r="X25" s="316">
        <v>336217.34975248098</v>
      </c>
      <c r="Y25" s="317">
        <v>258124.2188519116</v>
      </c>
      <c r="Z25" s="318">
        <v>294359.43771010416</v>
      </c>
      <c r="AA25" s="319">
        <v>2560</v>
      </c>
    </row>
    <row r="26" spans="1:27" ht="31.5" x14ac:dyDescent="0.25">
      <c r="A26" s="320" t="s">
        <v>160</v>
      </c>
      <c r="B26" s="309" t="s">
        <v>548</v>
      </c>
      <c r="C26" s="310" t="s">
        <v>10</v>
      </c>
      <c r="D26" s="311" t="s">
        <v>10</v>
      </c>
      <c r="E26" s="312">
        <v>0.47</v>
      </c>
      <c r="F26" s="312">
        <v>0.41148660479775867</v>
      </c>
      <c r="G26" s="314">
        <v>0.31</v>
      </c>
      <c r="H26" s="314">
        <v>0.27140605848362803</v>
      </c>
      <c r="I26" s="314">
        <v>0.82</v>
      </c>
      <c r="J26" s="314">
        <v>0.71791279985991929</v>
      </c>
      <c r="K26" s="314">
        <v>1.6</v>
      </c>
      <c r="L26" s="313">
        <v>1.4008054631413063</v>
      </c>
      <c r="M26" s="314">
        <v>45.714285714285715</v>
      </c>
      <c r="N26" s="313">
        <v>40.023013232608747</v>
      </c>
      <c r="O26" s="314">
        <v>1.1100000000000001</v>
      </c>
      <c r="P26" s="314">
        <v>1.1100000000000001</v>
      </c>
      <c r="Q26" s="313">
        <v>0.97180879005428122</v>
      </c>
      <c r="R26" s="328" t="s">
        <v>74</v>
      </c>
      <c r="S26" s="315" t="s">
        <v>652</v>
      </c>
      <c r="T26" s="315">
        <v>0.29374999999999996</v>
      </c>
      <c r="U26" s="315">
        <v>0.19374999999999998</v>
      </c>
      <c r="V26" s="315">
        <v>0.51249999999999996</v>
      </c>
      <c r="W26" s="315">
        <v>1.4414414414414414</v>
      </c>
      <c r="X26" s="316">
        <v>1755801.71537406</v>
      </c>
      <c r="Y26" s="323"/>
      <c r="Z26" s="318">
        <v>1537210.3969305374</v>
      </c>
      <c r="AA26" s="319">
        <v>436</v>
      </c>
    </row>
    <row r="27" spans="1:27" ht="31.5" x14ac:dyDescent="0.25">
      <c r="A27" s="320" t="s">
        <v>160</v>
      </c>
      <c r="B27" s="309" t="s">
        <v>549</v>
      </c>
      <c r="C27" s="310" t="s">
        <v>10</v>
      </c>
      <c r="D27" s="311" t="s">
        <v>10</v>
      </c>
      <c r="E27" s="312">
        <v>0.73</v>
      </c>
      <c r="F27" s="312">
        <v>0.63911749255822092</v>
      </c>
      <c r="G27" s="314">
        <v>0.5</v>
      </c>
      <c r="H27" s="314">
        <v>0.43775170723165818</v>
      </c>
      <c r="I27" s="314">
        <v>0.55000000000000004</v>
      </c>
      <c r="J27" s="314">
        <v>0.48152687795482402</v>
      </c>
      <c r="K27" s="314">
        <v>1.79</v>
      </c>
      <c r="L27" s="313">
        <v>1.5671511118893362</v>
      </c>
      <c r="M27" s="314">
        <v>51.142857142857139</v>
      </c>
      <c r="N27" s="313">
        <v>44.775746053981031</v>
      </c>
      <c r="O27" s="314">
        <v>1.62</v>
      </c>
      <c r="P27" s="314">
        <v>1.62</v>
      </c>
      <c r="Q27" s="313">
        <v>1.4183155314305727</v>
      </c>
      <c r="R27" s="328" t="s">
        <v>74</v>
      </c>
      <c r="S27" s="315" t="s">
        <v>652</v>
      </c>
      <c r="T27" s="315">
        <v>0.40782122905027929</v>
      </c>
      <c r="U27" s="315">
        <v>0.27932960893854747</v>
      </c>
      <c r="V27" s="315">
        <v>0.30726256983240224</v>
      </c>
      <c r="W27" s="315">
        <v>1.1049382716049383</v>
      </c>
      <c r="X27" s="316">
        <v>2727096.2813256802</v>
      </c>
      <c r="Y27" s="316"/>
      <c r="Z27" s="318">
        <v>2387582.1058708457</v>
      </c>
      <c r="AA27" s="319">
        <v>307</v>
      </c>
    </row>
    <row r="28" spans="1:27" x14ac:dyDescent="0.25">
      <c r="A28" s="320" t="s">
        <v>160</v>
      </c>
      <c r="B28" s="309" t="s">
        <v>158</v>
      </c>
      <c r="C28" s="310" t="s">
        <v>10</v>
      </c>
      <c r="D28" s="311" t="s">
        <v>10</v>
      </c>
      <c r="E28" s="312" t="s">
        <v>482</v>
      </c>
      <c r="F28" s="312" t="s">
        <v>482</v>
      </c>
      <c r="G28" s="324" t="s">
        <v>482</v>
      </c>
      <c r="H28" s="324" t="s">
        <v>482</v>
      </c>
      <c r="I28" s="324" t="s">
        <v>482</v>
      </c>
      <c r="J28" s="324" t="s">
        <v>482</v>
      </c>
      <c r="K28" s="324">
        <v>0.93</v>
      </c>
      <c r="L28" s="313">
        <v>0.81421817545088426</v>
      </c>
      <c r="M28" s="314">
        <v>26.571428571428569</v>
      </c>
      <c r="N28" s="313">
        <v>23.263376441453833</v>
      </c>
      <c r="O28" s="313">
        <v>0.96</v>
      </c>
      <c r="P28" s="313">
        <v>0.96</v>
      </c>
      <c r="Q28" s="313">
        <v>0.84048327788478361</v>
      </c>
      <c r="R28" s="311" t="s">
        <v>77</v>
      </c>
      <c r="S28" s="315" t="s">
        <v>652</v>
      </c>
      <c r="T28" s="315" t="e">
        <v>#VALUE!</v>
      </c>
      <c r="U28" s="315" t="e">
        <v>#VALUE!</v>
      </c>
      <c r="V28" s="315" t="e">
        <v>#VALUE!</v>
      </c>
      <c r="W28" s="315">
        <v>0.96875000000000011</v>
      </c>
      <c r="X28" s="316" t="s">
        <v>482</v>
      </c>
      <c r="Y28" s="316"/>
      <c r="Z28" s="332" t="s">
        <v>482</v>
      </c>
      <c r="AA28" s="319">
        <v>500</v>
      </c>
    </row>
    <row r="29" spans="1:27" x14ac:dyDescent="0.25">
      <c r="A29" s="320" t="s">
        <v>160</v>
      </c>
      <c r="B29" s="309" t="s">
        <v>256</v>
      </c>
      <c r="C29" s="310" t="s">
        <v>10</v>
      </c>
      <c r="D29" s="311" t="s">
        <v>10</v>
      </c>
      <c r="E29" s="312" t="s">
        <v>482</v>
      </c>
      <c r="F29" s="312" t="s">
        <v>482</v>
      </c>
      <c r="G29" s="324" t="s">
        <v>482</v>
      </c>
      <c r="H29" s="324" t="s">
        <v>482</v>
      </c>
      <c r="I29" s="324" t="s">
        <v>482</v>
      </c>
      <c r="J29" s="324" t="s">
        <v>482</v>
      </c>
      <c r="K29" s="324">
        <v>0.97</v>
      </c>
      <c r="L29" s="313">
        <v>0.8492383120294168</v>
      </c>
      <c r="M29" s="314">
        <v>27.714285714285712</v>
      </c>
      <c r="N29" s="313">
        <v>24.263951772269049</v>
      </c>
      <c r="O29" s="313">
        <v>1.01</v>
      </c>
      <c r="P29" s="313">
        <v>1.01</v>
      </c>
      <c r="Q29" s="313">
        <v>0.88425844860794944</v>
      </c>
      <c r="R29" s="311" t="s">
        <v>77</v>
      </c>
      <c r="S29" s="315" t="s">
        <v>652</v>
      </c>
      <c r="T29" s="315" t="e">
        <v>#VALUE!</v>
      </c>
      <c r="U29" s="315" t="e">
        <v>#VALUE!</v>
      </c>
      <c r="V29" s="315" t="e">
        <v>#VALUE!</v>
      </c>
      <c r="W29" s="315">
        <v>0.96039603960396036</v>
      </c>
      <c r="X29" s="316" t="s">
        <v>482</v>
      </c>
      <c r="Y29" s="316"/>
      <c r="Z29" s="332" t="s">
        <v>482</v>
      </c>
      <c r="AA29" s="319">
        <v>500</v>
      </c>
    </row>
    <row r="30" spans="1:27" x14ac:dyDescent="0.25">
      <c r="A30" s="320" t="s">
        <v>160</v>
      </c>
      <c r="B30" s="309" t="s">
        <v>550</v>
      </c>
      <c r="C30" s="310" t="s">
        <v>10</v>
      </c>
      <c r="D30" s="311" t="s">
        <v>10</v>
      </c>
      <c r="E30" s="312" t="s">
        <v>482</v>
      </c>
      <c r="F30" s="312" t="s">
        <v>482</v>
      </c>
      <c r="G30" s="324" t="s">
        <v>482</v>
      </c>
      <c r="H30" s="324" t="s">
        <v>482</v>
      </c>
      <c r="I30" s="324" t="s">
        <v>482</v>
      </c>
      <c r="J30" s="324" t="s">
        <v>482</v>
      </c>
      <c r="K30" s="324">
        <v>1.34</v>
      </c>
      <c r="L30" s="313">
        <v>1.173174575380844</v>
      </c>
      <c r="M30" s="314">
        <v>38.285714285714285</v>
      </c>
      <c r="N30" s="313">
        <v>33.519273582309822</v>
      </c>
      <c r="O30" s="313">
        <v>1.38</v>
      </c>
      <c r="P30" s="313">
        <v>1.38</v>
      </c>
      <c r="Q30" s="313">
        <v>1.2081947119593763</v>
      </c>
      <c r="R30" s="311" t="s">
        <v>77</v>
      </c>
      <c r="S30" s="315" t="s">
        <v>652</v>
      </c>
      <c r="T30" s="315" t="e">
        <v>#VALUE!</v>
      </c>
      <c r="U30" s="315" t="e">
        <v>#VALUE!</v>
      </c>
      <c r="V30" s="315" t="e">
        <v>#VALUE!</v>
      </c>
      <c r="W30" s="315">
        <v>0.97101449275362328</v>
      </c>
      <c r="X30" s="316" t="s">
        <v>482</v>
      </c>
      <c r="Y30" s="316"/>
      <c r="Z30" s="332" t="s">
        <v>482</v>
      </c>
      <c r="AA30" s="319">
        <v>500</v>
      </c>
    </row>
    <row r="31" spans="1:27" ht="21" x14ac:dyDescent="0.25">
      <c r="A31" s="320" t="s">
        <v>160</v>
      </c>
      <c r="B31" s="309" t="s">
        <v>551</v>
      </c>
      <c r="C31" s="310" t="s">
        <v>10</v>
      </c>
      <c r="D31" s="311" t="s">
        <v>10</v>
      </c>
      <c r="E31" s="312">
        <v>0.75</v>
      </c>
      <c r="F31" s="312">
        <v>0.65662756084748719</v>
      </c>
      <c r="G31" s="314">
        <v>0.83</v>
      </c>
      <c r="H31" s="314">
        <v>0.72666783400455248</v>
      </c>
      <c r="I31" s="314">
        <v>0.94</v>
      </c>
      <c r="J31" s="314">
        <v>0.82297320959551734</v>
      </c>
      <c r="K31" s="314">
        <v>2.52</v>
      </c>
      <c r="L31" s="313">
        <v>2.206268604447557</v>
      </c>
      <c r="M31" s="314">
        <v>72</v>
      </c>
      <c r="N31" s="313">
        <v>63.036245841358777</v>
      </c>
      <c r="O31" s="314">
        <v>2.0299999999999998</v>
      </c>
      <c r="P31" s="314">
        <v>2.0299999999999998</v>
      </c>
      <c r="Q31" s="313">
        <v>1.7772719313605321</v>
      </c>
      <c r="R31" s="311" t="s">
        <v>65</v>
      </c>
      <c r="S31" s="315" t="s">
        <v>652</v>
      </c>
      <c r="T31" s="315">
        <v>0.29761904761904762</v>
      </c>
      <c r="U31" s="315">
        <v>0.32936507936507936</v>
      </c>
      <c r="V31" s="315">
        <v>0.37301587301587297</v>
      </c>
      <c r="W31" s="315">
        <v>1.2413793103448276</v>
      </c>
      <c r="X31" s="316">
        <v>2801811.2479373398</v>
      </c>
      <c r="Y31" s="316"/>
      <c r="Z31" s="318">
        <v>2452995.3142508664</v>
      </c>
      <c r="AA31" s="319">
        <v>210</v>
      </c>
    </row>
    <row r="32" spans="1:27" ht="31.5" x14ac:dyDescent="0.25">
      <c r="A32" s="333" t="s">
        <v>674</v>
      </c>
      <c r="B32" s="309" t="s">
        <v>675</v>
      </c>
      <c r="C32" s="310" t="s">
        <v>663</v>
      </c>
      <c r="D32" s="311" t="s">
        <v>663</v>
      </c>
      <c r="E32" s="312">
        <v>0.64</v>
      </c>
      <c r="F32" s="312">
        <v>0.56032218525652244</v>
      </c>
      <c r="G32" s="314">
        <v>0.17</v>
      </c>
      <c r="H32" s="314">
        <v>0.1488355804587638</v>
      </c>
      <c r="I32" s="314">
        <v>0.69</v>
      </c>
      <c r="J32" s="314">
        <v>0.60409735597968817</v>
      </c>
      <c r="K32" s="314">
        <v>1.5</v>
      </c>
      <c r="L32" s="313">
        <v>1.3132551216949744</v>
      </c>
      <c r="M32" s="314">
        <v>42.857142857142854</v>
      </c>
      <c r="N32" s="313">
        <v>37.521574905570695</v>
      </c>
      <c r="O32" s="327" t="s">
        <v>676</v>
      </c>
      <c r="P32" s="326">
        <v>1.53</v>
      </c>
      <c r="Q32" s="313">
        <v>1.3395202241288739</v>
      </c>
      <c r="R32" s="311" t="s">
        <v>59</v>
      </c>
      <c r="S32" s="315" t="s">
        <v>652</v>
      </c>
      <c r="T32" s="315">
        <v>0.42666666666666669</v>
      </c>
      <c r="U32" s="315">
        <v>0.11333333333333334</v>
      </c>
      <c r="V32" s="315">
        <v>0.45999999999999996</v>
      </c>
      <c r="W32" s="315">
        <v>0.98039215686274506</v>
      </c>
      <c r="X32" s="316">
        <v>2390878.9315732</v>
      </c>
      <c r="Y32" s="316"/>
      <c r="Z32" s="318">
        <v>2093222.6681607424</v>
      </c>
      <c r="AA32" s="319">
        <v>244</v>
      </c>
    </row>
    <row r="33" spans="1:27" ht="31.5" x14ac:dyDescent="0.25">
      <c r="A33" s="333" t="s">
        <v>674</v>
      </c>
      <c r="B33" s="309" t="s">
        <v>677</v>
      </c>
      <c r="C33" s="310" t="s">
        <v>663</v>
      </c>
      <c r="D33" s="311" t="s">
        <v>663</v>
      </c>
      <c r="E33" s="312">
        <v>0.56000000000000005</v>
      </c>
      <c r="F33" s="312">
        <v>0.49028191209945721</v>
      </c>
      <c r="G33" s="314">
        <v>0.26</v>
      </c>
      <c r="H33" s="314">
        <v>0.22763088776046225</v>
      </c>
      <c r="I33" s="314">
        <v>1.02</v>
      </c>
      <c r="J33" s="314">
        <v>0.89301348275258263</v>
      </c>
      <c r="K33" s="314">
        <v>1.84</v>
      </c>
      <c r="L33" s="313">
        <v>1.6109262826125021</v>
      </c>
      <c r="M33" s="314">
        <v>52.571428571428569</v>
      </c>
      <c r="N33" s="313">
        <v>46.026465217500053</v>
      </c>
      <c r="O33" s="330" t="s">
        <v>678</v>
      </c>
      <c r="P33" s="326">
        <v>1.7000000000000002</v>
      </c>
      <c r="Q33" s="313">
        <v>1.4883558045876379</v>
      </c>
      <c r="R33" s="311" t="s">
        <v>59</v>
      </c>
      <c r="S33" s="315" t="s">
        <v>652</v>
      </c>
      <c r="T33" s="315">
        <v>0.30434782608695654</v>
      </c>
      <c r="U33" s="315">
        <v>0.14130434782608695</v>
      </c>
      <c r="V33" s="315">
        <v>0.55434782608695654</v>
      </c>
      <c r="W33" s="315">
        <v>1.0823529411764705</v>
      </c>
      <c r="X33" s="316">
        <v>2092019.0651265499</v>
      </c>
      <c r="Y33" s="316"/>
      <c r="Z33" s="318">
        <v>1831569.8346406494</v>
      </c>
      <c r="AA33" s="319">
        <v>244</v>
      </c>
    </row>
    <row r="34" spans="1:27" ht="31.5" x14ac:dyDescent="0.25">
      <c r="A34" s="333" t="s">
        <v>674</v>
      </c>
      <c r="B34" s="309" t="s">
        <v>679</v>
      </c>
      <c r="C34" s="310" t="s">
        <v>663</v>
      </c>
      <c r="D34" s="311" t="s">
        <v>663</v>
      </c>
      <c r="E34" s="312">
        <v>1.26</v>
      </c>
      <c r="F34" s="312">
        <v>1.1031343022237785</v>
      </c>
      <c r="G34" s="314">
        <v>0.71</v>
      </c>
      <c r="H34" s="314">
        <v>0.62160742426895454</v>
      </c>
      <c r="I34" s="314">
        <v>0.46</v>
      </c>
      <c r="J34" s="314">
        <v>0.40273157065312554</v>
      </c>
      <c r="K34" s="314">
        <v>2.4300000000000002</v>
      </c>
      <c r="L34" s="313">
        <v>2.1274732971458588</v>
      </c>
      <c r="M34" s="314">
        <v>69.428571428571431</v>
      </c>
      <c r="N34" s="313">
        <v>60.784951347024538</v>
      </c>
      <c r="O34" s="327" t="s">
        <v>680</v>
      </c>
      <c r="P34" s="326">
        <v>2.54</v>
      </c>
      <c r="Q34" s="313">
        <v>2.2237786727368234</v>
      </c>
      <c r="R34" s="311" t="s">
        <v>59</v>
      </c>
      <c r="S34" s="315" t="s">
        <v>652</v>
      </c>
      <c r="T34" s="315">
        <v>0.51851851851851849</v>
      </c>
      <c r="U34" s="315">
        <v>0.29218106995884768</v>
      </c>
      <c r="V34" s="315">
        <v>0.18930041152263374</v>
      </c>
      <c r="W34" s="315">
        <v>0.95669291338582685</v>
      </c>
      <c r="X34" s="316">
        <v>4707042.8965347297</v>
      </c>
      <c r="Y34" s="316"/>
      <c r="Z34" s="318">
        <v>4121032.1279414543</v>
      </c>
      <c r="AA34" s="319">
        <v>244</v>
      </c>
    </row>
    <row r="35" spans="1:27" ht="31.5" x14ac:dyDescent="0.25">
      <c r="A35" s="333" t="s">
        <v>674</v>
      </c>
      <c r="B35" s="309" t="s">
        <v>681</v>
      </c>
      <c r="C35" s="310" t="s">
        <v>663</v>
      </c>
      <c r="D35" s="311" t="s">
        <v>663</v>
      </c>
      <c r="E35" s="312">
        <v>0.76</v>
      </c>
      <c r="F35" s="312">
        <v>0.66538259499212038</v>
      </c>
      <c r="G35" s="314">
        <v>0.53</v>
      </c>
      <c r="H35" s="314">
        <v>0.46401680966555769</v>
      </c>
      <c r="I35" s="314">
        <v>0.75</v>
      </c>
      <c r="J35" s="314">
        <v>0.65662756084748719</v>
      </c>
      <c r="K35" s="314">
        <v>2.0499999999999998</v>
      </c>
      <c r="L35" s="313">
        <v>1.7947819996497982</v>
      </c>
      <c r="M35" s="314">
        <v>58.571428571428562</v>
      </c>
      <c r="N35" s="313">
        <v>51.279485704279949</v>
      </c>
      <c r="O35" s="314">
        <v>1.99</v>
      </c>
      <c r="P35" s="314">
        <v>1.99</v>
      </c>
      <c r="Q35" s="313">
        <v>1.7422517947819995</v>
      </c>
      <c r="R35" s="311" t="s">
        <v>65</v>
      </c>
      <c r="S35" s="315" t="s">
        <v>652</v>
      </c>
      <c r="T35" s="315">
        <v>0.37073170731707322</v>
      </c>
      <c r="U35" s="315">
        <v>0.25853658536585372</v>
      </c>
      <c r="V35" s="315">
        <v>0.36585365853658541</v>
      </c>
      <c r="W35" s="315">
        <v>1.0301507537688441</v>
      </c>
      <c r="X35" s="316">
        <v>2839168.7312431699</v>
      </c>
      <c r="Y35" s="316"/>
      <c r="Z35" s="318">
        <v>2485701.918440877</v>
      </c>
      <c r="AA35" s="319">
        <v>215</v>
      </c>
    </row>
    <row r="36" spans="1:27" ht="31.5" x14ac:dyDescent="0.25">
      <c r="A36" s="320" t="s">
        <v>682</v>
      </c>
      <c r="B36" s="325" t="s">
        <v>683</v>
      </c>
      <c r="C36" s="310" t="s">
        <v>663</v>
      </c>
      <c r="D36" s="311" t="s">
        <v>663</v>
      </c>
      <c r="E36" s="326">
        <v>0.51</v>
      </c>
      <c r="F36" s="326">
        <v>0.44650674137629132</v>
      </c>
      <c r="G36" s="314">
        <v>0.24</v>
      </c>
      <c r="H36" s="314">
        <v>0.2101208194711959</v>
      </c>
      <c r="I36" s="314">
        <v>0.47</v>
      </c>
      <c r="J36" s="314">
        <v>0.41148660479775867</v>
      </c>
      <c r="K36" s="314">
        <v>1.21</v>
      </c>
      <c r="L36" s="313">
        <v>1.0593591315006128</v>
      </c>
      <c r="M36" s="314">
        <v>34.571428571428569</v>
      </c>
      <c r="N36" s="313">
        <v>30.267403757160363</v>
      </c>
      <c r="O36" s="327" t="s">
        <v>684</v>
      </c>
      <c r="P36" s="326">
        <v>0.61499999999999999</v>
      </c>
      <c r="Q36" s="313">
        <v>0.53843459989493958</v>
      </c>
      <c r="R36" s="311" t="s">
        <v>80</v>
      </c>
      <c r="S36" s="315" t="s">
        <v>652</v>
      </c>
      <c r="T36" s="315">
        <v>0.42148760330578516</v>
      </c>
      <c r="U36" s="315">
        <v>0.19834710743801653</v>
      </c>
      <c r="V36" s="315">
        <v>0.38842975206611569</v>
      </c>
      <c r="W36" s="315">
        <v>1.967479674796748</v>
      </c>
      <c r="X36" s="316">
        <v>1905231.6485973899</v>
      </c>
      <c r="Y36" s="316"/>
      <c r="Z36" s="318">
        <v>1668036.8136905881</v>
      </c>
      <c r="AA36" s="319"/>
    </row>
    <row r="37" spans="1:27" x14ac:dyDescent="0.25">
      <c r="A37" s="320"/>
      <c r="B37" s="325" t="s">
        <v>179</v>
      </c>
      <c r="C37" s="310" t="s">
        <v>663</v>
      </c>
      <c r="D37" s="311" t="s">
        <v>663</v>
      </c>
      <c r="E37" s="326">
        <v>0.72</v>
      </c>
      <c r="F37" s="326">
        <v>0.63036245841358773</v>
      </c>
      <c r="G37" s="314">
        <v>0.11</v>
      </c>
      <c r="H37" s="314">
        <v>9.630537559096479E-2</v>
      </c>
      <c r="I37" s="314">
        <v>0.69</v>
      </c>
      <c r="J37" s="314">
        <v>0.60409735597968817</v>
      </c>
      <c r="K37" s="314">
        <v>1.52</v>
      </c>
      <c r="L37" s="313">
        <v>1.3307651899842408</v>
      </c>
      <c r="M37" s="314">
        <v>43.428571428571423</v>
      </c>
      <c r="N37" s="313">
        <v>38.021862570978307</v>
      </c>
      <c r="O37" s="330" t="s">
        <v>685</v>
      </c>
      <c r="P37" s="326">
        <v>0.8600000000000001</v>
      </c>
      <c r="Q37" s="313">
        <v>0.75293293643845216</v>
      </c>
      <c r="R37" s="311" t="s">
        <v>80</v>
      </c>
      <c r="S37" s="315" t="s">
        <v>652</v>
      </c>
      <c r="T37" s="315">
        <v>0.47368421052631576</v>
      </c>
      <c r="U37" s="315">
        <v>7.2368421052631582E-2</v>
      </c>
      <c r="V37" s="315">
        <v>0.4539473684210526</v>
      </c>
      <c r="W37" s="315">
        <v>1.7674418604651161</v>
      </c>
      <c r="X37" s="316">
        <v>2689738.7980198502</v>
      </c>
      <c r="Y37" s="316"/>
      <c r="Z37" s="318">
        <v>2354875.5016808352</v>
      </c>
      <c r="AA37" s="319"/>
    </row>
    <row r="38" spans="1:27" x14ac:dyDescent="0.25">
      <c r="A38" s="320"/>
      <c r="B38" s="325" t="s">
        <v>686</v>
      </c>
      <c r="C38" s="310" t="s">
        <v>663</v>
      </c>
      <c r="D38" s="311" t="s">
        <v>663</v>
      </c>
      <c r="E38" s="326">
        <v>1.08</v>
      </c>
      <c r="F38" s="326">
        <v>0.94554368762038166</v>
      </c>
      <c r="G38" s="314">
        <v>0.4</v>
      </c>
      <c r="H38" s="314">
        <v>0.35020136578532657</v>
      </c>
      <c r="I38" s="314">
        <v>1.1000000000000001</v>
      </c>
      <c r="J38" s="314">
        <v>0.96305375590964803</v>
      </c>
      <c r="K38" s="314">
        <v>2.59</v>
      </c>
      <c r="L38" s="313">
        <v>2.2675538434599893</v>
      </c>
      <c r="M38" s="314">
        <v>73.999999999999986</v>
      </c>
      <c r="N38" s="313">
        <v>64.787252670285397</v>
      </c>
      <c r="O38" s="314">
        <v>1.18</v>
      </c>
      <c r="P38" s="314">
        <v>1.18</v>
      </c>
      <c r="Q38" s="313">
        <v>1.0330940290667132</v>
      </c>
      <c r="R38" s="311" t="s">
        <v>80</v>
      </c>
      <c r="S38" s="315" t="s">
        <v>652</v>
      </c>
      <c r="T38" s="315">
        <v>0.41698841698841704</v>
      </c>
      <c r="U38" s="315">
        <v>0.15444015444015446</v>
      </c>
      <c r="V38" s="315">
        <v>0.42471042471042475</v>
      </c>
      <c r="W38" s="315">
        <v>2.1949152542372881</v>
      </c>
      <c r="X38" s="316">
        <v>4034608.1970297699</v>
      </c>
      <c r="Y38" s="316"/>
      <c r="Z38" s="318">
        <v>3532313.2525212481</v>
      </c>
      <c r="AA38" s="319"/>
    </row>
    <row r="39" spans="1:27" ht="31.5" x14ac:dyDescent="0.25">
      <c r="A39" s="320" t="s">
        <v>687</v>
      </c>
      <c r="B39" s="309" t="s">
        <v>688</v>
      </c>
      <c r="C39" s="310" t="s">
        <v>663</v>
      </c>
      <c r="D39" s="311" t="s">
        <v>663</v>
      </c>
      <c r="E39" s="312">
        <v>0.28000000000000003</v>
      </c>
      <c r="F39" s="312">
        <v>0.2451409560497286</v>
      </c>
      <c r="G39" s="314">
        <v>0.15</v>
      </c>
      <c r="H39" s="314">
        <v>0.13132551216949745</v>
      </c>
      <c r="I39" s="314">
        <v>2.85</v>
      </c>
      <c r="J39" s="314">
        <v>2.4951847312204518</v>
      </c>
      <c r="K39" s="314">
        <v>3.28</v>
      </c>
      <c r="L39" s="313">
        <v>2.8716511994396772</v>
      </c>
      <c r="M39" s="314">
        <v>93.714285714285694</v>
      </c>
      <c r="N39" s="313">
        <v>82.047177126847913</v>
      </c>
      <c r="O39" s="314">
        <v>2.58</v>
      </c>
      <c r="P39" s="314">
        <v>2.58</v>
      </c>
      <c r="Q39" s="313">
        <v>2.2587988093153561</v>
      </c>
      <c r="R39" s="311" t="s">
        <v>62</v>
      </c>
      <c r="S39" s="315" t="s">
        <v>652</v>
      </c>
      <c r="T39" s="315">
        <v>8.5365853658536592E-2</v>
      </c>
      <c r="U39" s="315">
        <v>4.573170731707317E-2</v>
      </c>
      <c r="V39" s="315">
        <v>0.86890243902439035</v>
      </c>
      <c r="W39" s="315">
        <v>1.2713178294573642</v>
      </c>
      <c r="X39" s="316">
        <v>1046009.53256327</v>
      </c>
      <c r="Y39" s="316"/>
      <c r="Z39" s="318">
        <v>915784.91732032027</v>
      </c>
      <c r="AA39" s="319"/>
    </row>
    <row r="40" spans="1:27" ht="31.5" x14ac:dyDescent="0.25">
      <c r="A40" s="320" t="s">
        <v>687</v>
      </c>
      <c r="B40" s="325" t="s">
        <v>689</v>
      </c>
      <c r="C40" s="310" t="s">
        <v>663</v>
      </c>
      <c r="D40" s="311" t="s">
        <v>663</v>
      </c>
      <c r="E40" s="326">
        <v>0.28000000000000003</v>
      </c>
      <c r="F40" s="326">
        <v>0.2451409560497286</v>
      </c>
      <c r="G40" s="314">
        <v>0.15</v>
      </c>
      <c r="H40" s="314">
        <v>0.13132551216949745</v>
      </c>
      <c r="I40" s="314">
        <v>2.2400000000000002</v>
      </c>
      <c r="J40" s="314">
        <v>1.9611276483978288</v>
      </c>
      <c r="K40" s="314">
        <v>2.67</v>
      </c>
      <c r="L40" s="313">
        <v>2.3375941166170544</v>
      </c>
      <c r="M40" s="314">
        <v>76.285714285714278</v>
      </c>
      <c r="N40" s="313">
        <v>66.788403331915845</v>
      </c>
      <c r="O40" s="314">
        <v>1.97</v>
      </c>
      <c r="P40" s="314">
        <v>1.97</v>
      </c>
      <c r="Q40" s="313">
        <v>1.7247417264927332</v>
      </c>
      <c r="R40" s="311" t="s">
        <v>62</v>
      </c>
      <c r="S40" s="315" t="s">
        <v>652</v>
      </c>
      <c r="T40" s="315">
        <v>0.10486891385767791</v>
      </c>
      <c r="U40" s="315">
        <v>5.6179775280898875E-2</v>
      </c>
      <c r="V40" s="315">
        <v>0.83895131086142327</v>
      </c>
      <c r="W40" s="315">
        <v>1.3553299492385786</v>
      </c>
      <c r="X40" s="316">
        <v>1046009.53256327</v>
      </c>
      <c r="Y40" s="316"/>
      <c r="Z40" s="318">
        <v>915784.91732032027</v>
      </c>
      <c r="AA40" s="319"/>
    </row>
    <row r="41" spans="1:27" ht="31.5" x14ac:dyDescent="0.25">
      <c r="A41" s="320" t="s">
        <v>687</v>
      </c>
      <c r="B41" s="325" t="s">
        <v>690</v>
      </c>
      <c r="C41" s="310" t="s">
        <v>663</v>
      </c>
      <c r="D41" s="311" t="s">
        <v>663</v>
      </c>
      <c r="E41" s="326">
        <v>0.42</v>
      </c>
      <c r="F41" s="326">
        <v>0.36771143407459284</v>
      </c>
      <c r="G41" s="314">
        <v>0.43</v>
      </c>
      <c r="H41" s="314">
        <v>0.37646646821922602</v>
      </c>
      <c r="I41" s="314">
        <v>1.1399999999999999</v>
      </c>
      <c r="J41" s="314">
        <v>0.99807389248818057</v>
      </c>
      <c r="K41" s="314">
        <v>2</v>
      </c>
      <c r="L41" s="313">
        <v>1.7510068289266327</v>
      </c>
      <c r="M41" s="314">
        <v>57.142857142857139</v>
      </c>
      <c r="N41" s="313">
        <v>50.028766540760927</v>
      </c>
      <c r="O41" s="314">
        <v>1.52</v>
      </c>
      <c r="P41" s="314">
        <v>1.52</v>
      </c>
      <c r="Q41" s="313">
        <v>1.3307651899842408</v>
      </c>
      <c r="R41" s="311" t="s">
        <v>62</v>
      </c>
      <c r="S41" s="315" t="s">
        <v>652</v>
      </c>
      <c r="T41" s="315">
        <v>0.21</v>
      </c>
      <c r="U41" s="315">
        <v>0.215</v>
      </c>
      <c r="V41" s="315">
        <v>0.56999999999999995</v>
      </c>
      <c r="W41" s="315">
        <v>1.3157894736842106</v>
      </c>
      <c r="X41" s="316">
        <v>1569014.29884491</v>
      </c>
      <c r="Y41" s="316"/>
      <c r="Z41" s="318">
        <v>1373677.375980485</v>
      </c>
      <c r="AA41" s="319"/>
    </row>
    <row r="42" spans="1:27" ht="31.5" x14ac:dyDescent="0.25">
      <c r="A42" s="320" t="s">
        <v>687</v>
      </c>
      <c r="B42" s="325" t="s">
        <v>691</v>
      </c>
      <c r="C42" s="310" t="s">
        <v>663</v>
      </c>
      <c r="D42" s="311" t="s">
        <v>663</v>
      </c>
      <c r="E42" s="326">
        <v>0.4</v>
      </c>
      <c r="F42" s="326">
        <v>0.35020136578532657</v>
      </c>
      <c r="G42" s="314">
        <v>0.48</v>
      </c>
      <c r="H42" s="314">
        <v>0.4202416389423918</v>
      </c>
      <c r="I42" s="314">
        <v>0.51</v>
      </c>
      <c r="J42" s="314">
        <v>0.44650674137629132</v>
      </c>
      <c r="K42" s="314">
        <v>1.38</v>
      </c>
      <c r="L42" s="313">
        <v>1.2081947119593763</v>
      </c>
      <c r="M42" s="314">
        <v>39.428571428571423</v>
      </c>
      <c r="N42" s="313">
        <v>34.519848913125038</v>
      </c>
      <c r="O42" s="314">
        <v>0.95</v>
      </c>
      <c r="P42" s="314">
        <v>0.95</v>
      </c>
      <c r="Q42" s="313">
        <v>0.83172824374015042</v>
      </c>
      <c r="R42" s="311" t="s">
        <v>62</v>
      </c>
      <c r="S42" s="315" t="s">
        <v>652</v>
      </c>
      <c r="T42" s="315">
        <v>0.28985507246376818</v>
      </c>
      <c r="U42" s="315">
        <v>0.34782608695652173</v>
      </c>
      <c r="V42" s="315">
        <v>0.36956521739130438</v>
      </c>
      <c r="W42" s="315">
        <v>1.4526315789473683</v>
      </c>
      <c r="X42" s="316">
        <v>1494299.3322332499</v>
      </c>
      <c r="Y42" s="316"/>
      <c r="Z42" s="318">
        <v>1308264.1676004638</v>
      </c>
      <c r="AA42" s="319"/>
    </row>
    <row r="43" spans="1:27" ht="42" x14ac:dyDescent="0.25">
      <c r="A43" s="334" t="s">
        <v>692</v>
      </c>
      <c r="B43" s="309" t="s">
        <v>568</v>
      </c>
      <c r="C43" s="310" t="s">
        <v>663</v>
      </c>
      <c r="D43" s="311" t="s">
        <v>663</v>
      </c>
      <c r="E43" s="312">
        <v>0.23</v>
      </c>
      <c r="F43" s="312">
        <v>0.20136578532656277</v>
      </c>
      <c r="G43" s="314">
        <v>0.38</v>
      </c>
      <c r="H43" s="314">
        <v>0.33269129749606019</v>
      </c>
      <c r="I43" s="314">
        <v>0.39</v>
      </c>
      <c r="J43" s="314">
        <v>0.34144633164069338</v>
      </c>
      <c r="K43" s="314">
        <v>1</v>
      </c>
      <c r="L43" s="313">
        <v>0.87550341446331637</v>
      </c>
      <c r="M43" s="314">
        <v>28.571428571428569</v>
      </c>
      <c r="N43" s="313">
        <v>25.014383270380463</v>
      </c>
      <c r="O43" s="327" t="s">
        <v>693</v>
      </c>
      <c r="P43" s="326">
        <v>0.995</v>
      </c>
      <c r="Q43" s="313">
        <v>0.87112589739099977</v>
      </c>
      <c r="R43" s="328" t="s">
        <v>56</v>
      </c>
      <c r="S43" s="315" t="s">
        <v>652</v>
      </c>
      <c r="T43" s="315">
        <v>0.23</v>
      </c>
      <c r="U43" s="315">
        <v>0.38</v>
      </c>
      <c r="V43" s="315">
        <v>0.39</v>
      </c>
      <c r="W43" s="315">
        <v>1.0050251256281406</v>
      </c>
      <c r="X43" s="316">
        <v>859222.11603411904</v>
      </c>
      <c r="Y43" s="316"/>
      <c r="Z43" s="318">
        <v>752251.89637026703</v>
      </c>
      <c r="AA43" s="319">
        <v>720</v>
      </c>
    </row>
    <row r="44" spans="1:27" ht="42" x14ac:dyDescent="0.25">
      <c r="A44" s="334" t="s">
        <v>692</v>
      </c>
      <c r="B44" s="309" t="s">
        <v>694</v>
      </c>
      <c r="C44" s="310" t="s">
        <v>663</v>
      </c>
      <c r="D44" s="311" t="s">
        <v>663</v>
      </c>
      <c r="E44" s="312">
        <v>2.41</v>
      </c>
      <c r="F44" s="312">
        <v>2.1099632288565924</v>
      </c>
      <c r="G44" s="313">
        <v>1.06</v>
      </c>
      <c r="H44" s="313">
        <v>0.92803361933111539</v>
      </c>
      <c r="I44" s="313">
        <v>0.7</v>
      </c>
      <c r="J44" s="313">
        <v>0.61285239012432136</v>
      </c>
      <c r="K44" s="313">
        <v>4.17</v>
      </c>
      <c r="L44" s="313">
        <v>3.6508492383120292</v>
      </c>
      <c r="M44" s="314">
        <v>119.14285714285712</v>
      </c>
      <c r="N44" s="313">
        <v>104.30997823748653</v>
      </c>
      <c r="O44" s="321" t="s">
        <v>695</v>
      </c>
      <c r="P44" s="312">
        <v>2.835</v>
      </c>
      <c r="Q44" s="313">
        <v>2.4820521800035018</v>
      </c>
      <c r="R44" s="311" t="s">
        <v>59</v>
      </c>
      <c r="S44" s="315" t="s">
        <v>652</v>
      </c>
      <c r="T44" s="315">
        <v>0.57793764988009599</v>
      </c>
      <c r="U44" s="315">
        <v>0.25419664268585135</v>
      </c>
      <c r="V44" s="315">
        <v>0.16786570743405274</v>
      </c>
      <c r="W44" s="315">
        <v>1.4708994708994709</v>
      </c>
      <c r="X44" s="316">
        <v>9003153.4767053295</v>
      </c>
      <c r="Y44" s="316"/>
      <c r="Z44" s="318">
        <v>7882291.6097927932</v>
      </c>
      <c r="AA44" s="319">
        <v>244</v>
      </c>
    </row>
    <row r="45" spans="1:27" ht="31.5" x14ac:dyDescent="0.25">
      <c r="A45" s="334" t="s">
        <v>696</v>
      </c>
      <c r="B45" s="309" t="s">
        <v>568</v>
      </c>
      <c r="C45" s="310" t="s">
        <v>663</v>
      </c>
      <c r="D45" s="311" t="s">
        <v>663</v>
      </c>
      <c r="E45" s="312">
        <v>0.91</v>
      </c>
      <c r="F45" s="312">
        <v>0.79670810716161788</v>
      </c>
      <c r="G45" s="314">
        <v>2.34</v>
      </c>
      <c r="H45" s="314">
        <v>2.0486779898441601</v>
      </c>
      <c r="I45" s="314">
        <v>1.82</v>
      </c>
      <c r="J45" s="314">
        <v>1.5934162143232358</v>
      </c>
      <c r="K45" s="314">
        <v>5.07</v>
      </c>
      <c r="L45" s="313">
        <v>4.438802311329014</v>
      </c>
      <c r="M45" s="314">
        <v>144.85714285714286</v>
      </c>
      <c r="N45" s="313">
        <v>126.82292318082897</v>
      </c>
      <c r="O45" s="327" t="s">
        <v>697</v>
      </c>
      <c r="P45" s="326">
        <v>5.0649999999999995</v>
      </c>
      <c r="Q45" s="313">
        <v>4.4344247942566968</v>
      </c>
      <c r="R45" s="328" t="s">
        <v>56</v>
      </c>
      <c r="S45" s="315" t="s">
        <v>652</v>
      </c>
      <c r="T45" s="315">
        <v>0.17948717948717949</v>
      </c>
      <c r="U45" s="315">
        <v>0.46153846153846151</v>
      </c>
      <c r="V45" s="315">
        <v>0.35897435897435898</v>
      </c>
      <c r="W45" s="315">
        <v>1.0009871668311947</v>
      </c>
      <c r="X45" s="316">
        <v>3399530.9808306401</v>
      </c>
      <c r="Y45" s="316"/>
      <c r="Z45" s="318">
        <v>2976300.981291052</v>
      </c>
      <c r="AA45" s="319">
        <v>241.4</v>
      </c>
    </row>
    <row r="46" spans="1:27" ht="42" x14ac:dyDescent="0.25">
      <c r="A46" s="335" t="s">
        <v>698</v>
      </c>
      <c r="B46" s="325" t="s">
        <v>694</v>
      </c>
      <c r="C46" s="310" t="s">
        <v>663</v>
      </c>
      <c r="D46" s="311" t="s">
        <v>663</v>
      </c>
      <c r="E46" s="326">
        <v>1.38</v>
      </c>
      <c r="F46" s="326">
        <v>1.2081947119593763</v>
      </c>
      <c r="G46" s="314">
        <v>0.78</v>
      </c>
      <c r="H46" s="314">
        <v>0.68289266328138676</v>
      </c>
      <c r="I46" s="314">
        <v>0.38</v>
      </c>
      <c r="J46" s="314">
        <v>0.33269129749606019</v>
      </c>
      <c r="K46" s="314">
        <v>2.54</v>
      </c>
      <c r="L46" s="313">
        <v>2.2237786727368234</v>
      </c>
      <c r="M46" s="314">
        <v>72.571428571428569</v>
      </c>
      <c r="N46" s="313">
        <v>63.536533506766382</v>
      </c>
      <c r="O46" s="314">
        <v>1.73</v>
      </c>
      <c r="P46" s="314">
        <v>1.73</v>
      </c>
      <c r="Q46" s="313">
        <v>1.5146209070215373</v>
      </c>
      <c r="R46" s="311" t="s">
        <v>59</v>
      </c>
      <c r="S46" s="315" t="s">
        <v>652</v>
      </c>
      <c r="T46" s="315">
        <v>0.54330708661417315</v>
      </c>
      <c r="U46" s="315">
        <v>0.30708661417322836</v>
      </c>
      <c r="V46" s="315">
        <v>0.14960629921259844</v>
      </c>
      <c r="W46" s="315">
        <v>1.4682080924855492</v>
      </c>
      <c r="X46" s="316">
        <v>5155332.6962047098</v>
      </c>
      <c r="Y46" s="316"/>
      <c r="Z46" s="318">
        <v>4513511.3782215985</v>
      </c>
      <c r="AA46" s="319">
        <v>244</v>
      </c>
    </row>
    <row r="47" spans="1:27" ht="31.5" x14ac:dyDescent="0.25">
      <c r="A47" s="320" t="s">
        <v>699</v>
      </c>
      <c r="B47" s="309" t="s">
        <v>700</v>
      </c>
      <c r="C47" s="310" t="s">
        <v>663</v>
      </c>
      <c r="D47" s="311" t="s">
        <v>663</v>
      </c>
      <c r="E47" s="312" t="s">
        <v>482</v>
      </c>
      <c r="F47" s="312" t="s">
        <v>482</v>
      </c>
      <c r="G47" s="336" t="s">
        <v>482</v>
      </c>
      <c r="H47" s="336" t="s">
        <v>482</v>
      </c>
      <c r="I47" s="336" t="s">
        <v>482</v>
      </c>
      <c r="J47" s="336" t="s">
        <v>482</v>
      </c>
      <c r="K47" s="336" t="s">
        <v>482</v>
      </c>
      <c r="L47" s="313" t="e">
        <v>#VALUE!</v>
      </c>
      <c r="M47" s="314"/>
      <c r="N47" s="313">
        <v>0</v>
      </c>
      <c r="O47" s="314">
        <v>3.81</v>
      </c>
      <c r="P47" s="314">
        <v>3.81</v>
      </c>
      <c r="Q47" s="313">
        <v>3.3356680091052353</v>
      </c>
      <c r="R47" s="328" t="s">
        <v>82</v>
      </c>
      <c r="S47" s="315" t="s">
        <v>652</v>
      </c>
      <c r="T47" s="315" t="e">
        <v>#VALUE!</v>
      </c>
      <c r="U47" s="315" t="e">
        <v>#VALUE!</v>
      </c>
      <c r="V47" s="315" t="e">
        <v>#VALUE!</v>
      </c>
      <c r="W47" s="315" t="e">
        <v>#VALUE!</v>
      </c>
      <c r="X47" s="316" t="s">
        <v>482</v>
      </c>
      <c r="Y47" s="316"/>
      <c r="Z47" s="332" t="s">
        <v>482</v>
      </c>
      <c r="AA47" s="319"/>
    </row>
    <row r="48" spans="1:27" ht="31.5" x14ac:dyDescent="0.25">
      <c r="A48" s="320" t="s">
        <v>699</v>
      </c>
      <c r="B48" s="309" t="s">
        <v>701</v>
      </c>
      <c r="C48" s="310" t="s">
        <v>663</v>
      </c>
      <c r="D48" s="311" t="s">
        <v>663</v>
      </c>
      <c r="E48" s="312" t="s">
        <v>482</v>
      </c>
      <c r="F48" s="312" t="s">
        <v>482</v>
      </c>
      <c r="G48" s="336" t="s">
        <v>482</v>
      </c>
      <c r="H48" s="336" t="s">
        <v>482</v>
      </c>
      <c r="I48" s="336" t="s">
        <v>482</v>
      </c>
      <c r="J48" s="336" t="s">
        <v>482</v>
      </c>
      <c r="K48" s="336" t="s">
        <v>482</v>
      </c>
      <c r="L48" s="313" t="e">
        <v>#VALUE!</v>
      </c>
      <c r="M48" s="314"/>
      <c r="N48" s="313">
        <v>0</v>
      </c>
      <c r="O48" s="314">
        <v>3.46</v>
      </c>
      <c r="P48" s="314">
        <v>3.46</v>
      </c>
      <c r="Q48" s="313">
        <v>3.0292418140430746</v>
      </c>
      <c r="R48" s="328" t="s">
        <v>82</v>
      </c>
      <c r="S48" s="315" t="s">
        <v>652</v>
      </c>
      <c r="T48" s="315" t="e">
        <v>#VALUE!</v>
      </c>
      <c r="U48" s="315" t="e">
        <v>#VALUE!</v>
      </c>
      <c r="V48" s="315" t="e">
        <v>#VALUE!</v>
      </c>
      <c r="W48" s="315" t="e">
        <v>#VALUE!</v>
      </c>
      <c r="X48" s="316" t="s">
        <v>482</v>
      </c>
      <c r="Y48" s="316"/>
      <c r="Z48" s="332" t="s">
        <v>482</v>
      </c>
      <c r="AA48" s="319"/>
    </row>
    <row r="49" spans="1:27" x14ac:dyDescent="0.25">
      <c r="A49" s="337" t="s">
        <v>475</v>
      </c>
      <c r="B49" s="338" t="s">
        <v>221</v>
      </c>
      <c r="C49" s="339" t="s">
        <v>812</v>
      </c>
      <c r="D49" s="340" t="s">
        <v>8</v>
      </c>
      <c r="E49" s="341">
        <v>0.37715691339564106</v>
      </c>
      <c r="F49" s="341">
        <v>0.33020216546632902</v>
      </c>
      <c r="G49" s="341">
        <v>0.11704869726071057</v>
      </c>
      <c r="H49" s="341">
        <v>0.10247653411023512</v>
      </c>
      <c r="I49" s="341">
        <v>0.76731923759803167</v>
      </c>
      <c r="J49" s="341">
        <v>0.67179061250046546</v>
      </c>
      <c r="K49" s="341">
        <v>1.2615248482543833</v>
      </c>
      <c r="L49" s="342">
        <v>1.1044693120770295</v>
      </c>
      <c r="M49" s="343">
        <v>36.002421468447011</v>
      </c>
      <c r="N49" s="342">
        <v>31.520242924572759</v>
      </c>
      <c r="O49" s="341">
        <v>1.2615248482543833</v>
      </c>
      <c r="P49" s="341">
        <v>1.2615248482543833</v>
      </c>
      <c r="Q49" s="342">
        <v>1.1044693120770295</v>
      </c>
      <c r="R49" s="340" t="s">
        <v>85</v>
      </c>
      <c r="S49" s="344" t="s">
        <v>702</v>
      </c>
      <c r="T49" s="344">
        <v>0.298969072164949</v>
      </c>
      <c r="U49" s="344">
        <v>9.278350515463489E-2</v>
      </c>
      <c r="V49" s="344">
        <v>0.60824742268041609</v>
      </c>
      <c r="W49" s="344">
        <v>1</v>
      </c>
      <c r="X49" s="345">
        <v>1064024.8168066801</v>
      </c>
      <c r="Y49" s="346">
        <v>276426.90888362238</v>
      </c>
      <c r="Z49" s="345">
        <v>1064024.8168066801</v>
      </c>
      <c r="AA49" s="347">
        <v>504.10958904109594</v>
      </c>
    </row>
    <row r="50" spans="1:27" x14ac:dyDescent="0.25">
      <c r="A50" s="337" t="s">
        <v>475</v>
      </c>
      <c r="B50" s="338" t="s">
        <v>477</v>
      </c>
      <c r="C50" s="339" t="s">
        <v>812</v>
      </c>
      <c r="D50" s="340" t="s">
        <v>8</v>
      </c>
      <c r="E50" s="341">
        <v>0.37715691339564106</v>
      </c>
      <c r="F50" s="341">
        <v>0.33020216546632902</v>
      </c>
      <c r="G50" s="341">
        <v>0.14305951887420629</v>
      </c>
      <c r="H50" s="341">
        <v>0.12524909724584685</v>
      </c>
      <c r="I50" s="341">
        <v>0.65027054033731535</v>
      </c>
      <c r="J50" s="341">
        <v>0.5693140783902253</v>
      </c>
      <c r="K50" s="341">
        <v>1.1704869726071627</v>
      </c>
      <c r="L50" s="342">
        <v>1.0247653411024011</v>
      </c>
      <c r="M50" s="343">
        <v>33.404308578971538</v>
      </c>
      <c r="N50" s="342">
        <v>29.245586218675832</v>
      </c>
      <c r="O50" s="341">
        <v>1.1704869726071627</v>
      </c>
      <c r="P50" s="341">
        <v>1.1704869726071627</v>
      </c>
      <c r="Q50" s="342">
        <v>1.0247653411024011</v>
      </c>
      <c r="R50" s="340" t="s">
        <v>85</v>
      </c>
      <c r="S50" s="344" t="s">
        <v>702</v>
      </c>
      <c r="T50" s="344">
        <v>0.32222222222222202</v>
      </c>
      <c r="U50" s="344">
        <v>0.12222222222222009</v>
      </c>
      <c r="V50" s="344">
        <v>0.55555555555555791</v>
      </c>
      <c r="W50" s="344">
        <v>1</v>
      </c>
      <c r="X50" s="345">
        <v>1064024.8168066801</v>
      </c>
      <c r="Y50" s="346">
        <v>276426.90888362238</v>
      </c>
      <c r="Z50" s="345">
        <v>1064024.8168066801</v>
      </c>
      <c r="AA50" s="347">
        <v>504.10958904109594</v>
      </c>
    </row>
    <row r="51" spans="1:27" x14ac:dyDescent="0.25">
      <c r="A51" s="337" t="s">
        <v>475</v>
      </c>
      <c r="B51" s="338" t="s">
        <v>478</v>
      </c>
      <c r="C51" s="339" t="s">
        <v>812</v>
      </c>
      <c r="D51" s="340" t="s">
        <v>8</v>
      </c>
      <c r="E51" s="341">
        <v>0.36415150258889489</v>
      </c>
      <c r="F51" s="341">
        <v>0.31881588389852467</v>
      </c>
      <c r="G51" s="341">
        <v>0.14305951887420965</v>
      </c>
      <c r="H51" s="341">
        <v>0.12524909724584979</v>
      </c>
      <c r="I51" s="341">
        <v>0.61125430791707602</v>
      </c>
      <c r="J51" s="341">
        <v>0.53515523368681139</v>
      </c>
      <c r="K51" s="341">
        <v>1.1184653293801805</v>
      </c>
      <c r="L51" s="342">
        <v>0.97922021483118582</v>
      </c>
      <c r="M51" s="343">
        <v>31.919672642128443</v>
      </c>
      <c r="N51" s="342">
        <v>27.945782386734759</v>
      </c>
      <c r="O51" s="341">
        <v>1.1184653293801805</v>
      </c>
      <c r="P51" s="341">
        <v>1.1184653293801805</v>
      </c>
      <c r="Q51" s="342">
        <v>0.97922021483118582</v>
      </c>
      <c r="R51" s="340" t="s">
        <v>85</v>
      </c>
      <c r="S51" s="344" t="s">
        <v>702</v>
      </c>
      <c r="T51" s="344">
        <v>0.32558139534883623</v>
      </c>
      <c r="U51" s="344">
        <v>0.1279069767441865</v>
      </c>
      <c r="V51" s="344">
        <v>0.54651162790697727</v>
      </c>
      <c r="W51" s="344">
        <v>1</v>
      </c>
      <c r="X51" s="345">
        <v>1008023.51065896</v>
      </c>
      <c r="Y51" s="346">
        <v>276426.90888362238</v>
      </c>
      <c r="Z51" s="345">
        <v>1008023.51065896</v>
      </c>
      <c r="AA51" s="347">
        <v>504.10958904109594</v>
      </c>
    </row>
    <row r="52" spans="1:27" x14ac:dyDescent="0.25">
      <c r="A52" s="337" t="s">
        <v>475</v>
      </c>
      <c r="B52" s="338" t="s">
        <v>124</v>
      </c>
      <c r="C52" s="339" t="s">
        <v>499</v>
      </c>
      <c r="D52" s="340" t="s">
        <v>8</v>
      </c>
      <c r="E52" s="341">
        <v>0.37715691339564106</v>
      </c>
      <c r="F52" s="341">
        <v>0.33020216546632902</v>
      </c>
      <c r="G52" s="341">
        <v>0.10404328645397024</v>
      </c>
      <c r="H52" s="341">
        <v>9.1090252542435843E-2</v>
      </c>
      <c r="I52" s="341">
        <v>0.53322184307659792</v>
      </c>
      <c r="J52" s="341">
        <v>0.46683754427998414</v>
      </c>
      <c r="K52" s="341">
        <v>1.0144220429262092</v>
      </c>
      <c r="L52" s="342">
        <v>0.88812996228874896</v>
      </c>
      <c r="M52" s="343">
        <v>28.950400768442044</v>
      </c>
      <c r="N52" s="342">
        <v>25.346174722852428</v>
      </c>
      <c r="O52" s="348">
        <v>1.0144220429262092</v>
      </c>
      <c r="P52" s="341">
        <v>1.0144220429262092</v>
      </c>
      <c r="Q52" s="342">
        <v>0.88812996228874896</v>
      </c>
      <c r="R52" s="340" t="s">
        <v>85</v>
      </c>
      <c r="S52" s="344" t="s">
        <v>702</v>
      </c>
      <c r="T52" s="344">
        <v>0.37179487179487097</v>
      </c>
      <c r="U52" s="344">
        <v>0.10256410256410263</v>
      </c>
      <c r="V52" s="344">
        <v>0.52564102564102644</v>
      </c>
      <c r="W52" s="344">
        <v>1</v>
      </c>
      <c r="X52" s="345">
        <v>1064024.8168066801</v>
      </c>
      <c r="Y52" s="346">
        <v>276426.90888362238</v>
      </c>
      <c r="Z52" s="345">
        <v>1064024.8168066801</v>
      </c>
      <c r="AA52" s="347">
        <v>504.10958904109594</v>
      </c>
    </row>
    <row r="53" spans="1:27" x14ac:dyDescent="0.25">
      <c r="A53" s="337" t="s">
        <v>657</v>
      </c>
      <c r="B53" s="338" t="s">
        <v>32</v>
      </c>
      <c r="C53" s="339" t="s">
        <v>588</v>
      </c>
      <c r="D53" s="340" t="s">
        <v>7</v>
      </c>
      <c r="E53" s="341">
        <v>1.2485194374476325</v>
      </c>
      <c r="F53" s="341">
        <v>1.0930830305092212</v>
      </c>
      <c r="G53" s="341">
        <v>0.31525115795552994</v>
      </c>
      <c r="H53" s="341">
        <v>0.27600346520358071</v>
      </c>
      <c r="I53" s="341">
        <v>8.0922556131954738E-4</v>
      </c>
      <c r="J53" s="341">
        <v>7.0847974200625747E-4</v>
      </c>
      <c r="K53" s="341">
        <v>1.5645798209644819</v>
      </c>
      <c r="L53" s="342">
        <v>1.369794975454808</v>
      </c>
      <c r="M53" s="343">
        <v>44.651250598301424</v>
      </c>
      <c r="N53" s="342">
        <v>39.092322358870092</v>
      </c>
      <c r="O53" s="348">
        <v>1.5645798209644819</v>
      </c>
      <c r="P53" s="341">
        <v>1.5645798209644819</v>
      </c>
      <c r="Q53" s="342">
        <v>1.369794975454808</v>
      </c>
      <c r="R53" s="340" t="s">
        <v>85</v>
      </c>
      <c r="S53" s="344" t="s">
        <v>702</v>
      </c>
      <c r="T53" s="344">
        <v>0.79799024678586572</v>
      </c>
      <c r="U53" s="344">
        <v>0.20149253731343283</v>
      </c>
      <c r="V53" s="344">
        <v>5.1721590070150721E-4</v>
      </c>
      <c r="W53" s="344">
        <v>1</v>
      </c>
      <c r="X53" s="345">
        <v>3500081.6342325201</v>
      </c>
      <c r="Y53" s="346">
        <v>1180363.0780797016</v>
      </c>
      <c r="Z53" s="345">
        <v>3500081.6342325201</v>
      </c>
      <c r="AA53" s="347">
        <v>504.10958904109594</v>
      </c>
    </row>
    <row r="54" spans="1:27" x14ac:dyDescent="0.25">
      <c r="A54" s="337" t="s">
        <v>657</v>
      </c>
      <c r="B54" s="338" t="s">
        <v>554</v>
      </c>
      <c r="C54" s="339" t="s">
        <v>587</v>
      </c>
      <c r="D54" s="340" t="s">
        <v>7</v>
      </c>
      <c r="E54" s="341">
        <v>1.2615248482543835</v>
      </c>
      <c r="F54" s="341">
        <v>1.1044693120770297</v>
      </c>
      <c r="G54" s="341">
        <v>0.3121298593619139</v>
      </c>
      <c r="H54" s="341">
        <v>0.27327075762731035</v>
      </c>
      <c r="I54" s="341">
        <v>0.49420561065635482</v>
      </c>
      <c r="J54" s="341">
        <v>0.43267869957656696</v>
      </c>
      <c r="K54" s="341">
        <v>2.0678603182726523</v>
      </c>
      <c r="L54" s="342">
        <v>1.8104187692809071</v>
      </c>
      <c r="M54" s="343">
        <v>59.014278489516336</v>
      </c>
      <c r="N54" s="342">
        <v>51.667202319660596</v>
      </c>
      <c r="O54" s="348">
        <v>2.0678603182726523</v>
      </c>
      <c r="P54" s="341">
        <v>2.0678603182726523</v>
      </c>
      <c r="Q54" s="342">
        <v>1.8104187692809071</v>
      </c>
      <c r="R54" s="340" t="s">
        <v>85</v>
      </c>
      <c r="S54" s="344" t="s">
        <v>702</v>
      </c>
      <c r="T54" s="344">
        <v>0.61006289308176009</v>
      </c>
      <c r="U54" s="344">
        <v>0.15094339622641709</v>
      </c>
      <c r="V54" s="344">
        <v>0.23899371069182276</v>
      </c>
      <c r="W54" s="344">
        <v>1</v>
      </c>
      <c r="X54" s="345">
        <v>3528082.28730638</v>
      </c>
      <c r="Y54" s="346">
        <v>1180363.0780797016</v>
      </c>
      <c r="Z54" s="345">
        <v>3528082.28730638</v>
      </c>
      <c r="AA54" s="347">
        <v>504.10958904109594</v>
      </c>
    </row>
    <row r="55" spans="1:27" x14ac:dyDescent="0.25">
      <c r="A55" s="337" t="s">
        <v>657</v>
      </c>
      <c r="B55" s="338" t="s">
        <v>555</v>
      </c>
      <c r="C55" s="339" t="s">
        <v>586</v>
      </c>
      <c r="D55" s="340" t="s">
        <v>7</v>
      </c>
      <c r="E55" s="341">
        <v>1.2615248482543835</v>
      </c>
      <c r="F55" s="341">
        <v>1.1044693120770297</v>
      </c>
      <c r="G55" s="341">
        <v>0.3121298593619139</v>
      </c>
      <c r="H55" s="341">
        <v>0.27327075762731035</v>
      </c>
      <c r="I55" s="341">
        <v>0.61125430791707702</v>
      </c>
      <c r="J55" s="341">
        <v>0.53515523368681228</v>
      </c>
      <c r="K55" s="341">
        <v>2.1849090155333744</v>
      </c>
      <c r="L55" s="342">
        <v>1.9128953033911522</v>
      </c>
      <c r="M55" s="343">
        <v>62.354709347413646</v>
      </c>
      <c r="N55" s="342">
        <v>54.591760941528314</v>
      </c>
      <c r="O55" s="348">
        <v>2.1849090155333744</v>
      </c>
      <c r="P55" s="341">
        <v>2.1849090155333744</v>
      </c>
      <c r="Q55" s="342">
        <v>1.9128953033911522</v>
      </c>
      <c r="R55" s="340" t="s">
        <v>85</v>
      </c>
      <c r="S55" s="344" t="s">
        <v>702</v>
      </c>
      <c r="T55" s="344">
        <v>0.57738095238095</v>
      </c>
      <c r="U55" s="344">
        <v>0.14285714285714435</v>
      </c>
      <c r="V55" s="344">
        <v>0.27976190476190571</v>
      </c>
      <c r="W55" s="344">
        <v>1</v>
      </c>
      <c r="X55" s="345">
        <v>3528082.28730638</v>
      </c>
      <c r="Y55" s="346">
        <v>1180363.0780797016</v>
      </c>
      <c r="Z55" s="345">
        <v>3528082.28730638</v>
      </c>
      <c r="AA55" s="347">
        <v>504.10958904109594</v>
      </c>
    </row>
    <row r="56" spans="1:27" x14ac:dyDescent="0.25">
      <c r="A56" s="337" t="s">
        <v>699</v>
      </c>
      <c r="B56" s="338" t="s">
        <v>703</v>
      </c>
      <c r="C56" s="339" t="s">
        <v>663</v>
      </c>
      <c r="D56" s="340" t="s">
        <v>663</v>
      </c>
      <c r="E56" s="341">
        <v>0.6242597187238208</v>
      </c>
      <c r="F56" s="341">
        <v>0.54654151525461458</v>
      </c>
      <c r="G56" s="341">
        <v>0.19508116210119145</v>
      </c>
      <c r="H56" s="341">
        <v>0.1707942235170648</v>
      </c>
      <c r="I56" s="341">
        <v>1.9638170318186876</v>
      </c>
      <c r="J56" s="341">
        <v>1.7193285167384762</v>
      </c>
      <c r="K56" s="341">
        <v>2.7831579126436998</v>
      </c>
      <c r="L56" s="342">
        <v>2.4366642555101556</v>
      </c>
      <c r="M56" s="343">
        <v>79.428022621110145</v>
      </c>
      <c r="N56" s="342">
        <v>69.539505008851464</v>
      </c>
      <c r="O56" s="348">
        <v>2.7831579126436998</v>
      </c>
      <c r="P56" s="341">
        <v>2.7831579126436998</v>
      </c>
      <c r="Q56" s="342">
        <v>2.4366642555101556</v>
      </c>
      <c r="R56" s="340" t="s">
        <v>85</v>
      </c>
      <c r="S56" s="344" t="s">
        <v>702</v>
      </c>
      <c r="T56" s="344">
        <v>0.22429906542056086</v>
      </c>
      <c r="U56" s="344">
        <v>7.0093457943924353E-2</v>
      </c>
      <c r="V56" s="344">
        <v>0.70560747663551482</v>
      </c>
      <c r="W56" s="344">
        <v>1</v>
      </c>
      <c r="X56" s="345">
        <v>1736040.4905793299</v>
      </c>
      <c r="Y56" s="346" t="s">
        <v>482</v>
      </c>
      <c r="Z56" s="345">
        <v>1736040.4905793299</v>
      </c>
      <c r="AA56" s="347">
        <v>504.10958904109594</v>
      </c>
    </row>
    <row r="57" spans="1:27" x14ac:dyDescent="0.25">
      <c r="A57" s="337" t="s">
        <v>160</v>
      </c>
      <c r="B57" s="338" t="s">
        <v>552</v>
      </c>
      <c r="C57" s="339" t="s">
        <v>10</v>
      </c>
      <c r="D57" s="340" t="s">
        <v>10</v>
      </c>
      <c r="E57" s="341">
        <v>1.0924545077666872</v>
      </c>
      <c r="F57" s="341">
        <v>0.95644765169557611</v>
      </c>
      <c r="G57" s="341">
        <v>0.2080865729079428</v>
      </c>
      <c r="H57" s="341">
        <v>0.18218050508487374</v>
      </c>
      <c r="I57" s="341">
        <v>0.65027054033731169</v>
      </c>
      <c r="J57" s="341">
        <v>0.56931407839022208</v>
      </c>
      <c r="K57" s="341">
        <v>1.9508116210119417</v>
      </c>
      <c r="L57" s="342">
        <v>1.7079422351706719</v>
      </c>
      <c r="M57" s="343">
        <v>55.673847631619338</v>
      </c>
      <c r="N57" s="342">
        <v>48.742643697793149</v>
      </c>
      <c r="O57" s="348">
        <v>1.9508116210119417</v>
      </c>
      <c r="P57" s="341">
        <v>1.9508116210119417</v>
      </c>
      <c r="Q57" s="342">
        <v>1.7079422351706719</v>
      </c>
      <c r="R57" s="340" t="s">
        <v>85</v>
      </c>
      <c r="S57" s="344" t="s">
        <v>702</v>
      </c>
      <c r="T57" s="344">
        <v>0.55999999999999994</v>
      </c>
      <c r="U57" s="344">
        <v>0.10666666666666787</v>
      </c>
      <c r="V57" s="344">
        <v>0.3333333333333322</v>
      </c>
      <c r="W57" s="344">
        <v>1</v>
      </c>
      <c r="X57" s="345">
        <v>3052071.1850507502</v>
      </c>
      <c r="Y57" s="346">
        <v>716288.70550135733</v>
      </c>
      <c r="Z57" s="345">
        <v>3052071.1850507502</v>
      </c>
      <c r="AA57" s="347">
        <v>504.10958904109594</v>
      </c>
    </row>
    <row r="58" spans="1:27" x14ac:dyDescent="0.25">
      <c r="A58" s="337" t="s">
        <v>160</v>
      </c>
      <c r="B58" s="338" t="s">
        <v>553</v>
      </c>
      <c r="C58" s="339" t="s">
        <v>10</v>
      </c>
      <c r="D58" s="340" t="s">
        <v>10</v>
      </c>
      <c r="E58" s="341">
        <v>0.8323462916317611</v>
      </c>
      <c r="F58" s="341">
        <v>0.72872202033948608</v>
      </c>
      <c r="G58" s="341">
        <v>0.23409739452143255</v>
      </c>
      <c r="H58" s="341">
        <v>0.20495306822048023</v>
      </c>
      <c r="I58" s="341">
        <v>0.85835711324524655</v>
      </c>
      <c r="J58" s="341">
        <v>0.7514945834750888</v>
      </c>
      <c r="K58" s="341">
        <v>1.9248007993984402</v>
      </c>
      <c r="L58" s="342">
        <v>1.6851696720350551</v>
      </c>
      <c r="M58" s="343">
        <v>54.931529663197495</v>
      </c>
      <c r="N58" s="342">
        <v>48.092741781822355</v>
      </c>
      <c r="O58" s="348">
        <v>1.9248007993984402</v>
      </c>
      <c r="P58" s="341">
        <v>1.9248007993984402</v>
      </c>
      <c r="Q58" s="342">
        <v>1.6851696720350551</v>
      </c>
      <c r="R58" s="340" t="s">
        <v>85</v>
      </c>
      <c r="S58" s="344" t="s">
        <v>702</v>
      </c>
      <c r="T58" s="344">
        <v>0.43243243243243407</v>
      </c>
      <c r="U58" s="344">
        <v>0.12162162162162195</v>
      </c>
      <c r="V58" s="344">
        <v>0.445945945945944</v>
      </c>
      <c r="W58" s="344">
        <v>1</v>
      </c>
      <c r="X58" s="345">
        <v>2324054.2051303899</v>
      </c>
      <c r="Y58" s="346">
        <v>716288.70550135733</v>
      </c>
      <c r="Z58" s="345">
        <v>2324054.2051303899</v>
      </c>
      <c r="AA58" s="347">
        <v>504.10958904109594</v>
      </c>
    </row>
    <row r="59" spans="1:27" x14ac:dyDescent="0.25">
      <c r="A59" s="337" t="s">
        <v>160</v>
      </c>
      <c r="B59" s="338" t="s">
        <v>554</v>
      </c>
      <c r="C59" s="339" t="s">
        <v>10</v>
      </c>
      <c r="D59" s="340" t="s">
        <v>10</v>
      </c>
      <c r="E59" s="341">
        <v>2.2889523019873455</v>
      </c>
      <c r="F59" s="341">
        <v>2.0039855559335891</v>
      </c>
      <c r="G59" s="341">
        <v>2.6010821613501663E-2</v>
      </c>
      <c r="H59" s="341">
        <v>2.2772563135616933E-2</v>
      </c>
      <c r="I59" s="341">
        <v>0.44218396742936344</v>
      </c>
      <c r="J59" s="341">
        <v>0.38713357330534354</v>
      </c>
      <c r="K59" s="341">
        <v>2.7571470910302103</v>
      </c>
      <c r="L59" s="342">
        <v>2.4138916923745493</v>
      </c>
      <c r="M59" s="343">
        <v>78.685704652688642</v>
      </c>
      <c r="N59" s="342">
        <v>68.889603092880961</v>
      </c>
      <c r="O59" s="348">
        <v>2.7571470910302103</v>
      </c>
      <c r="P59" s="341">
        <v>2.7571470910302103</v>
      </c>
      <c r="Q59" s="342">
        <v>2.4138916923745493</v>
      </c>
      <c r="R59" s="340" t="s">
        <v>85</v>
      </c>
      <c r="S59" s="344" t="s">
        <v>702</v>
      </c>
      <c r="T59" s="344">
        <v>0.83018867924528339</v>
      </c>
      <c r="U59" s="344">
        <v>9.4339622641542494E-3</v>
      </c>
      <c r="V59" s="344">
        <v>0.16037735849056245</v>
      </c>
      <c r="W59" s="344">
        <v>1</v>
      </c>
      <c r="X59" s="345">
        <v>6412149.5539139695</v>
      </c>
      <c r="Y59" s="346">
        <v>1105707.6355344895</v>
      </c>
      <c r="Z59" s="345">
        <v>6412149.5539139695</v>
      </c>
      <c r="AA59" s="347">
        <v>504.10958904109594</v>
      </c>
    </row>
    <row r="60" spans="1:27" x14ac:dyDescent="0.25">
      <c r="A60" s="337" t="s">
        <v>160</v>
      </c>
      <c r="B60" s="338" t="s">
        <v>555</v>
      </c>
      <c r="C60" s="339" t="s">
        <v>10</v>
      </c>
      <c r="D60" s="340" t="s">
        <v>10</v>
      </c>
      <c r="E60" s="341">
        <v>2.2889523019873455</v>
      </c>
      <c r="F60" s="341">
        <v>2.0039855559335891</v>
      </c>
      <c r="G60" s="341">
        <v>2.6010821613501663E-2</v>
      </c>
      <c r="H60" s="341">
        <v>2.2772563135616933E-2</v>
      </c>
      <c r="I60" s="341">
        <v>0.54622725388333482</v>
      </c>
      <c r="J60" s="341">
        <v>0.47822382584778039</v>
      </c>
      <c r="K60" s="341">
        <v>2.8611903774841818</v>
      </c>
      <c r="L60" s="342">
        <v>2.5049819449169863</v>
      </c>
      <c r="M60" s="343">
        <v>81.654976526375066</v>
      </c>
      <c r="N60" s="342">
        <v>71.489210756763313</v>
      </c>
      <c r="O60" s="348">
        <v>2.8611903774841818</v>
      </c>
      <c r="P60" s="341">
        <v>2.8611903774841818</v>
      </c>
      <c r="Q60" s="342">
        <v>2.5049819449169863</v>
      </c>
      <c r="R60" s="340" t="s">
        <v>85</v>
      </c>
      <c r="S60" s="344" t="s">
        <v>702</v>
      </c>
      <c r="T60" s="344">
        <v>0.8</v>
      </c>
      <c r="U60" s="344">
        <v>9.090909090912272E-3</v>
      </c>
      <c r="V60" s="344">
        <v>0.19090909090908778</v>
      </c>
      <c r="W60" s="344">
        <v>1</v>
      </c>
      <c r="X60" s="345">
        <v>6412149.5539139695</v>
      </c>
      <c r="Y60" s="346">
        <v>1105707.6355344895</v>
      </c>
      <c r="Z60" s="345">
        <v>6412149.5539139695</v>
      </c>
      <c r="AA60" s="347">
        <v>504.10958904109594</v>
      </c>
    </row>
    <row r="61" spans="1:27" x14ac:dyDescent="0.25">
      <c r="A61" s="337" t="s">
        <v>696</v>
      </c>
      <c r="B61" s="338" t="s">
        <v>704</v>
      </c>
      <c r="C61" s="339" t="s">
        <v>663</v>
      </c>
      <c r="D61" s="340" t="s">
        <v>663</v>
      </c>
      <c r="E61" s="341">
        <v>2.0548549074659128</v>
      </c>
      <c r="F61" s="341">
        <v>1.7990324877131085</v>
      </c>
      <c r="G61" s="341">
        <v>1.885784566978211</v>
      </c>
      <c r="H61" s="341">
        <v>1.6510108273316502</v>
      </c>
      <c r="I61" s="341">
        <v>0.55923266469008559</v>
      </c>
      <c r="J61" s="341">
        <v>0.4896101074155888</v>
      </c>
      <c r="K61" s="341">
        <v>4.4998721391342098</v>
      </c>
      <c r="L61" s="342">
        <v>3.9396534224603479</v>
      </c>
      <c r="M61" s="343">
        <v>128.42100853693523</v>
      </c>
      <c r="N61" s="342">
        <v>112.4330314629095</v>
      </c>
      <c r="O61" s="348">
        <v>4.4998721391342098</v>
      </c>
      <c r="P61" s="341">
        <v>4.4998721391342098</v>
      </c>
      <c r="Q61" s="342">
        <v>3.9396534224603479</v>
      </c>
      <c r="R61" s="340" t="s">
        <v>85</v>
      </c>
      <c r="S61" s="344" t="s">
        <v>702</v>
      </c>
      <c r="T61" s="344">
        <v>0.45664739884393107</v>
      </c>
      <c r="U61" s="344">
        <v>0.41907514450867089</v>
      </c>
      <c r="V61" s="344">
        <v>0.12427745664739794</v>
      </c>
      <c r="W61" s="344">
        <v>1</v>
      </c>
      <c r="X61" s="345">
        <v>5740133.88014133</v>
      </c>
      <c r="Y61" s="346">
        <v>1901944.1499112465</v>
      </c>
      <c r="Z61" s="345">
        <v>5740133.88014133</v>
      </c>
      <c r="AA61" s="347">
        <v>133.69863013698631</v>
      </c>
    </row>
    <row r="62" spans="1:27" x14ac:dyDescent="0.25">
      <c r="A62" s="349" t="s">
        <v>657</v>
      </c>
      <c r="B62" s="350" t="s">
        <v>572</v>
      </c>
      <c r="C62" s="351" t="s">
        <v>586</v>
      </c>
      <c r="D62" s="352" t="s">
        <v>7</v>
      </c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>
        <v>1.0265655237576765</v>
      </c>
      <c r="R62" s="352" t="s">
        <v>88</v>
      </c>
      <c r="S62" s="354" t="s">
        <v>705</v>
      </c>
      <c r="T62" s="354"/>
      <c r="U62" s="354"/>
      <c r="V62" s="354"/>
      <c r="W62" s="354"/>
      <c r="X62" s="355"/>
      <c r="Y62" s="356">
        <v>1357050.4133426507</v>
      </c>
      <c r="Z62" s="356">
        <v>1357050.4133426507</v>
      </c>
      <c r="AA62" s="357">
        <v>318.463698630137</v>
      </c>
    </row>
    <row r="63" spans="1:27" x14ac:dyDescent="0.25">
      <c r="A63" s="349" t="s">
        <v>657</v>
      </c>
      <c r="B63" s="350" t="s">
        <v>572</v>
      </c>
      <c r="C63" s="351" t="s">
        <v>586</v>
      </c>
      <c r="D63" s="352" t="s">
        <v>7</v>
      </c>
      <c r="E63" s="353"/>
      <c r="F63" s="353"/>
      <c r="G63" s="353"/>
      <c r="H63" s="353"/>
      <c r="I63" s="353"/>
      <c r="J63" s="353"/>
      <c r="K63" s="353"/>
      <c r="L63" s="353"/>
      <c r="M63" s="358"/>
      <c r="N63" s="358"/>
      <c r="O63" s="359"/>
      <c r="P63" s="353"/>
      <c r="Q63" s="353">
        <v>0.95961559829521925</v>
      </c>
      <c r="R63" s="352" t="s">
        <v>88</v>
      </c>
      <c r="S63" s="354" t="s">
        <v>705</v>
      </c>
      <c r="T63" s="354"/>
      <c r="U63" s="354"/>
      <c r="V63" s="354"/>
      <c r="W63" s="354"/>
      <c r="X63" s="355"/>
      <c r="Y63" s="356">
        <v>1108161.9634284994</v>
      </c>
      <c r="Z63" s="356">
        <v>1108161.9634284994</v>
      </c>
      <c r="AA63" s="357">
        <v>275.24383561643833</v>
      </c>
    </row>
    <row r="64" spans="1:27" x14ac:dyDescent="0.25">
      <c r="A64" s="349" t="s">
        <v>657</v>
      </c>
      <c r="B64" s="350" t="s">
        <v>573</v>
      </c>
      <c r="C64" s="351" t="s">
        <v>586</v>
      </c>
      <c r="D64" s="352" t="s">
        <v>7</v>
      </c>
      <c r="E64" s="353"/>
      <c r="F64" s="353"/>
      <c r="G64" s="353"/>
      <c r="H64" s="353"/>
      <c r="I64" s="353"/>
      <c r="J64" s="353"/>
      <c r="K64" s="353"/>
      <c r="L64" s="353"/>
      <c r="M64" s="358"/>
      <c r="N64" s="358"/>
      <c r="O64" s="359"/>
      <c r="P64" s="353"/>
      <c r="Q64" s="353">
        <v>0.96115024520731174</v>
      </c>
      <c r="R64" s="352" t="s">
        <v>91</v>
      </c>
      <c r="S64" s="354" t="s">
        <v>705</v>
      </c>
      <c r="T64" s="354"/>
      <c r="U64" s="354"/>
      <c r="V64" s="354"/>
      <c r="W64" s="354"/>
      <c r="X64" s="355"/>
      <c r="Y64" s="356">
        <v>2419060.1193510327</v>
      </c>
      <c r="Z64" s="356">
        <v>2419060.1193510327</v>
      </c>
      <c r="AA64" s="357">
        <v>244.65753424657538</v>
      </c>
    </row>
    <row r="65" spans="1:27" x14ac:dyDescent="0.25">
      <c r="A65" s="349" t="s">
        <v>657</v>
      </c>
      <c r="B65" s="350" t="s">
        <v>217</v>
      </c>
      <c r="C65" s="351" t="s">
        <v>587</v>
      </c>
      <c r="D65" s="352" t="s">
        <v>7</v>
      </c>
      <c r="E65" s="353"/>
      <c r="F65" s="353"/>
      <c r="G65" s="353"/>
      <c r="H65" s="353"/>
      <c r="I65" s="353"/>
      <c r="J65" s="353"/>
      <c r="K65" s="353"/>
      <c r="L65" s="353"/>
      <c r="M65" s="358"/>
      <c r="N65" s="358"/>
      <c r="O65" s="359"/>
      <c r="P65" s="353"/>
      <c r="Q65" s="353">
        <v>1.1354127275588812</v>
      </c>
      <c r="R65" s="352" t="s">
        <v>94</v>
      </c>
      <c r="S65" s="354" t="s">
        <v>705</v>
      </c>
      <c r="T65" s="354"/>
      <c r="U65" s="354"/>
      <c r="V65" s="354"/>
      <c r="W65" s="354"/>
      <c r="X65" s="355"/>
      <c r="Y65" s="356">
        <v>1663828.6791558466</v>
      </c>
      <c r="Z65" s="356">
        <v>1663828.6791558466</v>
      </c>
      <c r="AA65" s="357">
        <v>267.97800000000001</v>
      </c>
    </row>
    <row r="66" spans="1:27" x14ac:dyDescent="0.25">
      <c r="A66" s="349" t="s">
        <v>657</v>
      </c>
      <c r="B66" s="350" t="s">
        <v>217</v>
      </c>
      <c r="C66" s="351" t="s">
        <v>587</v>
      </c>
      <c r="D66" s="352" t="s">
        <v>7</v>
      </c>
      <c r="E66" s="353"/>
      <c r="F66" s="353"/>
      <c r="G66" s="353"/>
      <c r="H66" s="353"/>
      <c r="I66" s="353"/>
      <c r="J66" s="353"/>
      <c r="K66" s="353"/>
      <c r="L66" s="353"/>
      <c r="M66" s="358"/>
      <c r="N66" s="358"/>
      <c r="O66" s="359"/>
      <c r="P66" s="353"/>
      <c r="Q66" s="353">
        <v>1.0171405684381645</v>
      </c>
      <c r="R66" s="352" t="s">
        <v>94</v>
      </c>
      <c r="S66" s="354" t="s">
        <v>705</v>
      </c>
      <c r="T66" s="354"/>
      <c r="U66" s="354"/>
      <c r="V66" s="354"/>
      <c r="W66" s="354"/>
      <c r="X66" s="355"/>
      <c r="Y66" s="356">
        <v>2024658.9951173551</v>
      </c>
      <c r="Z66" s="356">
        <v>2024658.9951173551</v>
      </c>
      <c r="AA66" s="357">
        <v>267.97800000000001</v>
      </c>
    </row>
    <row r="67" spans="1:27" x14ac:dyDescent="0.25">
      <c r="A67" s="349" t="s">
        <v>657</v>
      </c>
      <c r="B67" s="350" t="s">
        <v>574</v>
      </c>
      <c r="C67" s="351" t="s">
        <v>586</v>
      </c>
      <c r="D67" s="352" t="s">
        <v>7</v>
      </c>
      <c r="E67" s="353"/>
      <c r="F67" s="353"/>
      <c r="G67" s="353"/>
      <c r="H67" s="353"/>
      <c r="I67" s="353"/>
      <c r="J67" s="353"/>
      <c r="K67" s="353"/>
      <c r="L67" s="353"/>
      <c r="M67" s="358"/>
      <c r="N67" s="358"/>
      <c r="O67" s="359"/>
      <c r="P67" s="353"/>
      <c r="Q67" s="353">
        <v>1.4233622183708838</v>
      </c>
      <c r="R67" s="352" t="s">
        <v>96</v>
      </c>
      <c r="S67" s="354" t="s">
        <v>705</v>
      </c>
      <c r="T67" s="354"/>
      <c r="U67" s="354"/>
      <c r="V67" s="354"/>
      <c r="W67" s="354"/>
      <c r="X67" s="355"/>
      <c r="Y67" s="356">
        <v>3135258.4361300846</v>
      </c>
      <c r="Z67" s="356">
        <v>3135258.4361300846</v>
      </c>
      <c r="AA67" s="357">
        <v>326.40000000000003</v>
      </c>
    </row>
    <row r="68" spans="1:27" x14ac:dyDescent="0.25">
      <c r="A68" s="349" t="s">
        <v>657</v>
      </c>
      <c r="B68" s="350" t="s">
        <v>574</v>
      </c>
      <c r="C68" s="351" t="s">
        <v>586</v>
      </c>
      <c r="D68" s="352" t="s">
        <v>7</v>
      </c>
      <c r="E68" s="353"/>
      <c r="F68" s="353"/>
      <c r="G68" s="353"/>
      <c r="H68" s="353"/>
      <c r="I68" s="353"/>
      <c r="J68" s="353"/>
      <c r="K68" s="353"/>
      <c r="L68" s="353"/>
      <c r="M68" s="358"/>
      <c r="N68" s="358"/>
      <c r="O68" s="359"/>
      <c r="P68" s="353"/>
      <c r="Q68" s="353">
        <v>1.3988214904679377</v>
      </c>
      <c r="R68" s="352" t="s">
        <v>96</v>
      </c>
      <c r="S68" s="354" t="s">
        <v>705</v>
      </c>
      <c r="T68" s="354"/>
      <c r="U68" s="354"/>
      <c r="V68" s="354"/>
      <c r="W68" s="354"/>
      <c r="X68" s="355"/>
      <c r="Y68" s="356">
        <v>3567578.2444693651</v>
      </c>
      <c r="Z68" s="356">
        <v>3567578.2444693651</v>
      </c>
      <c r="AA68" s="357">
        <v>326.40000000000003</v>
      </c>
    </row>
    <row r="69" spans="1:27" x14ac:dyDescent="0.25">
      <c r="A69" s="349" t="s">
        <v>657</v>
      </c>
      <c r="B69" s="350" t="s">
        <v>560</v>
      </c>
      <c r="C69" s="351" t="s">
        <v>586</v>
      </c>
      <c r="D69" s="352" t="s">
        <v>7</v>
      </c>
      <c r="E69" s="353"/>
      <c r="F69" s="360"/>
      <c r="G69" s="353"/>
      <c r="H69" s="353"/>
      <c r="I69" s="353"/>
      <c r="J69" s="353"/>
      <c r="K69" s="353"/>
      <c r="L69" s="353"/>
      <c r="M69" s="358"/>
      <c r="N69" s="358"/>
      <c r="O69" s="359"/>
      <c r="P69" s="353"/>
      <c r="Q69" s="353">
        <v>1.1975378842667594</v>
      </c>
      <c r="R69" s="352" t="s">
        <v>195</v>
      </c>
      <c r="S69" s="354" t="s">
        <v>705</v>
      </c>
      <c r="T69" s="354"/>
      <c r="U69" s="354"/>
      <c r="V69" s="354"/>
      <c r="W69" s="354"/>
      <c r="X69" s="355"/>
      <c r="Y69" s="356">
        <v>4683813.312709732</v>
      </c>
      <c r="Z69" s="356">
        <v>4683813.312709732</v>
      </c>
      <c r="AA69" s="357">
        <v>129.81744421906694</v>
      </c>
    </row>
    <row r="70" spans="1:27" x14ac:dyDescent="0.25">
      <c r="A70" s="349" t="s">
        <v>657</v>
      </c>
      <c r="B70" s="350" t="s">
        <v>575</v>
      </c>
      <c r="C70" s="351" t="s">
        <v>586</v>
      </c>
      <c r="D70" s="352" t="s">
        <v>7</v>
      </c>
      <c r="E70" s="353"/>
      <c r="F70" s="360"/>
      <c r="G70" s="353"/>
      <c r="H70" s="353"/>
      <c r="I70" s="353"/>
      <c r="J70" s="353"/>
      <c r="K70" s="353"/>
      <c r="L70" s="353"/>
      <c r="M70" s="358"/>
      <c r="N70" s="358"/>
      <c r="O70" s="359"/>
      <c r="P70" s="353"/>
      <c r="Q70" s="353">
        <v>1.0508733838609008</v>
      </c>
      <c r="R70" s="352" t="s">
        <v>706</v>
      </c>
      <c r="S70" s="354" t="s">
        <v>705</v>
      </c>
      <c r="T70" s="354"/>
      <c r="U70" s="354"/>
      <c r="V70" s="354"/>
      <c r="W70" s="354"/>
      <c r="X70" s="355"/>
      <c r="Y70" s="356">
        <v>1109298.1443178414</v>
      </c>
      <c r="Z70" s="356">
        <v>1109298.1443178414</v>
      </c>
      <c r="AA70" s="357">
        <v>1465.0670553935859</v>
      </c>
    </row>
    <row r="71" spans="1:27" x14ac:dyDescent="0.25">
      <c r="A71" s="349" t="s">
        <v>657</v>
      </c>
      <c r="B71" s="350" t="s">
        <v>559</v>
      </c>
      <c r="C71" s="351" t="s">
        <v>586</v>
      </c>
      <c r="D71" s="352" t="s">
        <v>7</v>
      </c>
      <c r="E71" s="353"/>
      <c r="F71" s="360"/>
      <c r="G71" s="353"/>
      <c r="H71" s="353"/>
      <c r="I71" s="353"/>
      <c r="J71" s="353"/>
      <c r="K71" s="353"/>
      <c r="L71" s="353"/>
      <c r="M71" s="358"/>
      <c r="N71" s="358"/>
      <c r="O71" s="359"/>
      <c r="P71" s="353"/>
      <c r="Q71" s="353">
        <v>1.3707044137316098</v>
      </c>
      <c r="R71" s="352" t="s">
        <v>706</v>
      </c>
      <c r="S71" s="354" t="s">
        <v>705</v>
      </c>
      <c r="T71" s="354"/>
      <c r="U71" s="354"/>
      <c r="V71" s="354"/>
      <c r="W71" s="354"/>
      <c r="X71" s="355"/>
      <c r="Y71" s="356">
        <v>1165894.9884156904</v>
      </c>
      <c r="Z71" s="356">
        <v>1165894.9884156904</v>
      </c>
      <c r="AA71" s="357">
        <v>1464</v>
      </c>
    </row>
    <row r="72" spans="1:27" x14ac:dyDescent="0.25">
      <c r="A72" s="349" t="s">
        <v>657</v>
      </c>
      <c r="B72" s="350" t="s">
        <v>556</v>
      </c>
      <c r="C72" s="351" t="s">
        <v>587</v>
      </c>
      <c r="D72" s="352" t="s">
        <v>7</v>
      </c>
      <c r="E72" s="353"/>
      <c r="F72" s="360"/>
      <c r="G72" s="353"/>
      <c r="H72" s="353"/>
      <c r="I72" s="353"/>
      <c r="J72" s="353"/>
      <c r="K72" s="353"/>
      <c r="L72" s="353"/>
      <c r="M72" s="358"/>
      <c r="N72" s="358"/>
      <c r="O72" s="359"/>
      <c r="P72" s="353"/>
      <c r="Q72" s="353">
        <v>0.89886840931744749</v>
      </c>
      <c r="R72" s="352" t="s">
        <v>707</v>
      </c>
      <c r="S72" s="354" t="s">
        <v>705</v>
      </c>
      <c r="T72" s="354"/>
      <c r="U72" s="354"/>
      <c r="V72" s="354"/>
      <c r="W72" s="354"/>
      <c r="X72" s="355"/>
      <c r="Y72" s="356">
        <v>1566103.801916271</v>
      </c>
      <c r="Z72" s="356">
        <v>1566103.801916271</v>
      </c>
      <c r="AA72" s="357">
        <v>285.84320000000002</v>
      </c>
    </row>
    <row r="73" spans="1:27" x14ac:dyDescent="0.25">
      <c r="A73" s="349" t="s">
        <v>657</v>
      </c>
      <c r="B73" s="350" t="s">
        <v>556</v>
      </c>
      <c r="C73" s="351" t="s">
        <v>587</v>
      </c>
      <c r="D73" s="352" t="s">
        <v>7</v>
      </c>
      <c r="E73" s="353"/>
      <c r="F73" s="360"/>
      <c r="G73" s="353"/>
      <c r="H73" s="353"/>
      <c r="I73" s="353"/>
      <c r="J73" s="353"/>
      <c r="K73" s="353"/>
      <c r="L73" s="353"/>
      <c r="M73" s="358"/>
      <c r="N73" s="358"/>
      <c r="O73" s="359"/>
      <c r="P73" s="353"/>
      <c r="Q73" s="353">
        <v>1.0171405684381642</v>
      </c>
      <c r="R73" s="352" t="s">
        <v>707</v>
      </c>
      <c r="S73" s="354" t="s">
        <v>705</v>
      </c>
      <c r="T73" s="354"/>
      <c r="U73" s="354"/>
      <c r="V73" s="354"/>
      <c r="W73" s="354"/>
      <c r="X73" s="355"/>
      <c r="Y73" s="356">
        <v>1478401.9890089601</v>
      </c>
      <c r="Z73" s="356">
        <v>1478401.9890089601</v>
      </c>
      <c r="AA73" s="357">
        <v>369.416</v>
      </c>
    </row>
    <row r="74" spans="1:27" x14ac:dyDescent="0.25">
      <c r="A74" s="349" t="s">
        <v>657</v>
      </c>
      <c r="B74" s="350" t="s">
        <v>573</v>
      </c>
      <c r="C74" s="351" t="s">
        <v>586</v>
      </c>
      <c r="D74" s="352" t="s">
        <v>7</v>
      </c>
      <c r="E74" s="353"/>
      <c r="F74" s="360"/>
      <c r="G74" s="353"/>
      <c r="H74" s="353"/>
      <c r="I74" s="353"/>
      <c r="J74" s="353"/>
      <c r="K74" s="353"/>
      <c r="L74" s="353"/>
      <c r="M74" s="358"/>
      <c r="N74" s="358"/>
      <c r="O74" s="359"/>
      <c r="P74" s="353"/>
      <c r="Q74" s="353">
        <v>1.3809563758389263</v>
      </c>
      <c r="R74" s="352" t="s">
        <v>708</v>
      </c>
      <c r="S74" s="354" t="s">
        <v>705</v>
      </c>
      <c r="T74" s="354"/>
      <c r="U74" s="354"/>
      <c r="V74" s="354"/>
      <c r="W74" s="354"/>
      <c r="X74" s="355"/>
      <c r="Y74" s="356">
        <v>2748207.2958534299</v>
      </c>
      <c r="Z74" s="356">
        <v>2748207.2958534299</v>
      </c>
      <c r="AA74" s="357">
        <v>83.884</v>
      </c>
    </row>
    <row r="75" spans="1:27" x14ac:dyDescent="0.25">
      <c r="A75" s="349" t="s">
        <v>657</v>
      </c>
      <c r="B75" s="350" t="s">
        <v>576</v>
      </c>
      <c r="C75" s="351" t="s">
        <v>587</v>
      </c>
      <c r="D75" s="352" t="s">
        <v>7</v>
      </c>
      <c r="E75" s="353"/>
      <c r="F75" s="360"/>
      <c r="G75" s="353"/>
      <c r="H75" s="353"/>
      <c r="I75" s="353"/>
      <c r="J75" s="353"/>
      <c r="K75" s="353"/>
      <c r="L75" s="353"/>
      <c r="M75" s="358"/>
      <c r="N75" s="358"/>
      <c r="O75" s="359"/>
      <c r="P75" s="353"/>
      <c r="Q75" s="353" t="s">
        <v>482</v>
      </c>
      <c r="R75" s="352" t="s">
        <v>709</v>
      </c>
      <c r="S75" s="354" t="s">
        <v>705</v>
      </c>
      <c r="T75" s="354"/>
      <c r="U75" s="354"/>
      <c r="V75" s="354"/>
      <c r="W75" s="354"/>
      <c r="X75" s="355"/>
      <c r="Y75" s="356">
        <v>664666.12237240758</v>
      </c>
      <c r="Z75" s="356">
        <v>664666.12237240758</v>
      </c>
      <c r="AA75" s="357">
        <v>675.80439999999999</v>
      </c>
    </row>
    <row r="76" spans="1:27" x14ac:dyDescent="0.25">
      <c r="A76" s="349" t="s">
        <v>657</v>
      </c>
      <c r="B76" s="350" t="s">
        <v>576</v>
      </c>
      <c r="C76" s="351" t="s">
        <v>587</v>
      </c>
      <c r="D76" s="352" t="s">
        <v>7</v>
      </c>
      <c r="E76" s="353"/>
      <c r="F76" s="360"/>
      <c r="G76" s="353"/>
      <c r="H76" s="353"/>
      <c r="I76" s="353"/>
      <c r="J76" s="353"/>
      <c r="K76" s="353"/>
      <c r="L76" s="353"/>
      <c r="M76" s="358"/>
      <c r="N76" s="358"/>
      <c r="O76" s="359"/>
      <c r="P76" s="353"/>
      <c r="Q76" s="353">
        <v>0.59941718429003021</v>
      </c>
      <c r="R76" s="352" t="s">
        <v>710</v>
      </c>
      <c r="S76" s="354" t="s">
        <v>705</v>
      </c>
      <c r="T76" s="354"/>
      <c r="U76" s="354"/>
      <c r="V76" s="354"/>
      <c r="W76" s="354"/>
      <c r="X76" s="355"/>
      <c r="Y76" s="356">
        <v>1637687.3193730435</v>
      </c>
      <c r="Z76" s="356">
        <v>1637687.3193730435</v>
      </c>
      <c r="AA76" s="357">
        <v>454.52054794520546</v>
      </c>
    </row>
    <row r="77" spans="1:27" x14ac:dyDescent="0.25">
      <c r="A77" s="349" t="s">
        <v>475</v>
      </c>
      <c r="B77" s="350" t="s">
        <v>221</v>
      </c>
      <c r="C77" s="351" t="s">
        <v>812</v>
      </c>
      <c r="D77" s="352" t="s">
        <v>8</v>
      </c>
      <c r="E77" s="353"/>
      <c r="F77" s="360"/>
      <c r="G77" s="353"/>
      <c r="H77" s="353"/>
      <c r="I77" s="353"/>
      <c r="J77" s="353"/>
      <c r="K77" s="353"/>
      <c r="L77" s="353"/>
      <c r="M77" s="358"/>
      <c r="N77" s="358"/>
      <c r="O77" s="359"/>
      <c r="P77" s="353"/>
      <c r="Q77" s="353">
        <v>0.87479411913451033</v>
      </c>
      <c r="R77" s="352" t="s">
        <v>711</v>
      </c>
      <c r="S77" s="354" t="s">
        <v>705</v>
      </c>
      <c r="T77" s="354"/>
      <c r="U77" s="354"/>
      <c r="V77" s="354"/>
      <c r="W77" s="354"/>
      <c r="X77" s="355"/>
      <c r="Y77" s="356">
        <v>253578.97642851429</v>
      </c>
      <c r="Z77" s="356">
        <v>253578.97642851429</v>
      </c>
      <c r="AA77" s="357">
        <v>768.07345587287682</v>
      </c>
    </row>
    <row r="78" spans="1:27" x14ac:dyDescent="0.25">
      <c r="A78" s="349" t="s">
        <v>475</v>
      </c>
      <c r="B78" s="350" t="s">
        <v>479</v>
      </c>
      <c r="C78" s="351" t="s">
        <v>812</v>
      </c>
      <c r="D78" s="352" t="s">
        <v>8</v>
      </c>
      <c r="E78" s="353"/>
      <c r="F78" s="360"/>
      <c r="G78" s="353"/>
      <c r="H78" s="353"/>
      <c r="I78" s="353"/>
      <c r="J78" s="353"/>
      <c r="K78" s="353"/>
      <c r="L78" s="353"/>
      <c r="M78" s="358"/>
      <c r="N78" s="358"/>
      <c r="O78" s="359"/>
      <c r="P78" s="353"/>
      <c r="Q78" s="353">
        <v>3.5458371904651709</v>
      </c>
      <c r="R78" s="352" t="s">
        <v>712</v>
      </c>
      <c r="S78" s="354" t="s">
        <v>705</v>
      </c>
      <c r="T78" s="354"/>
      <c r="U78" s="354"/>
      <c r="V78" s="354"/>
      <c r="W78" s="354"/>
      <c r="X78" s="355"/>
      <c r="Y78" s="356">
        <v>1346332.5678287037</v>
      </c>
      <c r="Z78" s="356">
        <v>1346332.5678287037</v>
      </c>
      <c r="AA78" s="357">
        <v>216.90000000000003</v>
      </c>
    </row>
    <row r="79" spans="1:27" x14ac:dyDescent="0.25">
      <c r="A79" s="349" t="s">
        <v>475</v>
      </c>
      <c r="B79" s="350" t="s">
        <v>480</v>
      </c>
      <c r="C79" s="351" t="s">
        <v>812</v>
      </c>
      <c r="D79" s="352" t="s">
        <v>8</v>
      </c>
      <c r="E79" s="353"/>
      <c r="F79" s="360"/>
      <c r="G79" s="353"/>
      <c r="H79" s="353"/>
      <c r="I79" s="353"/>
      <c r="J79" s="353"/>
      <c r="K79" s="353"/>
      <c r="L79" s="353"/>
      <c r="M79" s="358"/>
      <c r="N79" s="358"/>
      <c r="O79" s="359"/>
      <c r="P79" s="353"/>
      <c r="Q79" s="353" t="s">
        <v>482</v>
      </c>
      <c r="R79" s="352" t="s">
        <v>713</v>
      </c>
      <c r="S79" s="354" t="s">
        <v>705</v>
      </c>
      <c r="T79" s="354"/>
      <c r="U79" s="354"/>
      <c r="V79" s="354"/>
      <c r="W79" s="354"/>
      <c r="X79" s="355"/>
      <c r="Y79" s="356">
        <v>340436.37269295304</v>
      </c>
      <c r="Z79" s="356">
        <v>340436.37269295304</v>
      </c>
      <c r="AA79" s="357">
        <v>2191.7808219178082</v>
      </c>
    </row>
    <row r="80" spans="1:27" x14ac:dyDescent="0.25">
      <c r="A80" s="349" t="s">
        <v>475</v>
      </c>
      <c r="B80" s="350" t="s">
        <v>480</v>
      </c>
      <c r="C80" s="351" t="s">
        <v>812</v>
      </c>
      <c r="D80" s="352" t="s">
        <v>8</v>
      </c>
      <c r="E80" s="353"/>
      <c r="F80" s="360"/>
      <c r="G80" s="353"/>
      <c r="H80" s="353"/>
      <c r="I80" s="353"/>
      <c r="J80" s="353"/>
      <c r="K80" s="353"/>
      <c r="L80" s="353"/>
      <c r="M80" s="358"/>
      <c r="N80" s="358"/>
      <c r="O80" s="359"/>
      <c r="P80" s="353"/>
      <c r="Q80" s="353" t="s">
        <v>482</v>
      </c>
      <c r="R80" s="352" t="s">
        <v>713</v>
      </c>
      <c r="S80" s="354" t="s">
        <v>705</v>
      </c>
      <c r="T80" s="354"/>
      <c r="U80" s="354"/>
      <c r="V80" s="354"/>
      <c r="W80" s="354"/>
      <c r="X80" s="355"/>
      <c r="Y80" s="356">
        <v>290753.93285760621</v>
      </c>
      <c r="Z80" s="356">
        <v>290753.93285760621</v>
      </c>
      <c r="AA80" s="357">
        <v>2172.0350487473775</v>
      </c>
    </row>
    <row r="81" spans="1:27" x14ac:dyDescent="0.25">
      <c r="A81" s="349" t="s">
        <v>475</v>
      </c>
      <c r="B81" s="350" t="s">
        <v>481</v>
      </c>
      <c r="C81" s="351" t="s">
        <v>499</v>
      </c>
      <c r="D81" s="352" t="s">
        <v>8</v>
      </c>
      <c r="E81" s="353"/>
      <c r="F81" s="360"/>
      <c r="G81" s="353"/>
      <c r="H81" s="353"/>
      <c r="I81" s="353"/>
      <c r="J81" s="353"/>
      <c r="K81" s="353"/>
      <c r="L81" s="353"/>
      <c r="M81" s="358"/>
      <c r="N81" s="358"/>
      <c r="O81" s="359"/>
      <c r="P81" s="353"/>
      <c r="Q81" s="353" t="s">
        <v>482</v>
      </c>
      <c r="R81" s="352" t="s">
        <v>714</v>
      </c>
      <c r="S81" s="354" t="s">
        <v>705</v>
      </c>
      <c r="T81" s="354"/>
      <c r="U81" s="354"/>
      <c r="V81" s="354"/>
      <c r="W81" s="354"/>
      <c r="X81" s="355"/>
      <c r="Y81" s="356">
        <v>214926.37699606572</v>
      </c>
      <c r="Z81" s="356">
        <v>214926.37699606572</v>
      </c>
      <c r="AA81" s="357">
        <v>1369.8630136986301</v>
      </c>
    </row>
    <row r="82" spans="1:27" x14ac:dyDescent="0.25">
      <c r="A82" s="349" t="s">
        <v>160</v>
      </c>
      <c r="B82" s="350" t="s">
        <v>556</v>
      </c>
      <c r="C82" s="351" t="s">
        <v>10</v>
      </c>
      <c r="D82" s="352" t="s">
        <v>10</v>
      </c>
      <c r="E82" s="353"/>
      <c r="F82" s="360"/>
      <c r="G82" s="353"/>
      <c r="H82" s="353"/>
      <c r="I82" s="353"/>
      <c r="J82" s="353"/>
      <c r="K82" s="353"/>
      <c r="L82" s="353"/>
      <c r="M82" s="358"/>
      <c r="N82" s="358"/>
      <c r="O82" s="359"/>
      <c r="P82" s="353"/>
      <c r="Q82" s="353" t="s">
        <v>482</v>
      </c>
      <c r="R82" s="352" t="s">
        <v>715</v>
      </c>
      <c r="S82" s="354" t="s">
        <v>705</v>
      </c>
      <c r="T82" s="354"/>
      <c r="U82" s="354"/>
      <c r="V82" s="354"/>
      <c r="W82" s="354"/>
      <c r="X82" s="355"/>
      <c r="Y82" s="356">
        <v>1484001.1151161315</v>
      </c>
      <c r="Z82" s="356">
        <v>1484001.1151161315</v>
      </c>
      <c r="AA82" s="357">
        <v>443.78250000000003</v>
      </c>
    </row>
    <row r="83" spans="1:27" x14ac:dyDescent="0.25">
      <c r="A83" s="349" t="s">
        <v>160</v>
      </c>
      <c r="B83" s="350" t="s">
        <v>556</v>
      </c>
      <c r="C83" s="351" t="s">
        <v>10</v>
      </c>
      <c r="D83" s="352" t="s">
        <v>10</v>
      </c>
      <c r="E83" s="353"/>
      <c r="F83" s="360"/>
      <c r="G83" s="353"/>
      <c r="H83" s="353"/>
      <c r="I83" s="353"/>
      <c r="J83" s="353"/>
      <c r="K83" s="353"/>
      <c r="L83" s="353"/>
      <c r="M83" s="358"/>
      <c r="N83" s="358"/>
      <c r="O83" s="359"/>
      <c r="P83" s="353"/>
      <c r="Q83" s="353" t="s">
        <v>482</v>
      </c>
      <c r="R83" s="352" t="s">
        <v>716</v>
      </c>
      <c r="S83" s="354" t="s">
        <v>705</v>
      </c>
      <c r="T83" s="354"/>
      <c r="U83" s="354"/>
      <c r="V83" s="354"/>
      <c r="W83" s="354"/>
      <c r="X83" s="355"/>
      <c r="Y83" s="356">
        <v>1566538.7141073442</v>
      </c>
      <c r="Z83" s="356">
        <v>1566538.7141073442</v>
      </c>
      <c r="AA83" s="357">
        <v>429.5625</v>
      </c>
    </row>
    <row r="84" spans="1:27" x14ac:dyDescent="0.25">
      <c r="A84" s="349" t="s">
        <v>160</v>
      </c>
      <c r="B84" s="350" t="s">
        <v>556</v>
      </c>
      <c r="C84" s="351" t="s">
        <v>10</v>
      </c>
      <c r="D84" s="352" t="s">
        <v>10</v>
      </c>
      <c r="E84" s="353"/>
      <c r="F84" s="360"/>
      <c r="G84" s="353"/>
      <c r="H84" s="353"/>
      <c r="I84" s="353"/>
      <c r="J84" s="353"/>
      <c r="K84" s="353"/>
      <c r="L84" s="353"/>
      <c r="M84" s="358"/>
      <c r="N84" s="358"/>
      <c r="O84" s="359"/>
      <c r="P84" s="353"/>
      <c r="Q84" s="353" t="s">
        <v>482</v>
      </c>
      <c r="R84" s="352" t="s">
        <v>717</v>
      </c>
      <c r="S84" s="354" t="s">
        <v>705</v>
      </c>
      <c r="T84" s="354"/>
      <c r="U84" s="354"/>
      <c r="V84" s="354"/>
      <c r="W84" s="354"/>
      <c r="X84" s="355"/>
      <c r="Y84" s="356">
        <v>1558117.3397111518</v>
      </c>
      <c r="Z84" s="356">
        <v>1558117.3397111518</v>
      </c>
      <c r="AA84" s="357">
        <v>468.07499999999999</v>
      </c>
    </row>
    <row r="85" spans="1:27" x14ac:dyDescent="0.25">
      <c r="A85" s="349" t="s">
        <v>160</v>
      </c>
      <c r="B85" s="350" t="s">
        <v>557</v>
      </c>
      <c r="C85" s="351" t="s">
        <v>10</v>
      </c>
      <c r="D85" s="352" t="s">
        <v>10</v>
      </c>
      <c r="E85" s="353"/>
      <c r="F85" s="360"/>
      <c r="G85" s="353"/>
      <c r="H85" s="353"/>
      <c r="I85" s="353"/>
      <c r="J85" s="353"/>
      <c r="K85" s="353"/>
      <c r="L85" s="353"/>
      <c r="M85" s="358"/>
      <c r="N85" s="358"/>
      <c r="O85" s="359"/>
      <c r="P85" s="353"/>
      <c r="Q85" s="353" t="s">
        <v>482</v>
      </c>
      <c r="R85" s="352" t="s">
        <v>718</v>
      </c>
      <c r="S85" s="354" t="s">
        <v>705</v>
      </c>
      <c r="T85" s="354"/>
      <c r="U85" s="354"/>
      <c r="V85" s="354"/>
      <c r="W85" s="354"/>
      <c r="X85" s="355"/>
      <c r="Y85" s="356">
        <v>894909.28201280267</v>
      </c>
      <c r="Z85" s="356">
        <v>894909.28201280267</v>
      </c>
      <c r="AA85" s="357">
        <v>798.64636209813875</v>
      </c>
    </row>
    <row r="86" spans="1:27" x14ac:dyDescent="0.25">
      <c r="A86" s="349" t="s">
        <v>160</v>
      </c>
      <c r="B86" s="350" t="s">
        <v>558</v>
      </c>
      <c r="C86" s="351" t="s">
        <v>10</v>
      </c>
      <c r="D86" s="352" t="s">
        <v>10</v>
      </c>
      <c r="E86" s="353"/>
      <c r="F86" s="360"/>
      <c r="G86" s="353"/>
      <c r="H86" s="353"/>
      <c r="I86" s="353"/>
      <c r="J86" s="353"/>
      <c r="K86" s="353"/>
      <c r="L86" s="353"/>
      <c r="M86" s="358"/>
      <c r="N86" s="358"/>
      <c r="O86" s="359"/>
      <c r="P86" s="353"/>
      <c r="Q86" s="353" t="s">
        <v>482</v>
      </c>
      <c r="R86" s="352" t="s">
        <v>719</v>
      </c>
      <c r="S86" s="354" t="s">
        <v>705</v>
      </c>
      <c r="T86" s="354"/>
      <c r="U86" s="354"/>
      <c r="V86" s="354"/>
      <c r="W86" s="354"/>
      <c r="X86" s="355"/>
      <c r="Y86" s="356">
        <v>1212798.9056743106</v>
      </c>
      <c r="Z86" s="356">
        <v>1212798.9056743106</v>
      </c>
      <c r="AA86" s="357">
        <v>450.01404000000002</v>
      </c>
    </row>
    <row r="87" spans="1:27" x14ac:dyDescent="0.25">
      <c r="A87" s="349" t="s">
        <v>160</v>
      </c>
      <c r="B87" s="350" t="s">
        <v>559</v>
      </c>
      <c r="C87" s="351" t="s">
        <v>10</v>
      </c>
      <c r="D87" s="352" t="s">
        <v>10</v>
      </c>
      <c r="E87" s="353"/>
      <c r="F87" s="360"/>
      <c r="G87" s="353"/>
      <c r="H87" s="353"/>
      <c r="I87" s="353"/>
      <c r="J87" s="353"/>
      <c r="K87" s="353"/>
      <c r="L87" s="353"/>
      <c r="M87" s="358"/>
      <c r="N87" s="358"/>
      <c r="O87" s="359"/>
      <c r="P87" s="353"/>
      <c r="Q87" s="353" t="s">
        <v>482</v>
      </c>
      <c r="R87" s="352" t="s">
        <v>719</v>
      </c>
      <c r="S87" s="354" t="s">
        <v>705</v>
      </c>
      <c r="T87" s="354"/>
      <c r="U87" s="354"/>
      <c r="V87" s="354"/>
      <c r="W87" s="354"/>
      <c r="X87" s="355"/>
      <c r="Y87" s="356">
        <v>1211506.9975770181</v>
      </c>
      <c r="Z87" s="356">
        <v>1211506.9975770181</v>
      </c>
      <c r="AA87" s="357">
        <v>422.84088000000003</v>
      </c>
    </row>
    <row r="88" spans="1:27" x14ac:dyDescent="0.25">
      <c r="A88" s="349" t="s">
        <v>160</v>
      </c>
      <c r="B88" s="350" t="s">
        <v>560</v>
      </c>
      <c r="C88" s="351" t="s">
        <v>10</v>
      </c>
      <c r="D88" s="352" t="s">
        <v>10</v>
      </c>
      <c r="E88" s="353"/>
      <c r="F88" s="360"/>
      <c r="G88" s="353"/>
      <c r="H88" s="353"/>
      <c r="I88" s="353"/>
      <c r="J88" s="353"/>
      <c r="K88" s="353"/>
      <c r="L88" s="353"/>
      <c r="M88" s="358"/>
      <c r="N88" s="358"/>
      <c r="O88" s="359"/>
      <c r="P88" s="353"/>
      <c r="Q88" s="353" t="s">
        <v>482</v>
      </c>
      <c r="R88" s="352" t="s">
        <v>719</v>
      </c>
      <c r="S88" s="354" t="s">
        <v>705</v>
      </c>
      <c r="T88" s="354"/>
      <c r="U88" s="354"/>
      <c r="V88" s="354"/>
      <c r="W88" s="354"/>
      <c r="X88" s="355"/>
      <c r="Y88" s="356">
        <v>1211637.5880798083</v>
      </c>
      <c r="Z88" s="356">
        <v>1211637.5880798083</v>
      </c>
      <c r="AA88" s="357">
        <v>409.66944166990294</v>
      </c>
    </row>
    <row r="89" spans="1:27" x14ac:dyDescent="0.25">
      <c r="A89" s="361" t="s">
        <v>160</v>
      </c>
      <c r="B89" s="362" t="s">
        <v>550</v>
      </c>
      <c r="C89" s="363" t="s">
        <v>10</v>
      </c>
      <c r="D89" s="364" t="s">
        <v>10</v>
      </c>
      <c r="E89" s="365"/>
      <c r="F89" s="366"/>
      <c r="G89" s="365"/>
      <c r="H89" s="365"/>
      <c r="I89" s="365"/>
      <c r="J89" s="365"/>
      <c r="K89" s="365"/>
      <c r="L89" s="365"/>
      <c r="M89" s="367"/>
      <c r="N89" s="367"/>
      <c r="O89" s="368"/>
      <c r="P89" s="365"/>
      <c r="Q89" s="365" t="s">
        <v>482</v>
      </c>
      <c r="R89" s="364" t="s">
        <v>719</v>
      </c>
      <c r="S89" s="354" t="s">
        <v>705</v>
      </c>
      <c r="T89" s="369"/>
      <c r="U89" s="369"/>
      <c r="V89" s="369"/>
      <c r="W89" s="369"/>
      <c r="X89" s="370"/>
      <c r="Y89" s="371">
        <v>1210457.259187178</v>
      </c>
      <c r="Z89" s="371">
        <v>1210457.259187178</v>
      </c>
      <c r="AA89" s="372">
        <v>432.00288894757279</v>
      </c>
    </row>
    <row r="93" spans="1:27" x14ac:dyDescent="0.25">
      <c r="A93" s="374" t="s">
        <v>720</v>
      </c>
      <c r="B93" s="374"/>
      <c r="C93" s="374"/>
      <c r="D93" s="374"/>
      <c r="F93" s="386"/>
    </row>
    <row r="94" spans="1:27" x14ac:dyDescent="0.25">
      <c r="A94" s="374"/>
      <c r="B94" s="375" t="s">
        <v>721</v>
      </c>
      <c r="C94" s="374"/>
      <c r="D94" s="374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workbookViewId="0">
      <selection activeCell="D37" sqref="D37"/>
    </sheetView>
  </sheetViews>
  <sheetFormatPr baseColWidth="10" defaultRowHeight="15" x14ac:dyDescent="0.25"/>
  <cols>
    <col min="2" max="2" width="112.140625" bestFit="1" customWidth="1"/>
    <col min="3" max="3" width="31.85546875" customWidth="1"/>
  </cols>
  <sheetData>
    <row r="1" spans="1:4" x14ac:dyDescent="0.25">
      <c r="A1" t="s">
        <v>722</v>
      </c>
      <c r="B1" t="s">
        <v>723</v>
      </c>
      <c r="C1" t="s">
        <v>724</v>
      </c>
      <c r="D1" t="s">
        <v>191</v>
      </c>
    </row>
    <row r="2" spans="1:4" x14ac:dyDescent="0.25">
      <c r="A2" t="s">
        <v>56</v>
      </c>
      <c r="B2" t="s">
        <v>95</v>
      </c>
      <c r="C2" t="s">
        <v>725</v>
      </c>
      <c r="D2" s="373" t="s">
        <v>726</v>
      </c>
    </row>
    <row r="3" spans="1:4" x14ac:dyDescent="0.25">
      <c r="A3" t="s">
        <v>59</v>
      </c>
      <c r="B3" t="s">
        <v>727</v>
      </c>
      <c r="C3" t="s">
        <v>728</v>
      </c>
      <c r="D3" s="373" t="s">
        <v>729</v>
      </c>
    </row>
    <row r="4" spans="1:4" x14ac:dyDescent="0.25">
      <c r="A4" t="s">
        <v>62</v>
      </c>
      <c r="B4" t="s">
        <v>730</v>
      </c>
      <c r="C4" t="s">
        <v>731</v>
      </c>
      <c r="D4" s="373" t="s">
        <v>732</v>
      </c>
    </row>
    <row r="5" spans="1:4" x14ac:dyDescent="0.25">
      <c r="A5" t="s">
        <v>65</v>
      </c>
      <c r="B5" t="s">
        <v>733</v>
      </c>
      <c r="C5" t="s">
        <v>734</v>
      </c>
      <c r="D5" s="373" t="s">
        <v>735</v>
      </c>
    </row>
    <row r="6" spans="1:4" x14ac:dyDescent="0.25">
      <c r="A6" t="s">
        <v>68</v>
      </c>
      <c r="B6" t="s">
        <v>736</v>
      </c>
      <c r="C6" t="s">
        <v>737</v>
      </c>
      <c r="D6" s="373" t="s">
        <v>738</v>
      </c>
    </row>
    <row r="7" spans="1:4" x14ac:dyDescent="0.25">
      <c r="A7" t="s">
        <v>70</v>
      </c>
      <c r="B7" s="376" t="s">
        <v>739</v>
      </c>
      <c r="C7" s="376" t="s">
        <v>740</v>
      </c>
      <c r="D7" s="373" t="s">
        <v>741</v>
      </c>
    </row>
    <row r="8" spans="1:4" x14ac:dyDescent="0.25">
      <c r="A8" t="s">
        <v>71</v>
      </c>
      <c r="B8" s="376" t="s">
        <v>742</v>
      </c>
      <c r="C8" s="376" t="s">
        <v>743</v>
      </c>
      <c r="D8" s="373" t="s">
        <v>744</v>
      </c>
    </row>
    <row r="9" spans="1:4" x14ac:dyDescent="0.25">
      <c r="A9" t="s">
        <v>74</v>
      </c>
      <c r="B9" s="376" t="s">
        <v>745</v>
      </c>
      <c r="C9" s="376" t="s">
        <v>746</v>
      </c>
      <c r="D9" s="373" t="s">
        <v>747</v>
      </c>
    </row>
    <row r="10" spans="1:4" x14ac:dyDescent="0.25">
      <c r="A10" t="s">
        <v>77</v>
      </c>
      <c r="B10" t="s">
        <v>748</v>
      </c>
      <c r="C10" s="376" t="s">
        <v>749</v>
      </c>
      <c r="D10" s="373" t="s">
        <v>750</v>
      </c>
    </row>
    <row r="11" spans="1:4" x14ac:dyDescent="0.25">
      <c r="A11" t="s">
        <v>80</v>
      </c>
      <c r="B11" t="s">
        <v>751</v>
      </c>
      <c r="C11" s="376" t="s">
        <v>752</v>
      </c>
      <c r="D11" s="373" t="s">
        <v>753</v>
      </c>
    </row>
    <row r="12" spans="1:4" x14ac:dyDescent="0.25">
      <c r="A12" t="s">
        <v>82</v>
      </c>
      <c r="B12" t="s">
        <v>754</v>
      </c>
      <c r="C12" s="376" t="s">
        <v>755</v>
      </c>
      <c r="D12" s="373" t="s">
        <v>756</v>
      </c>
    </row>
    <row r="13" spans="1:4" x14ac:dyDescent="0.25">
      <c r="A13" t="s">
        <v>85</v>
      </c>
      <c r="B13" t="s">
        <v>757</v>
      </c>
      <c r="C13" s="376" t="s">
        <v>758</v>
      </c>
      <c r="D13" s="373" t="s">
        <v>759</v>
      </c>
    </row>
    <row r="14" spans="1:4" x14ac:dyDescent="0.25">
      <c r="A14" t="s">
        <v>88</v>
      </c>
      <c r="B14" t="s">
        <v>760</v>
      </c>
      <c r="C14" s="376" t="s">
        <v>577</v>
      </c>
    </row>
    <row r="15" spans="1:4" x14ac:dyDescent="0.25">
      <c r="A15" t="s">
        <v>91</v>
      </c>
      <c r="B15" t="s">
        <v>761</v>
      </c>
      <c r="C15" s="376" t="s">
        <v>578</v>
      </c>
    </row>
    <row r="16" spans="1:4" x14ac:dyDescent="0.25">
      <c r="A16" t="s">
        <v>94</v>
      </c>
      <c r="B16" t="s">
        <v>762</v>
      </c>
      <c r="C16" s="376" t="s">
        <v>579</v>
      </c>
    </row>
    <row r="17" spans="1:3" x14ac:dyDescent="0.25">
      <c r="A17" t="s">
        <v>96</v>
      </c>
      <c r="B17" t="s">
        <v>763</v>
      </c>
      <c r="C17" s="376" t="s">
        <v>580</v>
      </c>
    </row>
    <row r="18" spans="1:3" x14ac:dyDescent="0.25">
      <c r="A18" t="s">
        <v>195</v>
      </c>
      <c r="B18" t="s">
        <v>764</v>
      </c>
      <c r="C18" s="376" t="s">
        <v>581</v>
      </c>
    </row>
    <row r="19" spans="1:3" x14ac:dyDescent="0.25">
      <c r="A19" t="s">
        <v>706</v>
      </c>
      <c r="B19" t="s">
        <v>765</v>
      </c>
      <c r="C19" s="376" t="s">
        <v>582</v>
      </c>
    </row>
    <row r="20" spans="1:3" x14ac:dyDescent="0.25">
      <c r="A20" t="s">
        <v>707</v>
      </c>
      <c r="B20" t="s">
        <v>766</v>
      </c>
      <c r="C20" s="376" t="s">
        <v>583</v>
      </c>
    </row>
    <row r="21" spans="1:3" x14ac:dyDescent="0.25">
      <c r="A21" t="s">
        <v>708</v>
      </c>
      <c r="B21" t="s">
        <v>767</v>
      </c>
      <c r="C21" s="376" t="s">
        <v>584</v>
      </c>
    </row>
    <row r="22" spans="1:3" x14ac:dyDescent="0.25">
      <c r="A22" t="s">
        <v>709</v>
      </c>
      <c r="B22" t="s">
        <v>768</v>
      </c>
      <c r="C22" s="376" t="s">
        <v>585</v>
      </c>
    </row>
    <row r="23" spans="1:3" x14ac:dyDescent="0.25">
      <c r="A23" t="s">
        <v>710</v>
      </c>
      <c r="B23" t="s">
        <v>769</v>
      </c>
      <c r="C23" s="376" t="s">
        <v>578</v>
      </c>
    </row>
    <row r="24" spans="1:3" x14ac:dyDescent="0.25">
      <c r="A24" t="s">
        <v>711</v>
      </c>
      <c r="B24" t="s">
        <v>770</v>
      </c>
      <c r="C24" s="376" t="s">
        <v>483</v>
      </c>
    </row>
    <row r="25" spans="1:3" x14ac:dyDescent="0.25">
      <c r="A25" t="s">
        <v>712</v>
      </c>
      <c r="B25" t="s">
        <v>771</v>
      </c>
      <c r="C25" s="376" t="s">
        <v>484</v>
      </c>
    </row>
    <row r="26" spans="1:3" x14ac:dyDescent="0.25">
      <c r="A26" t="s">
        <v>713</v>
      </c>
      <c r="B26" t="s">
        <v>772</v>
      </c>
      <c r="C26" s="376" t="s">
        <v>485</v>
      </c>
    </row>
    <row r="27" spans="1:3" x14ac:dyDescent="0.25">
      <c r="A27" t="s">
        <v>714</v>
      </c>
      <c r="B27" t="s">
        <v>773</v>
      </c>
      <c r="C27" s="376" t="s">
        <v>486</v>
      </c>
    </row>
    <row r="28" spans="1:3" x14ac:dyDescent="0.25">
      <c r="A28" t="s">
        <v>774</v>
      </c>
      <c r="B28" t="s">
        <v>775</v>
      </c>
      <c r="C28" s="376" t="s">
        <v>776</v>
      </c>
    </row>
    <row r="29" spans="1:3" x14ac:dyDescent="0.25">
      <c r="A29" t="s">
        <v>777</v>
      </c>
      <c r="B29" t="s">
        <v>778</v>
      </c>
      <c r="C29" s="376" t="s">
        <v>779</v>
      </c>
    </row>
    <row r="30" spans="1:3" x14ac:dyDescent="0.25">
      <c r="A30" t="s">
        <v>780</v>
      </c>
      <c r="B30" t="s">
        <v>781</v>
      </c>
      <c r="C30" s="376" t="s">
        <v>782</v>
      </c>
    </row>
    <row r="31" spans="1:3" x14ac:dyDescent="0.25">
      <c r="A31" t="s">
        <v>783</v>
      </c>
      <c r="B31" t="s">
        <v>784</v>
      </c>
      <c r="C31" s="376" t="s">
        <v>785</v>
      </c>
    </row>
    <row r="32" spans="1:3" x14ac:dyDescent="0.25">
      <c r="A32" t="s">
        <v>786</v>
      </c>
      <c r="B32" t="s">
        <v>787</v>
      </c>
      <c r="C32" s="376" t="s">
        <v>788</v>
      </c>
    </row>
    <row r="37" spans="1:4" x14ac:dyDescent="0.25">
      <c r="A37" t="s">
        <v>652</v>
      </c>
      <c r="B37" t="s">
        <v>789</v>
      </c>
      <c r="C37" t="s">
        <v>90</v>
      </c>
      <c r="D37" s="373" t="s">
        <v>790</v>
      </c>
    </row>
    <row r="38" spans="1:4" x14ac:dyDescent="0.25">
      <c r="A38" t="s">
        <v>702</v>
      </c>
      <c r="B38" t="s">
        <v>757</v>
      </c>
      <c r="C38" t="s">
        <v>758</v>
      </c>
      <c r="D38" s="373" t="s">
        <v>791</v>
      </c>
    </row>
    <row r="39" spans="1:4" x14ac:dyDescent="0.25">
      <c r="A39" t="s">
        <v>705</v>
      </c>
      <c r="B39" t="s">
        <v>95</v>
      </c>
      <c r="C39" t="s">
        <v>792</v>
      </c>
      <c r="D39" s="373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M1377"/>
  <sheetViews>
    <sheetView tabSelected="1" workbookViewId="0"/>
  </sheetViews>
  <sheetFormatPr baseColWidth="10" defaultRowHeight="15" x14ac:dyDescent="0.25"/>
  <cols>
    <col min="3" max="3" width="45.42578125" bestFit="1" customWidth="1"/>
  </cols>
  <sheetData>
    <row r="1" spans="1:13" x14ac:dyDescent="0.25">
      <c r="A1" t="s">
        <v>824</v>
      </c>
    </row>
    <row r="2" spans="1:13" x14ac:dyDescent="0.25">
      <c r="A2" t="s">
        <v>825</v>
      </c>
    </row>
    <row r="3" spans="1:13" x14ac:dyDescent="0.25">
      <c r="A3" t="s">
        <v>826</v>
      </c>
    </row>
    <row r="4" spans="1:13" x14ac:dyDescent="0.25">
      <c r="A4" t="s">
        <v>827</v>
      </c>
      <c r="K4" t="s">
        <v>828</v>
      </c>
      <c r="L4">
        <v>35</v>
      </c>
      <c r="M4" t="s">
        <v>829</v>
      </c>
    </row>
    <row r="5" spans="1:13" x14ac:dyDescent="0.25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13" x14ac:dyDescent="0.25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</row>
    <row r="7" spans="1:13" x14ac:dyDescent="0.25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</row>
    <row r="8" spans="1:13" x14ac:dyDescent="0.25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</row>
    <row r="9" spans="1:13" x14ac:dyDescent="0.25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</row>
    <row r="10" spans="1:13" x14ac:dyDescent="0.25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</row>
    <row r="11" spans="1:13" x14ac:dyDescent="0.25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</row>
    <row r="12" spans="1:13" x14ac:dyDescent="0.25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</row>
    <row r="13" spans="1:13" x14ac:dyDescent="0.25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</row>
    <row r="14" spans="1:13" x14ac:dyDescent="0.25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</row>
    <row r="15" spans="1:13" x14ac:dyDescent="0.25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</row>
    <row r="16" spans="1:13" x14ac:dyDescent="0.25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</row>
    <row r="17" spans="1:6" x14ac:dyDescent="0.25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</row>
    <row r="18" spans="1:6" x14ac:dyDescent="0.25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</row>
    <row r="19" spans="1:6" x14ac:dyDescent="0.25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</row>
    <row r="20" spans="1:6" x14ac:dyDescent="0.25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</row>
    <row r="21" spans="1:6" x14ac:dyDescent="0.25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</row>
    <row r="22" spans="1:6" x14ac:dyDescent="0.25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</row>
    <row r="23" spans="1:6" x14ac:dyDescent="0.25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</row>
    <row r="24" spans="1:6" x14ac:dyDescent="0.25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</row>
    <row r="25" spans="1:6" x14ac:dyDescent="0.25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</row>
    <row r="26" spans="1:6" x14ac:dyDescent="0.25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</row>
    <row r="27" spans="1:6" x14ac:dyDescent="0.25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</row>
    <row r="28" spans="1:6" x14ac:dyDescent="0.25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</row>
    <row r="29" spans="1:6" x14ac:dyDescent="0.25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</row>
    <row r="30" spans="1:6" x14ac:dyDescent="0.25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</row>
    <row r="31" spans="1:6" x14ac:dyDescent="0.25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</row>
    <row r="32" spans="1:6" x14ac:dyDescent="0.25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</row>
    <row r="33" spans="1:6" x14ac:dyDescent="0.25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</row>
    <row r="34" spans="1:6" x14ac:dyDescent="0.25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</row>
    <row r="35" spans="1:6" x14ac:dyDescent="0.25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</row>
    <row r="36" spans="1:6" x14ac:dyDescent="0.25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</row>
    <row r="37" spans="1:6" x14ac:dyDescent="0.25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</row>
    <row r="38" spans="1:6" x14ac:dyDescent="0.25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</row>
    <row r="39" spans="1:6" x14ac:dyDescent="0.25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</row>
    <row r="40" spans="1:6" x14ac:dyDescent="0.25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</row>
    <row r="41" spans="1:6" x14ac:dyDescent="0.25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</row>
    <row r="42" spans="1:6" x14ac:dyDescent="0.25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</row>
    <row r="43" spans="1:6" x14ac:dyDescent="0.25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6" x14ac:dyDescent="0.25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6" x14ac:dyDescent="0.25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6" x14ac:dyDescent="0.25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6" x14ac:dyDescent="0.25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6" x14ac:dyDescent="0.25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5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5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5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5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5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5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5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5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5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5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5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5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5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5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5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5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5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5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5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5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5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5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5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5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5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5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5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5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5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5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5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5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5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5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5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5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5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5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5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5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5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5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5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5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5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5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5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5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5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5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5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5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5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5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5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5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5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5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5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5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5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5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5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5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5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5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5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5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5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5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5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5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5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5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5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5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5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5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5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5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5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5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5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5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5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5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5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5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5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5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5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5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5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5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5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5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5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5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5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5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5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5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5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5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5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5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5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5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5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5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5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5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5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5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5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5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5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5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5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5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5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5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5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5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5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5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5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5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5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5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5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5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5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5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5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5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5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5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5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5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5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5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5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5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5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5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5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5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5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5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5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5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5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5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5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5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5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5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5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5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5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5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5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5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5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5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5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5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5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5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5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5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5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5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5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5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5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5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5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5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5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5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5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5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5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5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5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5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5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5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5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5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5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5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5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5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5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5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5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5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5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5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5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5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5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5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5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5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5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5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5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5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5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5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5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5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5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5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5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5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5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5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5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5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5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5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5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5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5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5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5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5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5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5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5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5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5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5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5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5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5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5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5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5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5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5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5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5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5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5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5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5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5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5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5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5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5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5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5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5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5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5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5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5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5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5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5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5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5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5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5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5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5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5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5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5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5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5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5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5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5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5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5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5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5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5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5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5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5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5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5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5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5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5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5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5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5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5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5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5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5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5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5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5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5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5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5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5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5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5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5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5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5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5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5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5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5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5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5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5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5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5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5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5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5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5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5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5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5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5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5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5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5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5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5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5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5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5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5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5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5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5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5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5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5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5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5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5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5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5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5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5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5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5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5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5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5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5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5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5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5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5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5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5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5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5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5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5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5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5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5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5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5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5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5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5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5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5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5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5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5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5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5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5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5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5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5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5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5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5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5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5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5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5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5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5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5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5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5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5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5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5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5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5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5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5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5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5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5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5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5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5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5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5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5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5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5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5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5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5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5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5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5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5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5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5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5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5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5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5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5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5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5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5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5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5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5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5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5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5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5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5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5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5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5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5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5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5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5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5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5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5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5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5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5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5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5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5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5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5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5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5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5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5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5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5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5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5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5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5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5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5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5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5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5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5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5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5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5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5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5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5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5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5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5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5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5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5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5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5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5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5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5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5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5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5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5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5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5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5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5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5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5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5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5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5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5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5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5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5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5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5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5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5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5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5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5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5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5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5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5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5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5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5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5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5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5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5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5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5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5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5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5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5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5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5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5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5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5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5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5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5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5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5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5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5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5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5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5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5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5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5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5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5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5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5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5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5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5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5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5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5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5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5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5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5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5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5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5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5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5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5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5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5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5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5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5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5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5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5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5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5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5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5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5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5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5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5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5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5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5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5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5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5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5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5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5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5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5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5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5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5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5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5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5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5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5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5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5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5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5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5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5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5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5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5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5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5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5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5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5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5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5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5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5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5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5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5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5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5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5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5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5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5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5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5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5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5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5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5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5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5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5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5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5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5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5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5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5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5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5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5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5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5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5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5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5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5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5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5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5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5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5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5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5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5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5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5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5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5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5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5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5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5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5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5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5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5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5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5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5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5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5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5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5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5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5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5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5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5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5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5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5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5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5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5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5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5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5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5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5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5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5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5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5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5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5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5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5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5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5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5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5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5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5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5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5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5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5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5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5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5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5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5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5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5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5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5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5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5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5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5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5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5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5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5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5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5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5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5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5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5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5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5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5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5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5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5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5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5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5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5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5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5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5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5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5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5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5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5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5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5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5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5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5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5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5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5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5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5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5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5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5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5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5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5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5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5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5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5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5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5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5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5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5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5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5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5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5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5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5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5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5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5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5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5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5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5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5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5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5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5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5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5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5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5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5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5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5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5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5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5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5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5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5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5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5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5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5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5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5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5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5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5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5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5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5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5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5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5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5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5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5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5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5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5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5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5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5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5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5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5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5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5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5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5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5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5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5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5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5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5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5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5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5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5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5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5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5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5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5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5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5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5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5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5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5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5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5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5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5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5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5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5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5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5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5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5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5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5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5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5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5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5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5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5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5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5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5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5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5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5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5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5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5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5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5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5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5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5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5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5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5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5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5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5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5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5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5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5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5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5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5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5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5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5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5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5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5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5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5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5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5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5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5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5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5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5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5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5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5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5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5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5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5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5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5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5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5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5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5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5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5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5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5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5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5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5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5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5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5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5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5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5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5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5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5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5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5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5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5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5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5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5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5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5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5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5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5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5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5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5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5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5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5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5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5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5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5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5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5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5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5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5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5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5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5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5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5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5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5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5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5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5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5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5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5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5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5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5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5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5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5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5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5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5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5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5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5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5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5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5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5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5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5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5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5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5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5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5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5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5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5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5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5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5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5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5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5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5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5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5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5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5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5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5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5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5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5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5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5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5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5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5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5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5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5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5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5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5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5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5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5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5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5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5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5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5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5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5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5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5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5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5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5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5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5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5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5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5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5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5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5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5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5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5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5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5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5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5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5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5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5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5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5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5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5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5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5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5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5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5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5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5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5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5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5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5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5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5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5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5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5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5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5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5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5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5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5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5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5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5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5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5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5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5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5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5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5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5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5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5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5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5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5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5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5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5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5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5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5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5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5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5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5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5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5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5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5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5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5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5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5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5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5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5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5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5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5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5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5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5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5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5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5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5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5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5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5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5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5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5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5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5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5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5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5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5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5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5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5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5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5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5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5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5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5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5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5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5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5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5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5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5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5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5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5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5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5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5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5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5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5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5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5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5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5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5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5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5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5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5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5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5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5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5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5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5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5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5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5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5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5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5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5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5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5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5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5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5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5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5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5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5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5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5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5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5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5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5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5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5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5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5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5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5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5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5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5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5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5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5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5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5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5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5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5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5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5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5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5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5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5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5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5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5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5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5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5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5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5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5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5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5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5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5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5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5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5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5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5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5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5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5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5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5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5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5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5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5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5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5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5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5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5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5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5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5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5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5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5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5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5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5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5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5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5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5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5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5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5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5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5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5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5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5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5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5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5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5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5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5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5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5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5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5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5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5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5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5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5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5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5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5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5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5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5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5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5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5"/>
  <cols>
    <col min="1" max="1" width="29.140625" customWidth="1"/>
    <col min="2" max="2" width="12.42578125" bestFit="1" customWidth="1"/>
    <col min="3" max="3" width="16.5703125" bestFit="1" customWidth="1"/>
    <col min="4" max="4" width="12.7109375" style="298" bestFit="1" customWidth="1"/>
    <col min="5" max="5" width="17.28515625" bestFit="1" customWidth="1"/>
    <col min="6" max="6" width="17.28515625" customWidth="1"/>
    <col min="7" max="7" width="18.5703125" bestFit="1" customWidth="1"/>
    <col min="8" max="8" width="27.85546875" style="297" bestFit="1" customWidth="1"/>
  </cols>
  <sheetData>
    <row r="1" spans="1:8" x14ac:dyDescent="0.25">
      <c r="A1" t="s">
        <v>610</v>
      </c>
      <c r="B1" t="s">
        <v>616</v>
      </c>
      <c r="C1" t="s">
        <v>617</v>
      </c>
      <c r="D1" s="298" t="s">
        <v>623</v>
      </c>
      <c r="E1" t="s">
        <v>618</v>
      </c>
      <c r="F1" t="s">
        <v>624</v>
      </c>
      <c r="G1" t="s">
        <v>619</v>
      </c>
      <c r="H1" s="297" t="s">
        <v>622</v>
      </c>
    </row>
    <row r="2" spans="1:8" x14ac:dyDescent="0.25">
      <c r="A2" t="s">
        <v>612</v>
      </c>
      <c r="B2" t="s">
        <v>591</v>
      </c>
      <c r="C2" t="s">
        <v>594</v>
      </c>
      <c r="D2" s="298">
        <v>248.19935457050659</v>
      </c>
      <c r="E2" t="s">
        <v>614</v>
      </c>
      <c r="F2" t="s">
        <v>625</v>
      </c>
      <c r="G2" t="s">
        <v>615</v>
      </c>
      <c r="H2" s="297">
        <v>31963283.648498319</v>
      </c>
    </row>
    <row r="3" spans="1:8" x14ac:dyDescent="0.25">
      <c r="A3" t="s">
        <v>612</v>
      </c>
      <c r="B3" t="s">
        <v>591</v>
      </c>
      <c r="C3" t="s">
        <v>626</v>
      </c>
      <c r="D3" s="298">
        <v>248.19935457050659</v>
      </c>
      <c r="E3" t="s">
        <v>614</v>
      </c>
      <c r="F3" t="s">
        <v>625</v>
      </c>
      <c r="G3" t="s">
        <v>615</v>
      </c>
      <c r="H3" s="297">
        <v>31963283.648498319</v>
      </c>
    </row>
    <row r="4" spans="1:8" x14ac:dyDescent="0.25">
      <c r="A4" t="s">
        <v>612</v>
      </c>
      <c r="B4" t="s">
        <v>591</v>
      </c>
      <c r="C4" t="s">
        <v>596</v>
      </c>
      <c r="D4" s="298">
        <v>248.19935457050701</v>
      </c>
      <c r="E4" t="s">
        <v>614</v>
      </c>
      <c r="F4" t="s">
        <v>625</v>
      </c>
      <c r="G4" t="s">
        <v>615</v>
      </c>
      <c r="H4" s="297">
        <v>31963283.6484983</v>
      </c>
    </row>
    <row r="5" spans="1:8" x14ac:dyDescent="0.25">
      <c r="A5" t="s">
        <v>612</v>
      </c>
      <c r="B5" t="s">
        <v>613</v>
      </c>
      <c r="C5" t="s">
        <v>594</v>
      </c>
      <c r="D5" s="298">
        <v>214.21316316166173</v>
      </c>
      <c r="E5" t="s">
        <v>614</v>
      </c>
      <c r="F5" t="s">
        <v>625</v>
      </c>
      <c r="G5" t="s">
        <v>615</v>
      </c>
      <c r="H5" s="297">
        <v>31963283.648498319</v>
      </c>
    </row>
    <row r="6" spans="1:8" x14ac:dyDescent="0.25">
      <c r="A6" t="s">
        <v>612</v>
      </c>
      <c r="B6" t="s">
        <v>613</v>
      </c>
      <c r="C6" t="s">
        <v>626</v>
      </c>
      <c r="D6" s="298">
        <v>214.21316316166173</v>
      </c>
      <c r="E6" t="s">
        <v>614</v>
      </c>
      <c r="F6" t="s">
        <v>625</v>
      </c>
      <c r="G6" t="s">
        <v>615</v>
      </c>
      <c r="H6" s="297">
        <v>31963283.648498319</v>
      </c>
    </row>
    <row r="7" spans="1:8" x14ac:dyDescent="0.25">
      <c r="A7" t="s">
        <v>612</v>
      </c>
      <c r="B7" t="s">
        <v>613</v>
      </c>
      <c r="C7" t="s">
        <v>596</v>
      </c>
      <c r="D7" s="298">
        <v>214.21316316166201</v>
      </c>
      <c r="E7" t="s">
        <v>614</v>
      </c>
      <c r="F7" t="s">
        <v>625</v>
      </c>
      <c r="G7" t="s">
        <v>615</v>
      </c>
      <c r="H7" s="297">
        <v>31963283.6484983</v>
      </c>
    </row>
    <row r="8" spans="1:8" x14ac:dyDescent="0.25">
      <c r="A8" t="s">
        <v>612</v>
      </c>
      <c r="B8" t="s">
        <v>593</v>
      </c>
      <c r="C8" t="s">
        <v>594</v>
      </c>
      <c r="D8" s="298">
        <v>190.04084291548995</v>
      </c>
      <c r="E8" t="s">
        <v>614</v>
      </c>
      <c r="F8" t="s">
        <v>625</v>
      </c>
      <c r="G8" t="s">
        <v>615</v>
      </c>
      <c r="H8" s="297">
        <v>31963283.648498319</v>
      </c>
    </row>
    <row r="9" spans="1:8" x14ac:dyDescent="0.25">
      <c r="A9" t="s">
        <v>612</v>
      </c>
      <c r="B9" t="s">
        <v>593</v>
      </c>
      <c r="C9" t="s">
        <v>626</v>
      </c>
      <c r="D9" s="298">
        <v>190.04084291548995</v>
      </c>
      <c r="E9" t="s">
        <v>614</v>
      </c>
      <c r="F9" t="s">
        <v>625</v>
      </c>
      <c r="G9" t="s">
        <v>615</v>
      </c>
      <c r="H9" s="297">
        <v>31963283.648498319</v>
      </c>
    </row>
    <row r="10" spans="1:8" x14ac:dyDescent="0.25">
      <c r="A10" t="s">
        <v>612</v>
      </c>
      <c r="B10" t="s">
        <v>593</v>
      </c>
      <c r="C10" t="s">
        <v>596</v>
      </c>
      <c r="D10" s="298">
        <v>190.04084291548995</v>
      </c>
      <c r="E10" t="s">
        <v>614</v>
      </c>
      <c r="F10" t="s">
        <v>625</v>
      </c>
      <c r="G10" t="s">
        <v>615</v>
      </c>
      <c r="H10" s="297">
        <v>31963283.648498319</v>
      </c>
    </row>
    <row r="11" spans="1:8" x14ac:dyDescent="0.25">
      <c r="A11" t="s">
        <v>611</v>
      </c>
      <c r="B11" t="s">
        <v>591</v>
      </c>
      <c r="C11" t="s">
        <v>594</v>
      </c>
      <c r="D11" s="298">
        <v>-2986.2338258938798</v>
      </c>
      <c r="E11" t="s">
        <v>614</v>
      </c>
      <c r="F11" t="s">
        <v>625</v>
      </c>
      <c r="G11" t="s">
        <v>615</v>
      </c>
      <c r="H11" s="297">
        <v>-20086298.044938833</v>
      </c>
    </row>
    <row r="12" spans="1:8" x14ac:dyDescent="0.25">
      <c r="A12" t="s">
        <v>611</v>
      </c>
      <c r="B12" t="s">
        <v>591</v>
      </c>
      <c r="C12" t="s">
        <v>626</v>
      </c>
      <c r="D12" s="298">
        <v>1192.3451606986368</v>
      </c>
      <c r="E12" t="s">
        <v>614</v>
      </c>
      <c r="F12" t="s">
        <v>625</v>
      </c>
      <c r="G12" t="s">
        <v>615</v>
      </c>
      <c r="H12" s="297">
        <v>50306223.932369284</v>
      </c>
    </row>
    <row r="13" spans="1:8" x14ac:dyDescent="0.25">
      <c r="A13" t="s">
        <v>611</v>
      </c>
      <c r="B13" t="s">
        <v>591</v>
      </c>
      <c r="C13" t="s">
        <v>596</v>
      </c>
      <c r="D13" s="298">
        <v>684.85941048392772</v>
      </c>
      <c r="E13" t="s">
        <v>614</v>
      </c>
      <c r="F13" t="s">
        <v>625</v>
      </c>
      <c r="G13" t="s">
        <v>615</v>
      </c>
      <c r="H13" s="297">
        <v>87583497.781535029</v>
      </c>
    </row>
    <row r="14" spans="1:8" x14ac:dyDescent="0.25">
      <c r="A14" t="s">
        <v>611</v>
      </c>
      <c r="B14" t="s">
        <v>613</v>
      </c>
      <c r="C14" t="s">
        <v>594</v>
      </c>
      <c r="D14" s="298">
        <v>-1768.4888854860515</v>
      </c>
      <c r="E14" t="s">
        <v>614</v>
      </c>
      <c r="F14" t="s">
        <v>625</v>
      </c>
      <c r="G14" t="s">
        <v>615</v>
      </c>
      <c r="H14" s="297">
        <v>-20086298.044938833</v>
      </c>
    </row>
    <row r="15" spans="1:8" x14ac:dyDescent="0.25">
      <c r="A15" t="s">
        <v>611</v>
      </c>
      <c r="B15" t="s">
        <v>613</v>
      </c>
      <c r="C15" t="s">
        <v>626</v>
      </c>
      <c r="D15" s="298">
        <v>706.1232600322013</v>
      </c>
      <c r="E15" t="s">
        <v>614</v>
      </c>
      <c r="F15" t="s">
        <v>625</v>
      </c>
      <c r="G15" t="s">
        <v>615</v>
      </c>
      <c r="H15" s="297">
        <v>50306223.932369284</v>
      </c>
    </row>
    <row r="16" spans="1:8" x14ac:dyDescent="0.25">
      <c r="A16" t="s">
        <v>611</v>
      </c>
      <c r="B16" t="s">
        <v>613</v>
      </c>
      <c r="C16" t="s">
        <v>596</v>
      </c>
      <c r="D16" s="298">
        <v>405.58319481188414</v>
      </c>
      <c r="E16" t="s">
        <v>614</v>
      </c>
      <c r="F16" t="s">
        <v>625</v>
      </c>
      <c r="G16" t="s">
        <v>615</v>
      </c>
      <c r="H16" s="297">
        <v>87583497.781535029</v>
      </c>
    </row>
    <row r="17" spans="1:8" x14ac:dyDescent="0.25">
      <c r="A17" t="s">
        <v>611</v>
      </c>
      <c r="B17" t="s">
        <v>593</v>
      </c>
      <c r="C17" t="s">
        <v>594</v>
      </c>
      <c r="D17" s="298">
        <v>-1508.103003853711</v>
      </c>
      <c r="E17" t="s">
        <v>614</v>
      </c>
      <c r="F17" t="s">
        <v>625</v>
      </c>
      <c r="G17" t="s">
        <v>615</v>
      </c>
      <c r="H17" s="297">
        <v>-20086298.044938833</v>
      </c>
    </row>
    <row r="18" spans="1:8" x14ac:dyDescent="0.25">
      <c r="A18" t="s">
        <v>611</v>
      </c>
      <c r="B18" t="s">
        <v>593</v>
      </c>
      <c r="C18" t="s">
        <v>626</v>
      </c>
      <c r="D18" s="298">
        <v>602.1562353516623</v>
      </c>
      <c r="E18" t="s">
        <v>614</v>
      </c>
      <c r="F18" t="s">
        <v>625</v>
      </c>
      <c r="G18" t="s">
        <v>615</v>
      </c>
      <c r="H18" s="297">
        <v>50306223.932369284</v>
      </c>
    </row>
    <row r="19" spans="1:8" x14ac:dyDescent="0.25">
      <c r="A19" t="s">
        <v>611</v>
      </c>
      <c r="B19" t="s">
        <v>593</v>
      </c>
      <c r="C19" t="s">
        <v>596</v>
      </c>
      <c r="D19" s="298">
        <v>345.86659799124402</v>
      </c>
      <c r="E19" t="s">
        <v>614</v>
      </c>
      <c r="F19" t="s">
        <v>625</v>
      </c>
      <c r="G19" t="s">
        <v>615</v>
      </c>
      <c r="H19" s="297">
        <v>87583497.781535029</v>
      </c>
    </row>
    <row r="20" spans="1:8" x14ac:dyDescent="0.25">
      <c r="A20" t="s">
        <v>10</v>
      </c>
      <c r="B20" t="s">
        <v>591</v>
      </c>
      <c r="C20" t="s">
        <v>594</v>
      </c>
      <c r="D20" s="298">
        <v>2138.4591698485051</v>
      </c>
      <c r="E20" t="s">
        <v>614</v>
      </c>
      <c r="F20" t="s">
        <v>625</v>
      </c>
      <c r="G20" t="s">
        <v>615</v>
      </c>
      <c r="H20" s="297">
        <v>116847359.99999996</v>
      </c>
    </row>
    <row r="21" spans="1:8" x14ac:dyDescent="0.25">
      <c r="A21" t="s">
        <v>10</v>
      </c>
      <c r="B21" t="s">
        <v>591</v>
      </c>
      <c r="C21" t="s">
        <v>626</v>
      </c>
      <c r="D21" s="298">
        <v>1137.2152810755051</v>
      </c>
      <c r="E21" t="s">
        <v>614</v>
      </c>
      <c r="F21" t="s">
        <v>625</v>
      </c>
      <c r="G21" t="s">
        <v>615</v>
      </c>
      <c r="H21" s="297">
        <v>219723839.99999994</v>
      </c>
    </row>
    <row r="22" spans="1:8" x14ac:dyDescent="0.25">
      <c r="A22" t="s">
        <v>10</v>
      </c>
      <c r="B22" t="s">
        <v>591</v>
      </c>
      <c r="C22" t="s">
        <v>596</v>
      </c>
      <c r="D22" s="298">
        <v>741.01033380814465</v>
      </c>
      <c r="E22" t="s">
        <v>614</v>
      </c>
      <c r="F22" t="s">
        <v>625</v>
      </c>
      <c r="G22" t="s">
        <v>615</v>
      </c>
      <c r="H22" s="297">
        <v>337206239.99999994</v>
      </c>
    </row>
    <row r="23" spans="1:8" x14ac:dyDescent="0.25">
      <c r="A23" t="s">
        <v>10</v>
      </c>
      <c r="B23" t="s">
        <v>613</v>
      </c>
      <c r="C23" t="s">
        <v>594</v>
      </c>
      <c r="D23" s="298">
        <v>1585.811060475429</v>
      </c>
      <c r="E23" t="s">
        <v>614</v>
      </c>
      <c r="F23" t="s">
        <v>625</v>
      </c>
      <c r="G23" t="s">
        <v>615</v>
      </c>
      <c r="H23" s="297">
        <v>116847359.99999996</v>
      </c>
    </row>
    <row r="24" spans="1:8" x14ac:dyDescent="0.25">
      <c r="A24" t="s">
        <v>10</v>
      </c>
      <c r="B24" t="s">
        <v>613</v>
      </c>
      <c r="C24" t="s">
        <v>626</v>
      </c>
      <c r="D24" s="298">
        <v>843.3214888077423</v>
      </c>
      <c r="E24" t="s">
        <v>614</v>
      </c>
      <c r="F24" t="s">
        <v>625</v>
      </c>
      <c r="G24" t="s">
        <v>615</v>
      </c>
      <c r="H24" s="297">
        <v>219723839.99999994</v>
      </c>
    </row>
    <row r="25" spans="1:8" x14ac:dyDescent="0.25">
      <c r="A25" t="s">
        <v>10</v>
      </c>
      <c r="B25" t="s">
        <v>613</v>
      </c>
      <c r="C25" t="s">
        <v>596</v>
      </c>
      <c r="D25" s="298">
        <v>549.50891737754966</v>
      </c>
      <c r="E25" t="s">
        <v>614</v>
      </c>
      <c r="F25" t="s">
        <v>625</v>
      </c>
      <c r="G25" t="s">
        <v>615</v>
      </c>
      <c r="H25" s="297">
        <v>337206239.99999994</v>
      </c>
    </row>
    <row r="26" spans="1:8" x14ac:dyDescent="0.25">
      <c r="A26" t="s">
        <v>10</v>
      </c>
      <c r="B26" t="s">
        <v>593</v>
      </c>
      <c r="C26" t="s">
        <v>594</v>
      </c>
      <c r="D26" s="298">
        <v>898.36956521739194</v>
      </c>
      <c r="E26" t="s">
        <v>614</v>
      </c>
      <c r="F26" t="s">
        <v>625</v>
      </c>
      <c r="G26" t="s">
        <v>615</v>
      </c>
      <c r="H26" s="297">
        <v>116847359.99999996</v>
      </c>
    </row>
    <row r="27" spans="1:8" x14ac:dyDescent="0.25">
      <c r="A27" t="s">
        <v>10</v>
      </c>
      <c r="B27" t="s">
        <v>593</v>
      </c>
      <c r="C27" t="s">
        <v>626</v>
      </c>
      <c r="D27" s="298">
        <v>477.74566473988455</v>
      </c>
      <c r="E27" t="s">
        <v>614</v>
      </c>
      <c r="F27" t="s">
        <v>625</v>
      </c>
      <c r="G27" t="s">
        <v>615</v>
      </c>
      <c r="H27" s="297">
        <v>219723839.99999994</v>
      </c>
    </row>
    <row r="28" spans="1:8" x14ac:dyDescent="0.25">
      <c r="A28" t="s">
        <v>10</v>
      </c>
      <c r="B28" t="s">
        <v>593</v>
      </c>
      <c r="C28" t="s">
        <v>596</v>
      </c>
      <c r="D28" s="298">
        <v>311.29943502824869</v>
      </c>
      <c r="E28" t="s">
        <v>614</v>
      </c>
      <c r="F28" t="s">
        <v>625</v>
      </c>
      <c r="G28" t="s">
        <v>615</v>
      </c>
      <c r="H28" s="297">
        <v>337206239.99999994</v>
      </c>
    </row>
    <row r="29" spans="1:8" x14ac:dyDescent="0.25">
      <c r="A29" t="s">
        <v>620</v>
      </c>
      <c r="B29" t="s">
        <v>591</v>
      </c>
      <c r="C29" t="s">
        <v>594</v>
      </c>
      <c r="D29" s="298">
        <v>388.32621116819502</v>
      </c>
      <c r="E29" t="s">
        <v>614</v>
      </c>
      <c r="F29" t="s">
        <v>625</v>
      </c>
      <c r="G29" t="s">
        <v>615</v>
      </c>
      <c r="H29" s="297">
        <v>156733500</v>
      </c>
    </row>
    <row r="30" spans="1:8" x14ac:dyDescent="0.25">
      <c r="A30" t="s">
        <v>620</v>
      </c>
      <c r="B30" t="s">
        <v>591</v>
      </c>
      <c r="C30" t="s">
        <v>626</v>
      </c>
      <c r="D30" s="298">
        <v>388.32621116819524</v>
      </c>
      <c r="E30" t="s">
        <v>614</v>
      </c>
      <c r="F30" t="s">
        <v>625</v>
      </c>
      <c r="G30" t="s">
        <v>615</v>
      </c>
      <c r="H30" s="297">
        <v>156733500.00000003</v>
      </c>
    </row>
    <row r="31" spans="1:8" x14ac:dyDescent="0.25">
      <c r="A31" t="s">
        <v>620</v>
      </c>
      <c r="B31" t="s">
        <v>591</v>
      </c>
      <c r="C31" t="s">
        <v>596</v>
      </c>
      <c r="D31" s="298">
        <v>388.32621116819524</v>
      </c>
      <c r="E31" t="s">
        <v>614</v>
      </c>
      <c r="F31" t="s">
        <v>625</v>
      </c>
      <c r="G31" t="s">
        <v>615</v>
      </c>
      <c r="H31" s="297">
        <v>156733500.00000003</v>
      </c>
    </row>
    <row r="32" spans="1:8" x14ac:dyDescent="0.25">
      <c r="A32" t="s">
        <v>620</v>
      </c>
      <c r="B32" t="s">
        <v>613</v>
      </c>
      <c r="C32" t="s">
        <v>594</v>
      </c>
      <c r="D32" s="298">
        <v>305.39155903394646</v>
      </c>
      <c r="E32" t="s">
        <v>614</v>
      </c>
      <c r="F32" t="s">
        <v>625</v>
      </c>
      <c r="G32" t="s">
        <v>615</v>
      </c>
      <c r="H32" s="297">
        <v>156733500.00000003</v>
      </c>
    </row>
    <row r="33" spans="1:8" x14ac:dyDescent="0.25">
      <c r="A33" t="s">
        <v>620</v>
      </c>
      <c r="B33" t="s">
        <v>613</v>
      </c>
      <c r="C33" t="s">
        <v>626</v>
      </c>
      <c r="D33" s="298">
        <v>305.39155903394646</v>
      </c>
      <c r="E33" t="s">
        <v>614</v>
      </c>
      <c r="F33" t="s">
        <v>625</v>
      </c>
      <c r="G33" t="s">
        <v>615</v>
      </c>
      <c r="H33" s="297">
        <v>156733500.00000003</v>
      </c>
    </row>
    <row r="34" spans="1:8" x14ac:dyDescent="0.25">
      <c r="A34" t="s">
        <v>620</v>
      </c>
      <c r="B34" t="s">
        <v>613</v>
      </c>
      <c r="C34" t="s">
        <v>596</v>
      </c>
      <c r="D34" s="298">
        <v>305.39155903394601</v>
      </c>
      <c r="E34" t="s">
        <v>614</v>
      </c>
      <c r="F34" t="s">
        <v>625</v>
      </c>
      <c r="G34" t="s">
        <v>615</v>
      </c>
      <c r="H34" s="297">
        <v>156733500</v>
      </c>
    </row>
    <row r="35" spans="1:8" x14ac:dyDescent="0.25">
      <c r="A35" t="s">
        <v>620</v>
      </c>
      <c r="B35" t="s">
        <v>593</v>
      </c>
      <c r="C35" t="s">
        <v>594</v>
      </c>
      <c r="D35" s="298">
        <v>240.234311230614</v>
      </c>
      <c r="E35" t="s">
        <v>614</v>
      </c>
      <c r="F35" t="s">
        <v>625</v>
      </c>
      <c r="G35" t="s">
        <v>615</v>
      </c>
      <c r="H35" s="297">
        <v>156733500</v>
      </c>
    </row>
    <row r="36" spans="1:8" x14ac:dyDescent="0.25">
      <c r="A36" t="s">
        <v>620</v>
      </c>
      <c r="B36" t="s">
        <v>593</v>
      </c>
      <c r="C36" t="s">
        <v>626</v>
      </c>
      <c r="D36" s="298">
        <v>240.23431123061417</v>
      </c>
      <c r="E36" t="s">
        <v>614</v>
      </c>
      <c r="F36" t="s">
        <v>625</v>
      </c>
      <c r="G36" t="s">
        <v>615</v>
      </c>
      <c r="H36" s="297">
        <v>156733500.00000003</v>
      </c>
    </row>
    <row r="37" spans="1:8" x14ac:dyDescent="0.25">
      <c r="A37" t="s">
        <v>620</v>
      </c>
      <c r="B37" t="s">
        <v>593</v>
      </c>
      <c r="C37" t="s">
        <v>596</v>
      </c>
      <c r="D37" s="298">
        <v>240.23431123061417</v>
      </c>
      <c r="E37" t="s">
        <v>614</v>
      </c>
      <c r="F37" t="s">
        <v>625</v>
      </c>
      <c r="G37" t="s">
        <v>615</v>
      </c>
      <c r="H37" s="297">
        <v>156733500.00000003</v>
      </c>
    </row>
    <row r="38" spans="1:8" x14ac:dyDescent="0.25">
      <c r="A38" t="s">
        <v>621</v>
      </c>
      <c r="B38" t="s">
        <v>591</v>
      </c>
      <c r="C38" t="s">
        <v>594</v>
      </c>
      <c r="D38" s="298">
        <v>306.65264234936598</v>
      </c>
      <c r="E38" t="s">
        <v>614</v>
      </c>
      <c r="F38" t="s">
        <v>625</v>
      </c>
      <c r="G38" t="s">
        <v>615</v>
      </c>
      <c r="H38" s="297">
        <v>1262713340</v>
      </c>
    </row>
    <row r="39" spans="1:8" x14ac:dyDescent="0.25">
      <c r="A39" t="s">
        <v>621</v>
      </c>
      <c r="B39" t="s">
        <v>591</v>
      </c>
      <c r="C39" t="s">
        <v>626</v>
      </c>
      <c r="D39" s="298">
        <v>287.65646096489195</v>
      </c>
      <c r="E39" t="s">
        <v>614</v>
      </c>
      <c r="F39" t="s">
        <v>625</v>
      </c>
      <c r="G39" t="s">
        <v>615</v>
      </c>
      <c r="H39" s="297">
        <v>1346100070</v>
      </c>
    </row>
    <row r="40" spans="1:8" x14ac:dyDescent="0.25">
      <c r="A40" t="s">
        <v>621</v>
      </c>
      <c r="B40" t="s">
        <v>591</v>
      </c>
      <c r="C40" t="s">
        <v>596</v>
      </c>
      <c r="D40" s="298">
        <v>263.04770014246191</v>
      </c>
      <c r="E40" t="s">
        <v>614</v>
      </c>
      <c r="F40" t="s">
        <v>625</v>
      </c>
      <c r="G40" t="s">
        <v>615</v>
      </c>
      <c r="H40" s="297">
        <v>1472031050.0000002</v>
      </c>
    </row>
    <row r="41" spans="1:8" x14ac:dyDescent="0.25">
      <c r="A41" t="s">
        <v>621</v>
      </c>
      <c r="B41" t="s">
        <v>613</v>
      </c>
      <c r="C41" t="s">
        <v>594</v>
      </c>
      <c r="D41" s="298">
        <v>240.08345868680482</v>
      </c>
      <c r="E41" t="s">
        <v>614</v>
      </c>
      <c r="F41" t="s">
        <v>625</v>
      </c>
      <c r="G41" t="s">
        <v>615</v>
      </c>
      <c r="H41" s="297">
        <v>1262713340</v>
      </c>
    </row>
    <row r="42" spans="1:8" x14ac:dyDescent="0.25">
      <c r="A42" t="s">
        <v>621</v>
      </c>
      <c r="B42" t="s">
        <v>613</v>
      </c>
      <c r="C42" t="s">
        <v>626</v>
      </c>
      <c r="D42" s="298">
        <v>225.21103204248945</v>
      </c>
      <c r="E42" t="s">
        <v>614</v>
      </c>
      <c r="F42" t="s">
        <v>625</v>
      </c>
      <c r="G42" t="s">
        <v>615</v>
      </c>
      <c r="H42" s="297">
        <v>1346100070</v>
      </c>
    </row>
    <row r="43" spans="1:8" x14ac:dyDescent="0.25">
      <c r="A43" t="s">
        <v>621</v>
      </c>
      <c r="B43" t="s">
        <v>613</v>
      </c>
      <c r="C43" t="s">
        <v>596</v>
      </c>
      <c r="D43" s="298">
        <v>205.94442352093543</v>
      </c>
      <c r="E43" t="s">
        <v>614</v>
      </c>
      <c r="F43" t="s">
        <v>625</v>
      </c>
      <c r="G43" t="s">
        <v>615</v>
      </c>
      <c r="H43" s="297">
        <v>1472031050.0000002</v>
      </c>
    </row>
    <row r="44" spans="1:8" x14ac:dyDescent="0.25">
      <c r="A44" t="s">
        <v>621</v>
      </c>
      <c r="B44" t="s">
        <v>593</v>
      </c>
      <c r="C44" t="s">
        <v>594</v>
      </c>
      <c r="D44" s="298">
        <v>215.53759458778438</v>
      </c>
      <c r="E44" t="s">
        <v>614</v>
      </c>
      <c r="F44" t="s">
        <v>625</v>
      </c>
      <c r="G44" t="s">
        <v>615</v>
      </c>
      <c r="H44" s="297">
        <v>1262713340</v>
      </c>
    </row>
    <row r="45" spans="1:8" x14ac:dyDescent="0.25">
      <c r="A45" t="s">
        <v>621</v>
      </c>
      <c r="B45" t="s">
        <v>593</v>
      </c>
      <c r="C45" t="s">
        <v>626</v>
      </c>
      <c r="D45" s="298">
        <v>202.18570819739062</v>
      </c>
      <c r="E45" t="s">
        <v>614</v>
      </c>
      <c r="F45" t="s">
        <v>625</v>
      </c>
      <c r="G45" t="s">
        <v>615</v>
      </c>
      <c r="H45" s="297">
        <v>1346100070</v>
      </c>
    </row>
    <row r="46" spans="1:8" x14ac:dyDescent="0.25">
      <c r="A46" t="s">
        <v>621</v>
      </c>
      <c r="B46" t="s">
        <v>593</v>
      </c>
      <c r="C46" t="s">
        <v>596</v>
      </c>
      <c r="D46" s="298">
        <v>184.88889616663121</v>
      </c>
      <c r="E46" t="s">
        <v>614</v>
      </c>
      <c r="F46" t="s">
        <v>625</v>
      </c>
      <c r="G46" t="s">
        <v>615</v>
      </c>
      <c r="H46" s="297">
        <v>1472031050.0000002</v>
      </c>
    </row>
    <row r="47" spans="1:8" x14ac:dyDescent="0.25">
      <c r="A47" t="s">
        <v>590</v>
      </c>
      <c r="B47" t="s">
        <v>591</v>
      </c>
      <c r="C47" t="s">
        <v>594</v>
      </c>
      <c r="D47" s="298">
        <v>385.804005711537</v>
      </c>
      <c r="E47" t="s">
        <v>614</v>
      </c>
      <c r="F47" t="s">
        <v>625</v>
      </c>
      <c r="G47" t="s">
        <v>615</v>
      </c>
      <c r="H47" s="297">
        <v>677349540</v>
      </c>
    </row>
    <row r="48" spans="1:8" x14ac:dyDescent="0.25">
      <c r="A48" t="s">
        <v>590</v>
      </c>
      <c r="B48" t="s">
        <v>591</v>
      </c>
      <c r="C48" t="s">
        <v>626</v>
      </c>
      <c r="D48" s="298">
        <v>361.90464252586656</v>
      </c>
      <c r="E48" t="s">
        <v>614</v>
      </c>
      <c r="F48" t="s">
        <v>625</v>
      </c>
      <c r="G48" t="s">
        <v>615</v>
      </c>
      <c r="H48" s="297">
        <v>722080170</v>
      </c>
    </row>
    <row r="49" spans="1:8" x14ac:dyDescent="0.25">
      <c r="A49" t="s">
        <v>590</v>
      </c>
      <c r="B49" t="s">
        <v>591</v>
      </c>
      <c r="C49" t="s">
        <v>596</v>
      </c>
      <c r="D49" s="298">
        <v>330.94401414793117</v>
      </c>
      <c r="E49" t="s">
        <v>614</v>
      </c>
      <c r="F49" t="s">
        <v>625</v>
      </c>
      <c r="G49" t="s">
        <v>615</v>
      </c>
      <c r="H49" s="297">
        <v>789632550</v>
      </c>
    </row>
    <row r="50" spans="1:8" x14ac:dyDescent="0.25">
      <c r="A50" t="s">
        <v>590</v>
      </c>
      <c r="B50" t="s">
        <v>613</v>
      </c>
      <c r="C50" t="s">
        <v>594</v>
      </c>
      <c r="D50" s="298">
        <v>373.19128303413959</v>
      </c>
      <c r="E50" t="s">
        <v>614</v>
      </c>
      <c r="F50" t="s">
        <v>625</v>
      </c>
      <c r="G50" t="s">
        <v>615</v>
      </c>
      <c r="H50" s="297">
        <v>677349540</v>
      </c>
    </row>
    <row r="51" spans="1:8" x14ac:dyDescent="0.25">
      <c r="A51" t="s">
        <v>590</v>
      </c>
      <c r="B51" t="s">
        <v>613</v>
      </c>
      <c r="C51" t="s">
        <v>626</v>
      </c>
      <c r="D51" s="298">
        <v>350.07323895237869</v>
      </c>
      <c r="E51" t="s">
        <v>614</v>
      </c>
      <c r="F51" t="s">
        <v>625</v>
      </c>
      <c r="G51" t="s">
        <v>615</v>
      </c>
      <c r="H51" s="297">
        <v>722080170</v>
      </c>
    </row>
    <row r="52" spans="1:8" x14ac:dyDescent="0.25">
      <c r="A52" t="s">
        <v>590</v>
      </c>
      <c r="B52" t="s">
        <v>613</v>
      </c>
      <c r="C52" t="s">
        <v>596</v>
      </c>
      <c r="D52" s="298">
        <v>320.12477689171277</v>
      </c>
      <c r="E52" t="s">
        <v>614</v>
      </c>
      <c r="F52" t="s">
        <v>625</v>
      </c>
      <c r="G52" t="s">
        <v>615</v>
      </c>
      <c r="H52" s="297">
        <v>789632550</v>
      </c>
    </row>
    <row r="53" spans="1:8" x14ac:dyDescent="0.25">
      <c r="A53" t="s">
        <v>590</v>
      </c>
      <c r="B53" t="s">
        <v>593</v>
      </c>
      <c r="C53" t="s">
        <v>594</v>
      </c>
      <c r="D53" s="298">
        <v>252.85920450814368</v>
      </c>
      <c r="E53" t="s">
        <v>614</v>
      </c>
      <c r="F53" t="s">
        <v>625</v>
      </c>
      <c r="G53" t="s">
        <v>615</v>
      </c>
      <c r="H53" s="297">
        <v>677349540</v>
      </c>
    </row>
    <row r="54" spans="1:8" x14ac:dyDescent="0.25">
      <c r="A54" t="s">
        <v>590</v>
      </c>
      <c r="B54" t="s">
        <v>593</v>
      </c>
      <c r="C54" t="s">
        <v>626</v>
      </c>
      <c r="D54" s="298">
        <v>237.19535998109049</v>
      </c>
      <c r="E54" t="s">
        <v>614</v>
      </c>
      <c r="F54" t="s">
        <v>625</v>
      </c>
      <c r="G54" t="s">
        <v>615</v>
      </c>
      <c r="H54" s="297">
        <v>722080170</v>
      </c>
    </row>
    <row r="55" spans="1:8" x14ac:dyDescent="0.25">
      <c r="A55" t="s">
        <v>590</v>
      </c>
      <c r="B55" t="s">
        <v>593</v>
      </c>
      <c r="C55" t="s">
        <v>596</v>
      </c>
      <c r="D55" s="298">
        <v>216.90350259542495</v>
      </c>
      <c r="E55" t="s">
        <v>614</v>
      </c>
      <c r="F55" t="s">
        <v>625</v>
      </c>
      <c r="G55" t="s">
        <v>615</v>
      </c>
      <c r="H55" s="297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Cost Summary_OLD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2024-04-16T13:49:21Z</dcterms:modified>
</cp:coreProperties>
</file>