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cost_data\"/>
    </mc:Choice>
  </mc:AlternateContent>
  <xr:revisionPtr revIDLastSave="0" documentId="13_ncr:1_{D8341E68-C49D-4D0D-B3EE-D14B5BD82C3C}" xr6:coauthVersionLast="47" xr6:coauthVersionMax="47" xr10:uidLastSave="{00000000-0000-0000-0000-000000000000}"/>
  <bookViews>
    <workbookView xWindow="-28920" yWindow="-75" windowWidth="29040" windowHeight="15840" firstSheet="6" activeTab="13" xr2:uid="{00000000-000D-0000-FFFF-FFFF00000000}"/>
  </bookViews>
  <sheets>
    <sheet name="Synthesis" sheetId="1" r:id="rId1"/>
    <sheet name="Available biomass" sheetId="2" r:id="rId2"/>
    <sheet name="FT process" sheetId="6" r:id="rId3"/>
    <sheet name="AtJ process" sheetId="8" r:id="rId4"/>
    <sheet name="HEFA process" sheetId="7" r:id="rId5"/>
    <sheet name="Biomass_Cost" sheetId="13" r:id="rId6"/>
    <sheet name="Biomass_Cost_Reference" sheetId="14" r:id="rId7"/>
    <sheet name="Kerosene" sheetId="17" r:id="rId8"/>
    <sheet name="Cost Summary-V1" sheetId="12" r:id="rId9"/>
    <sheet name="Cost Analysis-FT" sheetId="11" r:id="rId10"/>
    <sheet name="Cost Analysis-HEFA" sheetId="9" r:id="rId11"/>
    <sheet name="Cost Summary-V2" sheetId="15" r:id="rId12"/>
    <sheet name="Feuil1" sheetId="16" r:id="rId13"/>
    <sheet name="Cost Analysis-AtJ" sheetId="10" r:id="rId14"/>
    <sheet name="Emission factors" sheetId="4" r:id="rId15"/>
    <sheet name="References" sheetId="3" r:id="rId16"/>
  </sheets>
  <definedNames>
    <definedName name="_xlnm._FilterDatabase" localSheetId="5" hidden="1">Biomass_Cost!$A$1:$AA$89</definedName>
    <definedName name="_xlnm._FilterDatabase" localSheetId="8" hidden="1">'Cost Summary-V1'!$B$1:$C$1</definedName>
    <definedName name="_xlnm._FilterDatabase" localSheetId="12" hidden="1">Feuil1!$A$1:$F$37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0" l="1"/>
  <c r="I25" i="11"/>
  <c r="D58" i="11" s="1"/>
  <c r="I26" i="11"/>
  <c r="I27" i="11"/>
  <c r="C57" i="11" s="1"/>
  <c r="I28" i="11"/>
  <c r="I29" i="11"/>
  <c r="I30" i="11"/>
  <c r="I24" i="11"/>
  <c r="I23" i="11"/>
  <c r="I30" i="9"/>
  <c r="I31" i="9"/>
  <c r="I32" i="9"/>
  <c r="I29" i="9"/>
  <c r="I28" i="9"/>
  <c r="I27" i="9"/>
  <c r="I25" i="9"/>
  <c r="I26" i="9"/>
  <c r="I24" i="9"/>
  <c r="I23" i="9"/>
  <c r="I22" i="9"/>
  <c r="I21" i="9"/>
  <c r="D51" i="10"/>
  <c r="I31" i="10"/>
  <c r="I32" i="10"/>
  <c r="I33" i="10"/>
  <c r="I34" i="10"/>
  <c r="I30" i="10"/>
  <c r="I21" i="10"/>
  <c r="I22" i="10"/>
  <c r="I23" i="10"/>
  <c r="I24" i="10"/>
  <c r="I25" i="10"/>
  <c r="I26" i="10"/>
  <c r="I19" i="10"/>
  <c r="B54" i="11"/>
  <c r="C58" i="11"/>
  <c r="B58" i="11"/>
  <c r="B57" i="11"/>
  <c r="D54" i="11"/>
  <c r="C54" i="11"/>
  <c r="D55" i="11"/>
  <c r="C55" i="11"/>
  <c r="B55" i="11"/>
  <c r="D50" i="9"/>
  <c r="D52" i="11"/>
  <c r="B52" i="11"/>
  <c r="C52" i="11"/>
  <c r="D57" i="11" l="1"/>
  <c r="B50" i="9"/>
  <c r="C50" i="9"/>
  <c r="C49" i="9"/>
  <c r="D48" i="9"/>
  <c r="C48" i="9"/>
  <c r="B49" i="9"/>
  <c r="D49" i="9"/>
  <c r="B48" i="9"/>
  <c r="I14" i="17"/>
  <c r="J14" i="17" s="1"/>
  <c r="I13" i="17"/>
  <c r="J13" i="17" s="1"/>
  <c r="I12" i="17"/>
  <c r="J12" i="17" s="1"/>
  <c r="I8" i="17"/>
  <c r="J8" i="17" s="1"/>
  <c r="I7" i="17"/>
  <c r="J7" i="17" s="1"/>
  <c r="I6" i="17"/>
  <c r="J6" i="17" s="1"/>
  <c r="F42" i="16" l="1"/>
  <c r="E42" i="16"/>
  <c r="D42" i="16"/>
  <c r="F2" i="15"/>
  <c r="G2" i="15"/>
  <c r="E2" i="15"/>
  <c r="G28" i="15"/>
  <c r="E28" i="15"/>
  <c r="G29" i="15"/>
  <c r="E29" i="15"/>
  <c r="G30" i="15"/>
  <c r="E30" i="15"/>
  <c r="E22" i="15"/>
  <c r="F22" i="15"/>
  <c r="G22" i="15"/>
  <c r="E23" i="15"/>
  <c r="F23" i="15"/>
  <c r="G23" i="15"/>
  <c r="G24" i="15"/>
  <c r="F24" i="15"/>
  <c r="E24" i="15"/>
  <c r="F31" i="15"/>
  <c r="G31" i="15"/>
  <c r="E31" i="15"/>
  <c r="E32" i="15"/>
  <c r="F32" i="15"/>
  <c r="G32" i="15"/>
  <c r="F26" i="15"/>
  <c r="G26" i="15" s="1"/>
  <c r="E25" i="15"/>
  <c r="E27" i="15" s="1"/>
  <c r="F25" i="15"/>
  <c r="F27" i="15" s="1"/>
  <c r="G25" i="15"/>
  <c r="G27" i="15" s="1"/>
  <c r="D27" i="10"/>
  <c r="D28" i="10"/>
  <c r="D29" i="10"/>
  <c r="G35" i="10"/>
  <c r="G36" i="10"/>
  <c r="G37" i="10"/>
  <c r="G38" i="10"/>
  <c r="G39" i="10"/>
  <c r="G40" i="10"/>
  <c r="G41" i="10"/>
  <c r="G42" i="10"/>
  <c r="G31" i="10"/>
  <c r="G32" i="10"/>
  <c r="G33" i="10"/>
  <c r="G34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28" i="11"/>
  <c r="G29" i="11"/>
  <c r="G30" i="11"/>
  <c r="G23" i="11"/>
  <c r="G24" i="11"/>
  <c r="G25" i="11"/>
  <c r="G26" i="11"/>
  <c r="G27" i="11"/>
  <c r="L45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E44" i="11"/>
  <c r="A31" i="11"/>
  <c r="H31" i="11"/>
  <c r="A32" i="11"/>
  <c r="H32" i="11"/>
  <c r="A33" i="11"/>
  <c r="H33" i="11"/>
  <c r="A34" i="11"/>
  <c r="H34" i="11"/>
  <c r="A35" i="11"/>
  <c r="H35" i="11"/>
  <c r="A36" i="11"/>
  <c r="H36" i="11"/>
  <c r="A37" i="11"/>
  <c r="H37" i="11"/>
  <c r="A38" i="11"/>
  <c r="H38" i="11"/>
  <c r="A39" i="11"/>
  <c r="H39" i="11"/>
  <c r="A40" i="11"/>
  <c r="H40" i="11"/>
  <c r="A41" i="11"/>
  <c r="H41" i="11"/>
  <c r="A42" i="11"/>
  <c r="H42" i="11"/>
  <c r="A43" i="11"/>
  <c r="H43" i="11"/>
  <c r="A44" i="11"/>
  <c r="H44" i="11"/>
  <c r="A45" i="11"/>
  <c r="H45" i="11"/>
  <c r="F28" i="11"/>
  <c r="F29" i="11"/>
  <c r="F30" i="11"/>
  <c r="L28" i="11"/>
  <c r="L29" i="11"/>
  <c r="L30" i="11"/>
  <c r="A28" i="11"/>
  <c r="H28" i="11"/>
  <c r="A29" i="11"/>
  <c r="H29" i="11"/>
  <c r="A30" i="11"/>
  <c r="H30" i="11"/>
  <c r="L23" i="11"/>
  <c r="L24" i="11"/>
  <c r="L25" i="11"/>
  <c r="L26" i="11"/>
  <c r="L27" i="11"/>
  <c r="A23" i="11"/>
  <c r="H23" i="11"/>
  <c r="A24" i="11"/>
  <c r="H24" i="11"/>
  <c r="A25" i="11"/>
  <c r="H25" i="11"/>
  <c r="A26" i="11"/>
  <c r="H26" i="11"/>
  <c r="A27" i="11"/>
  <c r="H27" i="11"/>
  <c r="E18" i="15"/>
  <c r="G18" i="15"/>
  <c r="E17" i="15"/>
  <c r="F17" i="15"/>
  <c r="G17" i="15"/>
  <c r="E16" i="15"/>
  <c r="F16" i="15"/>
  <c r="G16" i="15"/>
  <c r="L35" i="10"/>
  <c r="L36" i="10"/>
  <c r="L37" i="10"/>
  <c r="L38" i="10"/>
  <c r="L39" i="10"/>
  <c r="L40" i="10"/>
  <c r="L41" i="10"/>
  <c r="L42" i="10"/>
  <c r="L31" i="10"/>
  <c r="L32" i="10"/>
  <c r="L33" i="10"/>
  <c r="L34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F31" i="10"/>
  <c r="F32" i="10"/>
  <c r="F33" i="10"/>
  <c r="F34" i="10"/>
  <c r="F27" i="10"/>
  <c r="F28" i="10"/>
  <c r="F29" i="10"/>
  <c r="E35" i="10"/>
  <c r="E36" i="10"/>
  <c r="E37" i="10"/>
  <c r="E38" i="10"/>
  <c r="E39" i="10"/>
  <c r="E40" i="10"/>
  <c r="E41" i="10"/>
  <c r="E42" i="10"/>
  <c r="E20" i="10"/>
  <c r="E21" i="10"/>
  <c r="E22" i="10"/>
  <c r="C27" i="10"/>
  <c r="C28" i="10"/>
  <c r="C29" i="10"/>
  <c r="B27" i="10"/>
  <c r="B28" i="10"/>
  <c r="B29" i="10"/>
  <c r="A35" i="10"/>
  <c r="A36" i="10"/>
  <c r="A37" i="10"/>
  <c r="A38" i="10"/>
  <c r="A39" i="10"/>
  <c r="A40" i="10"/>
  <c r="A41" i="10"/>
  <c r="A42" i="10"/>
  <c r="A31" i="10"/>
  <c r="A32" i="10"/>
  <c r="A33" i="10"/>
  <c r="A34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F10" i="15"/>
  <c r="E10" i="15" s="1"/>
  <c r="E3" i="15"/>
  <c r="F3" i="15"/>
  <c r="G3" i="15"/>
  <c r="G6" i="15"/>
  <c r="F6" i="15"/>
  <c r="E6" i="15"/>
  <c r="F5" i="15"/>
  <c r="E5" i="15" s="1"/>
  <c r="E4" i="15"/>
  <c r="F4" i="15"/>
  <c r="G4" i="15"/>
  <c r="L33" i="9"/>
  <c r="L34" i="9"/>
  <c r="L35" i="9"/>
  <c r="L36" i="9"/>
  <c r="L37" i="9"/>
  <c r="L29" i="9"/>
  <c r="L30" i="9"/>
  <c r="L31" i="9"/>
  <c r="L32" i="9"/>
  <c r="L21" i="9"/>
  <c r="L22" i="9"/>
  <c r="L23" i="9"/>
  <c r="L24" i="9"/>
  <c r="L25" i="9"/>
  <c r="L26" i="9"/>
  <c r="L27" i="9"/>
  <c r="L2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H33" i="9"/>
  <c r="H34" i="9"/>
  <c r="H35" i="9"/>
  <c r="H36" i="9"/>
  <c r="H37" i="9"/>
  <c r="H29" i="9"/>
  <c r="H30" i="9"/>
  <c r="H31" i="9"/>
  <c r="H32" i="9"/>
  <c r="H21" i="9"/>
  <c r="H22" i="9"/>
  <c r="H23" i="9"/>
  <c r="H24" i="9"/>
  <c r="H25" i="9"/>
  <c r="H26" i="9"/>
  <c r="H27" i="9"/>
  <c r="H28" i="9"/>
  <c r="G33" i="9"/>
  <c r="G34" i="9"/>
  <c r="G35" i="9"/>
  <c r="G36" i="9"/>
  <c r="G37" i="9"/>
  <c r="F29" i="9"/>
  <c r="G29" i="9"/>
  <c r="F30" i="9"/>
  <c r="G30" i="9"/>
  <c r="F31" i="9"/>
  <c r="G31" i="9"/>
  <c r="F32" i="9"/>
  <c r="G32" i="9"/>
  <c r="G21" i="9"/>
  <c r="G22" i="9"/>
  <c r="G23" i="9"/>
  <c r="G24" i="9"/>
  <c r="G25" i="9"/>
  <c r="G26" i="9"/>
  <c r="G27" i="9"/>
  <c r="E35" i="9"/>
  <c r="E36" i="9"/>
  <c r="E37" i="9"/>
  <c r="F42" i="10"/>
  <c r="F41" i="10"/>
  <c r="F40" i="10"/>
  <c r="F39" i="10"/>
  <c r="F38" i="10"/>
  <c r="F37" i="10"/>
  <c r="F36" i="10"/>
  <c r="F35" i="10"/>
  <c r="F37" i="9"/>
  <c r="F36" i="9"/>
  <c r="F35" i="9"/>
  <c r="F34" i="9"/>
  <c r="E34" i="9"/>
  <c r="F33" i="9"/>
  <c r="E33" i="9"/>
  <c r="F45" i="11"/>
  <c r="E45" i="11"/>
  <c r="F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D34" i="10"/>
  <c r="C34" i="10"/>
  <c r="B34" i="10"/>
  <c r="D33" i="10"/>
  <c r="C33" i="10"/>
  <c r="B33" i="10"/>
  <c r="D32" i="10"/>
  <c r="C32" i="10"/>
  <c r="B32" i="10"/>
  <c r="D31" i="10"/>
  <c r="C31" i="10"/>
  <c r="B31" i="10"/>
  <c r="E30" i="11"/>
  <c r="D30" i="11"/>
  <c r="C30" i="11"/>
  <c r="B30" i="11"/>
  <c r="D29" i="11"/>
  <c r="C29" i="11"/>
  <c r="B29" i="11"/>
  <c r="D28" i="11"/>
  <c r="C28" i="11"/>
  <c r="B28" i="11"/>
  <c r="D32" i="9"/>
  <c r="C32" i="9"/>
  <c r="B32" i="9"/>
  <c r="D31" i="9"/>
  <c r="C31" i="9"/>
  <c r="B31" i="9"/>
  <c r="E30" i="9"/>
  <c r="D30" i="9"/>
  <c r="C30" i="9"/>
  <c r="B30" i="9"/>
  <c r="D29" i="9"/>
  <c r="C29" i="9"/>
  <c r="B29" i="9"/>
  <c r="F30" i="10"/>
  <c r="E30" i="10"/>
  <c r="D30" i="10"/>
  <c r="C30" i="10"/>
  <c r="B30" i="10"/>
  <c r="E29" i="10"/>
  <c r="E28" i="10"/>
  <c r="E27" i="10"/>
  <c r="F26" i="10"/>
  <c r="E26" i="10"/>
  <c r="D26" i="10"/>
  <c r="C26" i="10"/>
  <c r="B26" i="10"/>
  <c r="F25" i="10"/>
  <c r="E25" i="10"/>
  <c r="D25" i="10"/>
  <c r="C25" i="10"/>
  <c r="B25" i="10"/>
  <c r="F24" i="10"/>
  <c r="E24" i="10"/>
  <c r="D24" i="10"/>
  <c r="C24" i="10"/>
  <c r="B24" i="10"/>
  <c r="F23" i="10"/>
  <c r="E23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F19" i="10"/>
  <c r="E19" i="10"/>
  <c r="D19" i="10"/>
  <c r="C19" i="10"/>
  <c r="B19" i="10"/>
  <c r="F27" i="11"/>
  <c r="E27" i="11"/>
  <c r="D27" i="11"/>
  <c r="C27" i="11"/>
  <c r="B27" i="11"/>
  <c r="F26" i="11"/>
  <c r="E26" i="11"/>
  <c r="D26" i="11"/>
  <c r="C26" i="11"/>
  <c r="B26" i="11"/>
  <c r="F25" i="11"/>
  <c r="E25" i="11"/>
  <c r="D25" i="11"/>
  <c r="C25" i="11"/>
  <c r="B25" i="11"/>
  <c r="F24" i="11"/>
  <c r="D24" i="11"/>
  <c r="C24" i="11"/>
  <c r="B24" i="11"/>
  <c r="F23" i="11"/>
  <c r="E23" i="11"/>
  <c r="D23" i="11"/>
  <c r="C23" i="11"/>
  <c r="B23" i="11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D48" i="10" l="1"/>
  <c r="C48" i="10"/>
  <c r="B48" i="10"/>
  <c r="C51" i="10"/>
  <c r="B51" i="10"/>
  <c r="E51" i="11"/>
  <c r="F51" i="11"/>
  <c r="G51" i="11"/>
  <c r="E50" i="11"/>
  <c r="E37" i="15" s="1"/>
  <c r="F50" i="11"/>
  <c r="F37" i="15" s="1"/>
  <c r="G50" i="11"/>
  <c r="G37" i="15" s="1"/>
  <c r="E52" i="11"/>
  <c r="E38" i="15" s="1"/>
  <c r="F28" i="15"/>
  <c r="D46" i="9"/>
  <c r="C46" i="9"/>
  <c r="B46" i="9"/>
  <c r="C44" i="9"/>
  <c r="B44" i="9"/>
  <c r="D44" i="9"/>
  <c r="D45" i="9"/>
  <c r="C45" i="9"/>
  <c r="B45" i="9"/>
  <c r="C73" i="10"/>
  <c r="F29" i="15"/>
  <c r="F30" i="15"/>
  <c r="F18" i="15"/>
  <c r="G10" i="15"/>
  <c r="E26" i="15"/>
  <c r="G40" i="9"/>
  <c r="G52" i="11"/>
  <c r="G38" i="15" s="1"/>
  <c r="G41" i="9"/>
  <c r="G14" i="15" s="1"/>
  <c r="F45" i="10"/>
  <c r="F21" i="15" s="1"/>
  <c r="G48" i="11"/>
  <c r="F48" i="11"/>
  <c r="E48" i="11"/>
  <c r="G49" i="11"/>
  <c r="G39" i="15" s="1"/>
  <c r="G45" i="10"/>
  <c r="G21" i="15" s="1"/>
  <c r="E45" i="10"/>
  <c r="E21" i="15" s="1"/>
  <c r="E42" i="9"/>
  <c r="E15" i="15" s="1"/>
  <c r="F52" i="11"/>
  <c r="F38" i="15" s="1"/>
  <c r="F42" i="9"/>
  <c r="F15" i="15" s="1"/>
  <c r="G42" i="9"/>
  <c r="G15" i="15" s="1"/>
  <c r="E49" i="11"/>
  <c r="E39" i="15" s="1"/>
  <c r="E40" i="9"/>
  <c r="F49" i="11"/>
  <c r="F39" i="15" s="1"/>
  <c r="F40" i="9"/>
  <c r="E41" i="9"/>
  <c r="E14" i="15" s="1"/>
  <c r="F41" i="9"/>
  <c r="F14" i="15" s="1"/>
  <c r="G5" i="15"/>
  <c r="E31" i="9"/>
  <c r="E34" i="10"/>
  <c r="E33" i="10"/>
  <c r="E32" i="10"/>
  <c r="E24" i="11"/>
  <c r="E31" i="10"/>
  <c r="E28" i="11"/>
  <c r="E35" i="15" l="1"/>
  <c r="G35" i="15"/>
  <c r="B45" i="10"/>
  <c r="E20" i="15" s="1"/>
  <c r="F35" i="15"/>
  <c r="C45" i="10"/>
  <c r="F20" i="15" s="1"/>
  <c r="D45" i="10"/>
  <c r="G20" i="15" s="1"/>
  <c r="C49" i="11"/>
  <c r="F36" i="15" s="1"/>
  <c r="B49" i="11"/>
  <c r="E36" i="15" s="1"/>
  <c r="D49" i="11"/>
  <c r="G36" i="15" s="1"/>
  <c r="E29" i="9"/>
  <c r="B41" i="9" s="1"/>
  <c r="E29" i="11"/>
  <c r="E32" i="9"/>
  <c r="C42" i="9" s="1"/>
  <c r="D51" i="11" l="1"/>
  <c r="B50" i="11"/>
  <c r="B51" i="11"/>
  <c r="C51" i="11"/>
  <c r="B48" i="11"/>
  <c r="E34" i="15"/>
  <c r="C50" i="11"/>
  <c r="F34" i="15" s="1"/>
  <c r="D50" i="11"/>
  <c r="G34" i="15" s="1"/>
  <c r="C48" i="11"/>
  <c r="D48" i="11"/>
  <c r="B42" i="9"/>
  <c r="E13" i="15" s="1"/>
  <c r="D42" i="9"/>
  <c r="F13" i="15"/>
  <c r="B40" i="9"/>
  <c r="D40" i="9"/>
  <c r="C40" i="9"/>
  <c r="D41" i="9"/>
  <c r="E11" i="15"/>
  <c r="C41" i="9"/>
  <c r="G13" i="15" l="1"/>
  <c r="F11" i="15"/>
  <c r="G11" i="15"/>
  <c r="K86" i="11"/>
  <c r="K85" i="11"/>
  <c r="K84" i="11"/>
  <c r="J86" i="11"/>
  <c r="J85" i="11"/>
  <c r="J84" i="11"/>
  <c r="I86" i="11"/>
  <c r="I85" i="11"/>
  <c r="I84" i="11"/>
  <c r="K83" i="11"/>
  <c r="K82" i="11"/>
  <c r="K81" i="11"/>
  <c r="J83" i="11"/>
  <c r="J82" i="11"/>
  <c r="J81" i="11"/>
  <c r="I83" i="11"/>
  <c r="I82" i="11"/>
  <c r="I81" i="11"/>
  <c r="K80" i="11"/>
  <c r="K79" i="11"/>
  <c r="J80" i="11"/>
  <c r="J79" i="11"/>
  <c r="F65" i="11" s="1"/>
  <c r="I80" i="11"/>
  <c r="I79" i="11"/>
  <c r="K78" i="11"/>
  <c r="J78" i="11"/>
  <c r="I78" i="11"/>
  <c r="J71" i="9"/>
  <c r="K71" i="9"/>
  <c r="L71" i="9"/>
  <c r="G64" i="11" l="1"/>
  <c r="G65" i="11"/>
  <c r="F71" i="11"/>
  <c r="G68" i="11"/>
  <c r="G66" i="11"/>
  <c r="G72" i="11"/>
  <c r="G71" i="11"/>
  <c r="G70" i="11"/>
  <c r="G69" i="11"/>
  <c r="G67" i="11"/>
  <c r="F68" i="11"/>
  <c r="F20" i="11"/>
  <c r="E20" i="11"/>
  <c r="G33" i="15" s="1"/>
  <c r="D20" i="11"/>
  <c r="F33" i="15" s="1"/>
  <c r="C20" i="11"/>
  <c r="E33" i="15" s="1"/>
  <c r="B20" i="11"/>
  <c r="H9" i="11"/>
  <c r="B60" i="11"/>
  <c r="G11" i="11"/>
  <c r="I10" i="11"/>
  <c r="H10" i="11"/>
  <c r="G10" i="11"/>
  <c r="F16" i="10"/>
  <c r="E16" i="10"/>
  <c r="G19" i="15" s="1"/>
  <c r="D16" i="10"/>
  <c r="F19" i="15" s="1"/>
  <c r="C16" i="10"/>
  <c r="E19" i="15" s="1"/>
  <c r="B16" i="10"/>
  <c r="B53" i="10"/>
  <c r="G10" i="10"/>
  <c r="I9" i="10"/>
  <c r="H9" i="10"/>
  <c r="G9" i="10"/>
  <c r="B52" i="9"/>
  <c r="C63" i="10" l="1"/>
  <c r="D66" i="11"/>
  <c r="E67" i="11"/>
  <c r="D67" i="11"/>
  <c r="C57" i="10"/>
  <c r="E68" i="11"/>
  <c r="K89" i="11"/>
  <c r="J89" i="11"/>
  <c r="I89" i="11"/>
  <c r="D68" i="11"/>
  <c r="K87" i="11"/>
  <c r="J87" i="11"/>
  <c r="I87" i="11"/>
  <c r="C60" i="10"/>
  <c r="D70" i="11"/>
  <c r="D69" i="11"/>
  <c r="C61" i="10"/>
  <c r="D64" i="11"/>
  <c r="E71" i="11"/>
  <c r="D71" i="11"/>
  <c r="K88" i="11"/>
  <c r="J88" i="11"/>
  <c r="I88" i="11"/>
  <c r="E70" i="11"/>
  <c r="E72" i="11"/>
  <c r="C65" i="10"/>
  <c r="C71" i="11"/>
  <c r="D72" i="11"/>
  <c r="E69" i="11"/>
  <c r="E64" i="11"/>
  <c r="C62" i="10"/>
  <c r="C65" i="11"/>
  <c r="C64" i="10"/>
  <c r="C68" i="11"/>
  <c r="D65" i="11"/>
  <c r="J72" i="10"/>
  <c r="K72" i="10"/>
  <c r="I72" i="10"/>
  <c r="E65" i="11"/>
  <c r="E66" i="11"/>
  <c r="C58" i="10"/>
  <c r="C59" i="10"/>
  <c r="K71" i="10"/>
  <c r="J71" i="10"/>
  <c r="I71" i="10"/>
  <c r="I73" i="10"/>
  <c r="K73" i="10"/>
  <c r="J73" i="10"/>
  <c r="G11" i="9"/>
  <c r="G10" i="9"/>
  <c r="I10" i="9"/>
  <c r="H10" i="9"/>
  <c r="H9" i="9"/>
  <c r="D56" i="9" l="1"/>
  <c r="C57" i="9"/>
  <c r="D60" i="9"/>
  <c r="H68" i="11"/>
  <c r="H71" i="11"/>
  <c r="H66" i="11"/>
  <c r="H64" i="11"/>
  <c r="H69" i="11"/>
  <c r="H70" i="11"/>
  <c r="H72" i="11"/>
  <c r="H65" i="11"/>
  <c r="H67" i="11"/>
  <c r="D57" i="10"/>
  <c r="D58" i="10"/>
  <c r="D65" i="10"/>
  <c r="D62" i="10"/>
  <c r="D64" i="10"/>
  <c r="D60" i="10"/>
  <c r="D59" i="10"/>
  <c r="D63" i="10"/>
  <c r="D61" i="10"/>
  <c r="D58" i="9"/>
  <c r="D64" i="9"/>
  <c r="D57" i="9"/>
  <c r="D61" i="9"/>
  <c r="D62" i="9"/>
  <c r="C63" i="9"/>
  <c r="C60" i="9"/>
  <c r="D63" i="9"/>
  <c r="D59" i="9"/>
  <c r="F18" i="9"/>
  <c r="E18" i="9"/>
  <c r="G9" i="15" s="1"/>
  <c r="D18" i="9"/>
  <c r="F9" i="15" s="1"/>
  <c r="C18" i="9"/>
  <c r="E9" i="15" s="1"/>
  <c r="B18" i="9"/>
  <c r="B14" i="9"/>
  <c r="B13" i="9"/>
  <c r="B20" i="7"/>
  <c r="D70" i="7"/>
  <c r="E8" i="15" l="1"/>
  <c r="E7" i="15"/>
  <c r="G8" i="15"/>
  <c r="G7" i="15"/>
  <c r="F60" i="9"/>
  <c r="F57" i="9"/>
  <c r="F63" i="9"/>
  <c r="L69" i="9"/>
  <c r="J69" i="9"/>
  <c r="K69" i="9"/>
  <c r="G59" i="9" s="1"/>
  <c r="K70" i="9"/>
  <c r="J70" i="9"/>
  <c r="L70" i="9"/>
  <c r="L68" i="9"/>
  <c r="J68" i="9"/>
  <c r="K68" i="9"/>
  <c r="G18" i="6"/>
  <c r="F18" i="6"/>
  <c r="G17" i="6"/>
  <c r="F17" i="6"/>
  <c r="E28" i="6"/>
  <c r="E29" i="6"/>
  <c r="E27" i="6"/>
  <c r="B19" i="6"/>
  <c r="B18" i="6"/>
  <c r="B17" i="6"/>
  <c r="B16" i="6"/>
  <c r="G23" i="6"/>
  <c r="G22" i="6"/>
  <c r="F7" i="15" l="1"/>
  <c r="F8" i="15"/>
  <c r="G60" i="9"/>
  <c r="G63" i="9"/>
  <c r="G61" i="9"/>
  <c r="G62" i="9"/>
  <c r="G58" i="9"/>
  <c r="G64" i="9"/>
  <c r="G56" i="9"/>
  <c r="G57" i="9"/>
  <c r="B21" i="6"/>
  <c r="B22" i="6"/>
  <c r="I91" i="7"/>
  <c r="I100" i="7" s="1"/>
  <c r="I93" i="7"/>
  <c r="I98" i="7"/>
  <c r="I97" i="7"/>
  <c r="I96" i="7"/>
  <c r="I95" i="7"/>
  <c r="I94" i="7"/>
  <c r="I103" i="7" s="1"/>
  <c r="I92" i="7"/>
  <c r="J69" i="7"/>
  <c r="K69" i="7"/>
  <c r="K75" i="7" s="1"/>
  <c r="I69" i="7"/>
  <c r="J68" i="7"/>
  <c r="K68" i="7"/>
  <c r="I68" i="7"/>
  <c r="J72" i="7"/>
  <c r="K72" i="7"/>
  <c r="I72" i="7"/>
  <c r="J71" i="7"/>
  <c r="K71" i="7"/>
  <c r="I71" i="7"/>
  <c r="J70" i="7"/>
  <c r="K70" i="7"/>
  <c r="I70" i="7"/>
  <c r="J67" i="7"/>
  <c r="K67" i="7"/>
  <c r="I67" i="7"/>
  <c r="J66" i="7"/>
  <c r="K66" i="7"/>
  <c r="I66" i="7"/>
  <c r="I77" i="7" s="1"/>
  <c r="D32" i="7"/>
  <c r="M53" i="7"/>
  <c r="N53" i="7"/>
  <c r="N48" i="7"/>
  <c r="N47" i="7"/>
  <c r="K46" i="7"/>
  <c r="K45" i="7" s="1"/>
  <c r="K51" i="7" s="1"/>
  <c r="L46" i="7"/>
  <c r="L45" i="7" s="1"/>
  <c r="L51" i="7" s="1"/>
  <c r="M46" i="7"/>
  <c r="M47" i="7" s="1"/>
  <c r="N46" i="7"/>
  <c r="N45" i="7" s="1"/>
  <c r="N51" i="7" s="1"/>
  <c r="J46" i="7"/>
  <c r="J47" i="7" s="1"/>
  <c r="L44" i="7" l="1"/>
  <c r="L50" i="7" s="1"/>
  <c r="L47" i="7"/>
  <c r="K47" i="7"/>
  <c r="J48" i="7"/>
  <c r="N44" i="7"/>
  <c r="M48" i="7"/>
  <c r="J44" i="7"/>
  <c r="J50" i="7" s="1"/>
  <c r="M44" i="7"/>
  <c r="M50" i="7" s="1"/>
  <c r="L48" i="7"/>
  <c r="K48" i="7"/>
  <c r="J53" i="7"/>
  <c r="K44" i="7"/>
  <c r="K50" i="7" s="1"/>
  <c r="L53" i="7"/>
  <c r="M45" i="7"/>
  <c r="M51" i="7" s="1"/>
  <c r="K53" i="7"/>
  <c r="J45" i="7"/>
  <c r="J51" i="7" s="1"/>
  <c r="I102" i="7"/>
  <c r="I101" i="7"/>
  <c r="K76" i="7"/>
  <c r="J76" i="7"/>
  <c r="K77" i="7"/>
  <c r="K74" i="7"/>
  <c r="J77" i="7"/>
  <c r="J75" i="7"/>
  <c r="J74" i="7"/>
  <c r="I75" i="7"/>
  <c r="I76" i="7"/>
  <c r="I74" i="7"/>
  <c r="M30" i="7"/>
  <c r="M16" i="7"/>
  <c r="M20" i="7"/>
  <c r="M21" i="7"/>
  <c r="M22" i="7"/>
  <c r="M23" i="7"/>
  <c r="M24" i="7"/>
  <c r="L16" i="7"/>
  <c r="L20" i="7"/>
  <c r="L21" i="7"/>
  <c r="L22" i="7"/>
  <c r="L23" i="7"/>
  <c r="L24" i="7"/>
  <c r="K15" i="7"/>
  <c r="M15" i="7" s="1"/>
  <c r="C61" i="7"/>
  <c r="D61" i="7" s="1"/>
  <c r="C19" i="7"/>
  <c r="D19" i="7"/>
  <c r="E19" i="7"/>
  <c r="F19" i="7"/>
  <c r="B19" i="7"/>
  <c r="C20" i="7"/>
  <c r="D20" i="7"/>
  <c r="E20" i="7"/>
  <c r="F20" i="7"/>
  <c r="D71" i="7"/>
  <c r="D69" i="7"/>
  <c r="C63" i="7"/>
  <c r="C55" i="7"/>
  <c r="C41" i="7"/>
  <c r="D41" i="7" s="1"/>
  <c r="C27" i="7"/>
  <c r="D27" i="7" s="1"/>
  <c r="C53" i="7"/>
  <c r="C39" i="7"/>
  <c r="C71" i="7" s="1"/>
  <c r="C25" i="7"/>
  <c r="C69" i="7" s="1"/>
  <c r="D42" i="7"/>
  <c r="D45" i="7"/>
  <c r="D44" i="7"/>
  <c r="B55" i="7"/>
  <c r="B63" i="7"/>
  <c r="D28" i="7"/>
  <c r="D31" i="7"/>
  <c r="D30" i="7"/>
  <c r="C51" i="8"/>
  <c r="D51" i="8"/>
  <c r="E51" i="8"/>
  <c r="F51" i="8"/>
  <c r="G51" i="8"/>
  <c r="H51" i="8"/>
  <c r="I51" i="8"/>
  <c r="J51" i="8"/>
  <c r="B51" i="8"/>
  <c r="C52" i="8"/>
  <c r="D52" i="8"/>
  <c r="E52" i="8"/>
  <c r="F52" i="8"/>
  <c r="G52" i="8"/>
  <c r="H52" i="8"/>
  <c r="I52" i="8"/>
  <c r="J52" i="8"/>
  <c r="B52" i="8"/>
  <c r="C39" i="8"/>
  <c r="D39" i="8"/>
  <c r="E39" i="8"/>
  <c r="F39" i="8"/>
  <c r="G39" i="8"/>
  <c r="H39" i="8"/>
  <c r="I39" i="8"/>
  <c r="J39" i="8"/>
  <c r="B39" i="8"/>
  <c r="C40" i="8"/>
  <c r="D40" i="8"/>
  <c r="E40" i="8"/>
  <c r="F40" i="8"/>
  <c r="G40" i="8"/>
  <c r="H40" i="8"/>
  <c r="I40" i="8"/>
  <c r="J40" i="8"/>
  <c r="B40" i="8"/>
  <c r="C57" i="8"/>
  <c r="D57" i="8"/>
  <c r="E57" i="8"/>
  <c r="F57" i="8"/>
  <c r="G57" i="8"/>
  <c r="H57" i="8"/>
  <c r="I57" i="8"/>
  <c r="J57" i="8"/>
  <c r="C56" i="8"/>
  <c r="D56" i="8"/>
  <c r="E56" i="8"/>
  <c r="F56" i="8"/>
  <c r="G56" i="8"/>
  <c r="H56" i="8"/>
  <c r="I56" i="8"/>
  <c r="J56" i="8"/>
  <c r="C55" i="8"/>
  <c r="D55" i="8"/>
  <c r="E55" i="8"/>
  <c r="F55" i="8"/>
  <c r="G55" i="8"/>
  <c r="H55" i="8"/>
  <c r="I55" i="8"/>
  <c r="J55" i="8"/>
  <c r="C54" i="8"/>
  <c r="D54" i="8"/>
  <c r="E54" i="8"/>
  <c r="F54" i="8"/>
  <c r="G54" i="8"/>
  <c r="H54" i="8"/>
  <c r="I54" i="8"/>
  <c r="J54" i="8"/>
  <c r="B57" i="8"/>
  <c r="B56" i="8"/>
  <c r="B54" i="8"/>
  <c r="B55" i="8"/>
  <c r="C53" i="8"/>
  <c r="D53" i="8"/>
  <c r="E53" i="8"/>
  <c r="F53" i="8"/>
  <c r="G53" i="8"/>
  <c r="H53" i="8"/>
  <c r="I53" i="8"/>
  <c r="J53" i="8"/>
  <c r="B53" i="8"/>
  <c r="J41" i="8"/>
  <c r="I41" i="8"/>
  <c r="H41" i="8"/>
  <c r="G41" i="8"/>
  <c r="F41" i="8"/>
  <c r="E41" i="8"/>
  <c r="D41" i="8"/>
  <c r="C41" i="8"/>
  <c r="B41" i="8"/>
  <c r="F21" i="8"/>
  <c r="F22" i="8"/>
  <c r="F23" i="8"/>
  <c r="F24" i="8"/>
  <c r="F25" i="8"/>
  <c r="F26" i="8"/>
  <c r="F27" i="8"/>
  <c r="F28" i="8"/>
  <c r="F20" i="8"/>
  <c r="C16" i="8"/>
  <c r="G9" i="8"/>
  <c r="G10" i="8"/>
  <c r="G11" i="8"/>
  <c r="G12" i="8"/>
  <c r="G8" i="8"/>
  <c r="E69" i="7" l="1"/>
  <c r="E59" i="8"/>
  <c r="L52" i="7"/>
  <c r="C70" i="7"/>
  <c r="E70" i="7" s="1"/>
  <c r="D53" i="7"/>
  <c r="I59" i="8"/>
  <c r="K52" i="7"/>
  <c r="J60" i="8"/>
  <c r="B60" i="8"/>
  <c r="I60" i="8"/>
  <c r="M52" i="7"/>
  <c r="D63" i="7"/>
  <c r="D65" i="7" s="1"/>
  <c r="F60" i="8"/>
  <c r="N50" i="7"/>
  <c r="N52" i="7"/>
  <c r="J52" i="7"/>
  <c r="L15" i="7"/>
  <c r="L26" i="7" s="1"/>
  <c r="I31" i="7"/>
  <c r="J31" i="7" s="1"/>
  <c r="E71" i="7"/>
  <c r="M27" i="7"/>
  <c r="M26" i="7"/>
  <c r="D55" i="7"/>
  <c r="D39" i="7"/>
  <c r="D49" i="7" s="1"/>
  <c r="D25" i="7"/>
  <c r="D36" i="7" s="1"/>
  <c r="C60" i="8"/>
  <c r="D59" i="8"/>
  <c r="B59" i="8"/>
  <c r="C59" i="8"/>
  <c r="H60" i="8"/>
  <c r="J59" i="8"/>
  <c r="G60" i="8"/>
  <c r="B3" i="8" s="1"/>
  <c r="H59" i="8"/>
  <c r="E60" i="8"/>
  <c r="G59" i="8"/>
  <c r="D60" i="8"/>
  <c r="F59" i="8"/>
  <c r="B3" i="2"/>
  <c r="C8" i="2"/>
  <c r="G8" i="2"/>
  <c r="J8" i="2"/>
  <c r="I3" i="2"/>
  <c r="I4" i="2"/>
  <c r="I5" i="2"/>
  <c r="I6" i="2"/>
  <c r="I7" i="2"/>
  <c r="H7" i="2"/>
  <c r="B7" i="2"/>
  <c r="H6" i="2"/>
  <c r="B6" i="2"/>
  <c r="H5" i="2"/>
  <c r="B5" i="2"/>
  <c r="H4" i="2"/>
  <c r="B4" i="2"/>
  <c r="H3" i="2"/>
  <c r="D8" i="2"/>
  <c r="E7" i="2"/>
  <c r="E6" i="2"/>
  <c r="E5" i="2"/>
  <c r="E4" i="2"/>
  <c r="E3" i="2"/>
  <c r="L27" i="7" l="1"/>
  <c r="D48" i="7"/>
  <c r="D35" i="7"/>
  <c r="D57" i="7"/>
  <c r="D34" i="7"/>
  <c r="D47" i="7"/>
  <c r="I8" i="2"/>
  <c r="F8" i="2"/>
  <c r="H8" i="2"/>
  <c r="E8" i="2"/>
  <c r="B8" i="2"/>
</calcChain>
</file>

<file path=xl/sharedStrings.xml><?xml version="1.0" encoding="utf-8"?>
<sst xmlns="http://schemas.openxmlformats.org/spreadsheetml/2006/main" count="3016" uniqueCount="850">
  <si>
    <t>Forest residues</t>
  </si>
  <si>
    <t>Agricultural residues</t>
  </si>
  <si>
    <t>Algae</t>
  </si>
  <si>
    <t>9-10-12-20-27</t>
  </si>
  <si>
    <t>8-37-63-109-217</t>
  </si>
  <si>
    <t>10-30-57-103-204</t>
  </si>
  <si>
    <t>5-8-15-31-50</t>
  </si>
  <si>
    <t>FT</t>
  </si>
  <si>
    <t>HEFA</t>
  </si>
  <si>
    <t>-</t>
  </si>
  <si>
    <t>AtJ</t>
  </si>
  <si>
    <t>HEFA - Oil/Fuel</t>
  </si>
  <si>
    <t>HEFA - Biomass/Oil</t>
  </si>
  <si>
    <t>FT - MSW</t>
  </si>
  <si>
    <t>HEFA - FOG</t>
  </si>
  <si>
    <t>42,1-61-73,9</t>
  </si>
  <si>
    <t>Categories</t>
  </si>
  <si>
    <t>Corresponding processes</t>
  </si>
  <si>
    <t>Processes distribution</t>
  </si>
  <si>
    <t>Processes</t>
  </si>
  <si>
    <t>Available biomass in 2050</t>
  </si>
  <si>
    <t>Values in 2020 (%) with Q1-Med-Q3</t>
  </si>
  <si>
    <t>Values in 2050 (%) with Q1-Med-Q3</t>
  </si>
  <si>
    <t>Process efficiencies (MJ_fuel/MJ_biomass)</t>
  </si>
  <si>
    <t>Values (%) with Q1-Med-Q3</t>
  </si>
  <si>
    <t>Values in 2020 (gCO2-eq/MJ) with Q1-Med-Q3</t>
  </si>
  <si>
    <t>Values in 2050 (gCO2-eq/MJ) with Q1-Med-Q3</t>
  </si>
  <si>
    <t>Waste (MSW and FOG)</t>
  </si>
  <si>
    <t>FT (MSW) - HEFA (FOG)</t>
  </si>
  <si>
    <t>Emission factors for different process and resources</t>
  </si>
  <si>
    <t>FT - Others</t>
  </si>
  <si>
    <t>HEFA - Others</t>
  </si>
  <si>
    <t>MSW</t>
  </si>
  <si>
    <t>FOG</t>
  </si>
  <si>
    <t>Energy crops</t>
  </si>
  <si>
    <t>Q1</t>
  </si>
  <si>
    <t>Med</t>
  </si>
  <si>
    <t>Q3</t>
  </si>
  <si>
    <t>Fischer-Tropsch</t>
  </si>
  <si>
    <t>Hydroprocessed Esters and Fatty Acids</t>
  </si>
  <si>
    <t>Alcool-to-Jet</t>
  </si>
  <si>
    <t>Municipal Solid Waste</t>
  </si>
  <si>
    <t>Fats, Oils, Greases</t>
  </si>
  <si>
    <t>Fisrt Quartile</t>
  </si>
  <si>
    <t>Third Quartile</t>
  </si>
  <si>
    <t>LF</t>
  </si>
  <si>
    <t>Lower Fence</t>
  </si>
  <si>
    <t>Upper Fence</t>
  </si>
  <si>
    <t>UF</t>
  </si>
  <si>
    <t>Values (EJ) with LF-Q-Med-Q3-UF</t>
  </si>
  <si>
    <t>Median</t>
  </si>
  <si>
    <t>1 EJ for FOG</t>
  </si>
  <si>
    <t>FT (lignocellulosic) - HEFA (oil) - AtJ (sugary/starchy)</t>
  </si>
  <si>
    <t>Resources</t>
  </si>
  <si>
    <t>Waste (MSW + FOG)</t>
  </si>
  <si>
    <t>Article</t>
  </si>
  <si>
    <t>[1]</t>
  </si>
  <si>
    <t>CORSIA: The first internationally adopted approach to calculate life-cycle GHG emissions for aviation fuels</t>
  </si>
  <si>
    <t>Renewable and Sustainable Energy Reviews</t>
  </si>
  <si>
    <t>[2]</t>
  </si>
  <si>
    <t>Estimating induced land use change emissions for sustainable aviation biofuel pathways</t>
  </si>
  <si>
    <t>Science of the Total Environment</t>
  </si>
  <si>
    <t>[3]</t>
  </si>
  <si>
    <t>Aviation CO2 emissions reductions from the use of alternative jet fuels</t>
  </si>
  <si>
    <t>Energy Policy</t>
  </si>
  <si>
    <t>[4]</t>
  </si>
  <si>
    <t>A techno-economic review of hydroprocessed renewable esters and fatty acids for jet fuel production</t>
  </si>
  <si>
    <t>Biofuels, Bioprod. Bioref</t>
  </si>
  <si>
    <t>[5]</t>
  </si>
  <si>
    <t>Nature Energy</t>
  </si>
  <si>
    <t>[6]</t>
  </si>
  <si>
    <t>[7]</t>
  </si>
  <si>
    <t>Biojet fuels and emissions mitigation in aviation: An integrated assessment modeling analysis</t>
  </si>
  <si>
    <t>Transportation Research Part D: Transport and Environment</t>
  </si>
  <si>
    <t>[8]</t>
  </si>
  <si>
    <t>Life Cycle Greenhouse Gas Emissions From Alternative Jet Fuels</t>
  </si>
  <si>
    <t>PARTNER Project 28 Report Version 1.2</t>
  </si>
  <si>
    <t>[9]</t>
  </si>
  <si>
    <t>Fueling net zero</t>
  </si>
  <si>
    <t>ATAG</t>
  </si>
  <si>
    <t>[10]</t>
  </si>
  <si>
    <t>Fischer-Tropsch Fuels from Coal and Biomass</t>
  </si>
  <si>
    <t>[11]</t>
  </si>
  <si>
    <t>Life-cycle analysis of bio-based aviation fuels</t>
  </si>
  <si>
    <t>Bioresource Technology</t>
  </si>
  <si>
    <t>[12]</t>
  </si>
  <si>
    <t>Lifecycle greenhouse gas footprint and minimum selling price of renewable diesel and jet fuel from fermentation and advanced fermentation production technologies</t>
  </si>
  <si>
    <t>Energy Environ. Sci.</t>
  </si>
  <si>
    <t>[13]</t>
  </si>
  <si>
    <t>Innovation Outlook - Advanced liquid biofuels</t>
  </si>
  <si>
    <t>IRENA</t>
  </si>
  <si>
    <t>[14]</t>
  </si>
  <si>
    <t>Estimating sustainable aviation fuel feedstock availability to meet growing European Union demand</t>
  </si>
  <si>
    <t>ICCT</t>
  </si>
  <si>
    <t>[15]</t>
  </si>
  <si>
    <t>The feasibility of short-term production strategies for renewable jet fuels – a comprehensive techno-economic comparison</t>
  </si>
  <si>
    <t>[16]</t>
  </si>
  <si>
    <t>Year</t>
  </si>
  <si>
    <t>GREET database</t>
  </si>
  <si>
    <t>Reference number</t>
  </si>
  <si>
    <t>Authors</t>
  </si>
  <si>
    <t>Revue</t>
  </si>
  <si>
    <t>Algaes</t>
  </si>
  <si>
    <t>TOTAL</t>
  </si>
  <si>
    <t>Waste</t>
  </si>
  <si>
    <t>Number of values</t>
  </si>
  <si>
    <t>Lignocellulosic</t>
  </si>
  <si>
    <t>Total Crops</t>
  </si>
  <si>
    <t>Reference</t>
  </si>
  <si>
    <t>Sugary/Starchy</t>
  </si>
  <si>
    <t>Vegetable oil</t>
  </si>
  <si>
    <t>63%-9%-28%</t>
  </si>
  <si>
    <t>Nomenclature</t>
  </si>
  <si>
    <t>Fuel selectivity</t>
  </si>
  <si>
    <t>Value (%) optimizing jet fuel production</t>
  </si>
  <si>
    <t>Value (%) optimizing energy produced</t>
  </si>
  <si>
    <t>HEFA - Fuel/Oil</t>
  </si>
  <si>
    <t>HEFA - Oil/Biomass</t>
  </si>
  <si>
    <t>5-15-17-39-59</t>
  </si>
  <si>
    <t>Min (EJ)</t>
  </si>
  <si>
    <t>Data on available biomass using Figure 4 of [13]</t>
  </si>
  <si>
    <t>Data and analysis for FOG quantity in "Waste"</t>
  </si>
  <si>
    <t>Data and analysis for distribution of "Energy crops" category</t>
  </si>
  <si>
    <t>Tallow</t>
  </si>
  <si>
    <t>UCO</t>
  </si>
  <si>
    <t>PFAD</t>
  </si>
  <si>
    <t>MSW (0% NBC)</t>
  </si>
  <si>
    <t>MSW (40% NBC)</t>
  </si>
  <si>
    <t>Vegetable oil energy crops</t>
  </si>
  <si>
    <t>corn oil</t>
  </si>
  <si>
    <t>soybean oil</t>
  </si>
  <si>
    <t>rapeseed oil</t>
  </si>
  <si>
    <t>camelina</t>
  </si>
  <si>
    <t>palm oil (open pond)</t>
  </si>
  <si>
    <t>palm oil (closed pond)</t>
  </si>
  <si>
    <t>brassica carinata</t>
  </si>
  <si>
    <t>soy oil US</t>
  </si>
  <si>
    <t>soy oil Brazil</t>
  </si>
  <si>
    <t>rapeseed oil EU</t>
  </si>
  <si>
    <t>palm oil M&amp;I</t>
  </si>
  <si>
    <t>soybean</t>
  </si>
  <si>
    <t>rapeseed</t>
  </si>
  <si>
    <t>jatropha</t>
  </si>
  <si>
    <t>oil palm</t>
  </si>
  <si>
    <t>alga oil</t>
  </si>
  <si>
    <t>corn stover</t>
  </si>
  <si>
    <t>agricultural residues</t>
  </si>
  <si>
    <t>ETJ</t>
  </si>
  <si>
    <t>Lignocellulosic energy crops</t>
  </si>
  <si>
    <t>switchgrass</t>
  </si>
  <si>
    <t>poplar US</t>
  </si>
  <si>
    <t>switchgrass US</t>
  </si>
  <si>
    <t>miscanthus US</t>
  </si>
  <si>
    <t>miscanthus EU</t>
  </si>
  <si>
    <t>sugar cane</t>
  </si>
  <si>
    <t>AF</t>
  </si>
  <si>
    <t>corn grain</t>
  </si>
  <si>
    <t>Maize grain</t>
  </si>
  <si>
    <t>Sugarcane</t>
  </si>
  <si>
    <t>Corn USA</t>
  </si>
  <si>
    <t>ATJ</t>
  </si>
  <si>
    <t>Sugarcane Brazil</t>
  </si>
  <si>
    <t>Corn stover USA</t>
  </si>
  <si>
    <t>Sorghum USA</t>
  </si>
  <si>
    <t>Switchgrass</t>
  </si>
  <si>
    <t>Switchgrass USA</t>
  </si>
  <si>
    <t>Mischanthus USA</t>
  </si>
  <si>
    <t>Mischantus Europe</t>
  </si>
  <si>
    <t>Poplar USA</t>
  </si>
  <si>
    <t>palm oil</t>
  </si>
  <si>
    <t>algae</t>
  </si>
  <si>
    <t>salicornia</t>
  </si>
  <si>
    <t>Process</t>
  </si>
  <si>
    <t>Category</t>
  </si>
  <si>
    <t>Waste FOG</t>
  </si>
  <si>
    <t>Waste MSW</t>
  </si>
  <si>
    <t>Data for emission factors for different resources and processes</t>
  </si>
  <si>
    <t>Resource</t>
  </si>
  <si>
    <t>Sugary and starchy energy crops</t>
  </si>
  <si>
    <t>Yellow grease</t>
  </si>
  <si>
    <t>Prussi et al.</t>
  </si>
  <si>
    <t>Zhao et al.</t>
  </si>
  <si>
    <t>Staples et al.</t>
  </si>
  <si>
    <t>Pearlson et al.</t>
  </si>
  <si>
    <t>Wise et al.</t>
  </si>
  <si>
    <t>Stratton et al.</t>
  </si>
  <si>
    <t>Kreutz et al.</t>
  </si>
  <si>
    <t>Han et al.</t>
  </si>
  <si>
    <t>O'Malley et al.</t>
  </si>
  <si>
    <t>de Jong et al.</t>
  </si>
  <si>
    <t>Sornkade et al.</t>
  </si>
  <si>
    <t>Link</t>
  </si>
  <si>
    <t>Enhancement of Cassava Rhizome Gasification Using Mono - Metallic Cobalt Catalysts</t>
  </si>
  <si>
    <t>Global bioenergy resources</t>
  </si>
  <si>
    <t>Slade et al.</t>
  </si>
  <si>
    <t>[17]</t>
  </si>
  <si>
    <t>Nature Climate Change</t>
  </si>
  <si>
    <t>Q1 (gCO2-eq/MJ)</t>
  </si>
  <si>
    <t>Median (gCO2-eq/MJ)</t>
  </si>
  <si>
    <t>Q3 (gCO2-eq/MJ)</t>
  </si>
  <si>
    <t>Note that AtJ processes for lignocellulosic energy crops are not studied here even if some data are available</t>
  </si>
  <si>
    <t>Analysis for emission factors for different resources and processes</t>
  </si>
  <si>
    <t>Waste - MSW</t>
  </si>
  <si>
    <t>Lignocellulosic energy crops - Forestry residues - Agricultural residues</t>
  </si>
  <si>
    <t>Waste - FOG</t>
  </si>
  <si>
    <t>Vegetable oil energy crops - Algae</t>
  </si>
  <si>
    <t>The results have been grouped into categories and processes that give comparable emission factors</t>
  </si>
  <si>
    <t>When the number of data is too small, only the median is given</t>
  </si>
  <si>
    <t>0,3-7,7-12,6</t>
  </si>
  <si>
    <t>33,7-52,2-68,4</t>
  </si>
  <si>
    <t>Explanations on the use of the data file These values have been calculated using a specific Python module. Quartile values can differ according to the calculation methods NB: For lower and upper fence, TO COMPLETE</t>
  </si>
  <si>
    <t>Results are consistent with the review article [17] which concludes estimates below 300 as plausible</t>
  </si>
  <si>
    <t>https://www.nature.com/articles/nclimate2097</t>
  </si>
  <si>
    <t>The limits of bioenergy for mitigating global lifecycle greenhouse gas emissions from fossil fuels</t>
  </si>
  <si>
    <t>Energy Procedia</t>
  </si>
  <si>
    <t>25h annual international Pittsburgh coal conference</t>
  </si>
  <si>
    <t>http://web.mit.edu/aeroastro/partner/reports/proj28/partner-proj28-2010-001.pdf</t>
  </si>
  <si>
    <t>Corn stover</t>
  </si>
  <si>
    <t>Input</t>
  </si>
  <si>
    <t>Soybean</t>
  </si>
  <si>
    <t>Output</t>
  </si>
  <si>
    <t>Soybean oil</t>
  </si>
  <si>
    <t>Soybean meal</t>
  </si>
  <si>
    <t>N-hexane</t>
  </si>
  <si>
    <t>Palm FFB</t>
  </si>
  <si>
    <t>Oil</t>
  </si>
  <si>
    <t>Expeller</t>
  </si>
  <si>
    <t>Feedstock</t>
  </si>
  <si>
    <t>Feedstock/Fuel [MJ/MJ]</t>
  </si>
  <si>
    <t>Starchy</t>
  </si>
  <si>
    <t>MJ(jet)/kg(grain)</t>
  </si>
  <si>
    <t>MJ(jet)/kg(cassava)</t>
  </si>
  <si>
    <t>Sugary</t>
  </si>
  <si>
    <t>Sugarcane (50% mst. content)</t>
  </si>
  <si>
    <t>MJ(jet)/kg(sugarcane)</t>
  </si>
  <si>
    <t>Sugarbeet (75% mst. content)</t>
  </si>
  <si>
    <t>MJ(jet)/kg(sugarbeet)</t>
  </si>
  <si>
    <t>INPUTS</t>
  </si>
  <si>
    <t>OUTPUTS</t>
  </si>
  <si>
    <t>Data 1: Table 12 from [3]</t>
  </si>
  <si>
    <t>Data 2: Table 1 from [7]</t>
  </si>
  <si>
    <t>Assumption F1 (jet with energy allocation)</t>
  </si>
  <si>
    <t>Unit</t>
  </si>
  <si>
    <t>Maize grain (15,5% mst. content)</t>
  </si>
  <si>
    <t>Sorghum grain (12,4% mst. content)</t>
  </si>
  <si>
    <t>Cassava (59,6% mst. content)</t>
  </si>
  <si>
    <t>Reference for LHV</t>
  </si>
  <si>
    <t>https://www.researchgate.net/publication/271103654_Enhancement_of_Cassava_Rhizome_Gasification_Using_Mono-Metallic_Cobalt_Catalysts</t>
  </si>
  <si>
    <t>https://www.gembloux.ulg.ac.be/phytotechnie-temperee/LIVREBLANC/LBfev2006/PB/Grains%20et%20paille%20combustible.pdf</t>
  </si>
  <si>
    <t>https://www.sciencedirect.com/science/article/pii/S2666789420300052</t>
  </si>
  <si>
    <t>Type</t>
  </si>
  <si>
    <t>Scenario</t>
  </si>
  <si>
    <t>Data 4: Table S3 from [12]</t>
  </si>
  <si>
    <t>Data 3: Table S2 from [12]</t>
  </si>
  <si>
    <t>Biomass to fuel (including allocation factor) (kg[rawfeed]/MJ[fuel])</t>
  </si>
  <si>
    <t>Sugar cane</t>
  </si>
  <si>
    <t>Corn grain</t>
  </si>
  <si>
    <t>EFFICIENCIES</t>
  </si>
  <si>
    <t>Water [m3]</t>
  </si>
  <si>
    <t>Electricity [GWh]</t>
  </si>
  <si>
    <t>Natural gas [TJ]</t>
  </si>
  <si>
    <t>Feedstock [kt]</t>
  </si>
  <si>
    <t>DDGS [kt]</t>
  </si>
  <si>
    <t>Heavy oil [10^3 m3]</t>
  </si>
  <si>
    <t>Light ends [10^3 m3]</t>
  </si>
  <si>
    <t>Naphta [10^3 m3]</t>
  </si>
  <si>
    <t>Jet [10^3 m3]</t>
  </si>
  <si>
    <t>Diesel [10^3 m3]</t>
  </si>
  <si>
    <t>Feedstock [MJ]</t>
  </si>
  <si>
    <t>Heavy oil [MJ]</t>
  </si>
  <si>
    <t>Light ends [MJ]</t>
  </si>
  <si>
    <t>Naphta [MJ]</t>
  </si>
  <si>
    <t>Jet [MJ]</t>
  </si>
  <si>
    <t>Diesel [MJ]</t>
  </si>
  <si>
    <t>LHV (MJ/kg)</t>
  </si>
  <si>
    <t>Density (kg/10^3 m3)</t>
  </si>
  <si>
    <t>Global parameters for energy products</t>
  </si>
  <si>
    <t>Natural gas [MJ]</t>
  </si>
  <si>
    <t>Electricity [MJ]</t>
  </si>
  <si>
    <t>Median (%)</t>
  </si>
  <si>
    <t>Q3 (%)</t>
  </si>
  <si>
    <t>Q1 (%)</t>
  </si>
  <si>
    <t>31-48-58</t>
  </si>
  <si>
    <t>Low</t>
  </si>
  <si>
    <t>Base</t>
  </si>
  <si>
    <t>High</t>
  </si>
  <si>
    <t>MJ_fuel/MJ_biomass</t>
  </si>
  <si>
    <t>Feedstock LHV [MJ/kg]</t>
  </si>
  <si>
    <t>Efficiency [MJ_jet/MJ_biomass]</t>
  </si>
  <si>
    <t>MJ_input/MJ_output</t>
  </si>
  <si>
    <t>DDGS [MJ]</t>
  </si>
  <si>
    <t>INPUTS - CONVERSION</t>
  </si>
  <si>
    <t>OUTPUTS - CONVERSION</t>
  </si>
  <si>
    <t>Emission factor     (gCO2-eq/MJ)</t>
  </si>
  <si>
    <t>Analysis of available biomass using data from [13]</t>
  </si>
  <si>
    <t>Availability [EJ]</t>
  </si>
  <si>
    <t xml:space="preserve">It is interesting to note that primary forestry is often excluded of estimates because studies consider </t>
  </si>
  <si>
    <t>that the risk of adverse impacts on biodiversity and carbon stocks is too great</t>
  </si>
  <si>
    <t>Quantity [EJ]</t>
  </si>
  <si>
    <t>Distribution [%]</t>
  </si>
  <si>
    <t>Median distribution [%]</t>
  </si>
  <si>
    <t>Median [EJ]</t>
  </si>
  <si>
    <t>Mean [EJ]</t>
  </si>
  <si>
    <t>Max [EJ]</t>
  </si>
  <si>
    <t>Upper fence [EJ]</t>
  </si>
  <si>
    <t>Q3 [EJ]</t>
  </si>
  <si>
    <t>Q1 [EJ]</t>
  </si>
  <si>
    <t>Lower fence [EJ]</t>
  </si>
  <si>
    <t>By default, similar values compared to 2020 are considered</t>
  </si>
  <si>
    <t>Hydrogen addition in the process in terms of energy percentage  (MJ_hydrogen/MJ_oil)</t>
  </si>
  <si>
    <t>Data 1: Table 1 from [11]</t>
  </si>
  <si>
    <t>Process energy</t>
  </si>
  <si>
    <t>Electricity</t>
  </si>
  <si>
    <t>Natural gas</t>
  </si>
  <si>
    <t>Efficiencies</t>
  </si>
  <si>
    <t>MJ_outputs/MJ_inputs</t>
  </si>
  <si>
    <t>LHV [MJ/kg]</t>
  </si>
  <si>
    <t>Data 2: Tables from [8]</t>
  </si>
  <si>
    <t>MJ_oil/MJ_biomass</t>
  </si>
  <si>
    <t>Diesel</t>
  </si>
  <si>
    <t>Palm (Table 55)</t>
  </si>
  <si>
    <t>[lb]</t>
  </si>
  <si>
    <t>[MJ]</t>
  </si>
  <si>
    <t>[btu]</t>
  </si>
  <si>
    <t>Rapeseed oil fraction</t>
  </si>
  <si>
    <t>Rapeseed (Table 65)</t>
  </si>
  <si>
    <t>Jatropha oil fraction</t>
  </si>
  <si>
    <t>Jatropha (Table 71)</t>
  </si>
  <si>
    <t>Jatropha seed</t>
  </si>
  <si>
    <t>Rapeseed seed</t>
  </si>
  <si>
    <t>Jatropha</t>
  </si>
  <si>
    <t>Palm</t>
  </si>
  <si>
    <t>Dry/Oil [lb/lb]</t>
  </si>
  <si>
    <t>Efficiencies (MJ_oil/MJ_biomass)</t>
  </si>
  <si>
    <t>Data 3: Values for oil extraction [6]</t>
  </si>
  <si>
    <t>Soybean (Table 48)</t>
  </si>
  <si>
    <t>Oil/Seed [kg/kg]</t>
  </si>
  <si>
    <t>Feedstock LHV [MJ/kg] [6 + https://www.eea.europa.eu/publications/eea_report_2006_7]</t>
  </si>
  <si>
    <t>Rapeseed</t>
  </si>
  <si>
    <t>Camelina</t>
  </si>
  <si>
    <t>Efficiencies calculations</t>
  </si>
  <si>
    <t>Data</t>
  </si>
  <si>
    <t>MJ_oil/MJ_feedstock</t>
  </si>
  <si>
    <t>Oil LHV [MJ/kg] [6]</t>
  </si>
  <si>
    <t>Oil LHV [MJ/kg]</t>
  </si>
  <si>
    <t>MJ_energy/MJ_feedstock</t>
  </si>
  <si>
    <t>Extraction energy use [MJ/t_oil]</t>
  </si>
  <si>
    <t>DATA: BIOMASS --&gt; OIL</t>
  </si>
  <si>
    <t>LPG</t>
  </si>
  <si>
    <t>Data 1: Table 1 from [4]</t>
  </si>
  <si>
    <t>Mass balance (100 kg of oil for reference)</t>
  </si>
  <si>
    <t>Hydrogen</t>
  </si>
  <si>
    <t>Inputs</t>
  </si>
  <si>
    <t>Outputs</t>
  </si>
  <si>
    <t>Max distillate</t>
  </si>
  <si>
    <t>Max jet</t>
  </si>
  <si>
    <t>DATA: OIL --&gt; FUEL &amp; HYDROGEN REQUIRED</t>
  </si>
  <si>
    <t>Converted energy balance [MJ]</t>
  </si>
  <si>
    <t>MJ_hydrogen/MJ_oil</t>
  </si>
  <si>
    <t>MJ_fuel/MJ_oil</t>
  </si>
  <si>
    <t>Water</t>
  </si>
  <si>
    <t>Carbon dioxide</t>
  </si>
  <si>
    <t>Propane</t>
  </si>
  <si>
    <t>Naphtha</t>
  </si>
  <si>
    <t>Jet</t>
  </si>
  <si>
    <t>Data 2: Table 12 from [3]</t>
  </si>
  <si>
    <t>Soybean oil LHV [MJ/kg]</t>
  </si>
  <si>
    <t>Efficiency (MJ_fuel/MJ_oil)</t>
  </si>
  <si>
    <t>Data 3: Table 1 from [15]</t>
  </si>
  <si>
    <t>Data 4: Table 1 from [11]</t>
  </si>
  <si>
    <t>Data 5: Table 43 from [8]</t>
  </si>
  <si>
    <t>Data 6: Table SM2 from [15]</t>
  </si>
  <si>
    <t>Calculation made for the median of the median of the 3 main resources</t>
  </si>
  <si>
    <t>(soybean, palm, jatropha) and validation with the others (rapeseed, camelina)</t>
  </si>
  <si>
    <t>Hydrogen use</t>
  </si>
  <si>
    <t>Natural gas use</t>
  </si>
  <si>
    <t>Electricity use</t>
  </si>
  <si>
    <t>Propane mix yield</t>
  </si>
  <si>
    <t>Naphtha yield</t>
  </si>
  <si>
    <t>Jet fuel yield</t>
  </si>
  <si>
    <t>Calculation (for 1 MJ of oil)</t>
  </si>
  <si>
    <t>MJ</t>
  </si>
  <si>
    <t>Jet fuel</t>
  </si>
  <si>
    <t>Propane mix</t>
  </si>
  <si>
    <t>ton[fuel]/ton[oil]</t>
  </si>
  <si>
    <t>MJ[H2]/ton[fuel]</t>
  </si>
  <si>
    <t>MJ[NG]/ton[fuel]</t>
  </si>
  <si>
    <t>kWh[elec]/ton[fuel]</t>
  </si>
  <si>
    <t>MJ[prop]/ton[fuel]</t>
  </si>
  <si>
    <t>MJ[naphtha]/ton[fuel]</t>
  </si>
  <si>
    <t>LHV [MJ/kh]</t>
  </si>
  <si>
    <t>MJ_natural_gas/MJ_oil</t>
  </si>
  <si>
    <t>Baseline</t>
  </si>
  <si>
    <t>Oil [lb]</t>
  </si>
  <si>
    <t>Hydrogen [lb]</t>
  </si>
  <si>
    <t>Electricity [btu]</t>
  </si>
  <si>
    <t>Natural gas [btu]</t>
  </si>
  <si>
    <t>Oil [MJ]</t>
  </si>
  <si>
    <t>Hydrogen [MJ]</t>
  </si>
  <si>
    <t>Fuel [MJ]</t>
  </si>
  <si>
    <t>Propane mix [MJ]</t>
  </si>
  <si>
    <t>Naphtha [MJ]</t>
  </si>
  <si>
    <t>Fuel [lb]</t>
  </si>
  <si>
    <t>Naphtha [lb]</t>
  </si>
  <si>
    <t>Propane mix [lb]</t>
  </si>
  <si>
    <t>m3[NG]/t[oil]</t>
  </si>
  <si>
    <t>t[H2]/t[oil]</t>
  </si>
  <si>
    <t>MWh[elec]/t[oil]</t>
  </si>
  <si>
    <t>t[jet]/t[oil]</t>
  </si>
  <si>
    <t>t[diesel]/t[oil]</t>
  </si>
  <si>
    <t>t[naphtha]/t[oil]</t>
  </si>
  <si>
    <t>t[LPG]/t[oil]</t>
  </si>
  <si>
    <t>t[propane]/t[oil]</t>
  </si>
  <si>
    <t>Jet fuel [MJ]</t>
  </si>
  <si>
    <t>LPG [MJ]</t>
  </si>
  <si>
    <t>Propane [MJ]</t>
  </si>
  <si>
    <t>8-9-11</t>
  </si>
  <si>
    <t>71-88-92</t>
  </si>
  <si>
    <t>42-66-85</t>
  </si>
  <si>
    <t>Calculation made for all the efficiencies named:</t>
  </si>
  <si>
    <t>Analysis for FT efficiencies (MJ_fuel/MJ_biomass)</t>
  </si>
  <si>
    <t>Analysis for AtJ efficiencies (MJ_fuel/MJ_biomass)</t>
  </si>
  <si>
    <t>Analysis for HEFA efficiencies (MJ_oil/MJ_biomass)</t>
  </si>
  <si>
    <t>Analysis for HEFA efficiencies (MJ_fuel/MJ_oil)</t>
  </si>
  <si>
    <t>Analysis for HEFA efficiencies (MJ_hydrogen/MJ_oil)</t>
  </si>
  <si>
    <t>Low value</t>
  </si>
  <si>
    <t>High value</t>
  </si>
  <si>
    <t>Efficiency (MJ_fuel/MJ_feedstock)</t>
  </si>
  <si>
    <t>Data 3: Table 1 from [7]</t>
  </si>
  <si>
    <t>Stock/Fuel (MJ_feedstock/MJ_fuel)</t>
  </si>
  <si>
    <t>t[diesel]/GJ[feed]</t>
  </si>
  <si>
    <t>t[naphtha]/GJ[feed]</t>
  </si>
  <si>
    <t>Calculation (for 1 MJ of feedstock)</t>
  </si>
  <si>
    <t>MWh[elec_in]/GJ[feed]</t>
  </si>
  <si>
    <t>MWh[elec_out]/GJ[feed]</t>
  </si>
  <si>
    <t>Input electricity [MJ]</t>
  </si>
  <si>
    <t>Output electricity [MJ]</t>
  </si>
  <si>
    <t>MJ_fuel/MJ_feedstock</t>
  </si>
  <si>
    <t>Miscanthus</t>
  </si>
  <si>
    <t>Reed canarygrass</t>
  </si>
  <si>
    <t>Other lignocellulosic feedstocks (wood, ag. and wood residues, MSW)</t>
  </si>
  <si>
    <t>Mass efficiency</t>
  </si>
  <si>
    <t>Energy efficiency</t>
  </si>
  <si>
    <t>MJ_fuel/kg_dry_biomass</t>
  </si>
  <si>
    <t>MJ_fuel/MJ_dry_biomass</t>
  </si>
  <si>
    <t>Biomass [MW]</t>
  </si>
  <si>
    <t>FT diesel [MW]</t>
  </si>
  <si>
    <t>FT gasoline [MW]</t>
  </si>
  <si>
    <t>Electricity consumption [MW]</t>
  </si>
  <si>
    <t>Electricity export to grid [MW]</t>
  </si>
  <si>
    <t>Data 1: Table SM2 from [14]</t>
  </si>
  <si>
    <t>Data 2: Table 7 from [10]</t>
  </si>
  <si>
    <t>Data 4: Table 12 from [3]</t>
  </si>
  <si>
    <t>Data 5: Table 1 from [15]</t>
  </si>
  <si>
    <t>Calculation made for all the efficiencies named: MJ_fuel/MJ_oil</t>
  </si>
  <si>
    <t>For reference 4, all the values are equal and only one value has been considered for the analysis</t>
  </si>
  <si>
    <t>40-46-49</t>
  </si>
  <si>
    <t>Min</t>
  </si>
  <si>
    <t>Max (%)</t>
  </si>
  <si>
    <t>Median without excluded values (%)</t>
  </si>
  <si>
    <t xml:space="preserve"> </t>
  </si>
  <si>
    <t xml:space="preserve">Emission factors </t>
  </si>
  <si>
    <t>References</t>
  </si>
  <si>
    <t>[1]-[3]</t>
  </si>
  <si>
    <t>[1]-[2]-[3]-[8]</t>
  </si>
  <si>
    <t>[3]-[4]-[6]-[8]-[11]-[15]</t>
  </si>
  <si>
    <t>Nominal</t>
  </si>
  <si>
    <t>Max</t>
  </si>
  <si>
    <t>Jet share (percent of fuel output)</t>
  </si>
  <si>
    <t>Availability</t>
  </si>
  <si>
    <t xml:space="preserve">Med </t>
  </si>
  <si>
    <t xml:space="preserve">Values (EJ) </t>
  </si>
  <si>
    <t>[3]-[5]-[13]</t>
  </si>
  <si>
    <t xml:space="preserve">Cost hypothesis </t>
  </si>
  <si>
    <t>Fatty Oils and Greases</t>
  </si>
  <si>
    <t>HEFA/HVO</t>
  </si>
  <si>
    <t>Jatropha oil</t>
  </si>
  <si>
    <t>Palm oil</t>
  </si>
  <si>
    <t>Palm PFAD</t>
  </si>
  <si>
    <t>Pongamia Seeds</t>
  </si>
  <si>
    <t>Palm, Rapeseed oil, waste fat</t>
  </si>
  <si>
    <t>Animal fats, used cooking oil and vegetable oils</t>
  </si>
  <si>
    <t>N/A</t>
  </si>
  <si>
    <t>Pearlsonn</t>
  </si>
  <si>
    <t>Klein-Marcuschamer</t>
  </si>
  <si>
    <t>Neste Industrial</t>
  </si>
  <si>
    <t>Diamond green industrial</t>
  </si>
  <si>
    <t>Reference Capacity</t>
  </si>
  <si>
    <t>Plant unitary CAPEX (€2020 per ton/day capacity)</t>
  </si>
  <si>
    <t>Fossil Kerozene (Reference)</t>
  </si>
  <si>
    <t>BC Ademe (Europe)</t>
  </si>
  <si>
    <t xml:space="preserve">Cost of Carbon Abatment </t>
  </si>
  <si>
    <t>Q1 (€ 2020/L)</t>
  </si>
  <si>
    <t>OPEX (€ 2020/L)</t>
  </si>
  <si>
    <t>Feedstock (€ 2020/L)</t>
  </si>
  <si>
    <t>MFSP (€ 2020/L)</t>
  </si>
  <si>
    <t>CAPEX (€ 2020/L)</t>
  </si>
  <si>
    <t>Median (€ 2020/L)</t>
  </si>
  <si>
    <t>Q3 (€ 2020/L)</t>
  </si>
  <si>
    <t>HEFA-Waste</t>
  </si>
  <si>
    <t>Feedstock type</t>
  </si>
  <si>
    <t>Minimial fuel selling price summary</t>
  </si>
  <si>
    <t xml:space="preserve">CAPEX </t>
  </si>
  <si>
    <t>Q1 (€ 2020/ (t/day))</t>
  </si>
  <si>
    <t>Median (€ 2020/ (€ 2020/ (t/day))</t>
  </si>
  <si>
    <t>Q3 (€ 2020/ (t/day))</t>
  </si>
  <si>
    <t>High Cost - High Emission</t>
  </si>
  <si>
    <t>Low-Cost - High Emission</t>
  </si>
  <si>
    <t>High Cost - Low Emission</t>
  </si>
  <si>
    <t>Central 1</t>
  </si>
  <si>
    <t>Central 2</t>
  </si>
  <si>
    <t>Q1 (gCO2-eq/L)</t>
  </si>
  <si>
    <t>Median (gCO2-eq/L)</t>
  </si>
  <si>
    <t>Q3 (gCO2-eq/L)</t>
  </si>
  <si>
    <t>35.3 MJ/L LHV (15°C) [99]</t>
  </si>
  <si>
    <t>[99] https://www.engineeringtoolbox.com/fuels-higher-calorific-values-d_169.html</t>
  </si>
  <si>
    <t>Central 3</t>
  </si>
  <si>
    <t>Central 4</t>
  </si>
  <si>
    <t>Mid Cost- High Emission</t>
  </si>
  <si>
    <t>Mid Cost- Low Emission</t>
  </si>
  <si>
    <t>Central 5</t>
  </si>
  <si>
    <t>Mid Cost- Mid Emission</t>
  </si>
  <si>
    <t>Low-Cost - Low Emission</t>
  </si>
  <si>
    <t>Pessimistic 1</t>
  </si>
  <si>
    <t>Pessimistic 2</t>
  </si>
  <si>
    <t>High Cost - Mid Emissions</t>
  </si>
  <si>
    <t>Optimistic 2</t>
  </si>
  <si>
    <t>Optimistic 1</t>
  </si>
  <si>
    <t>Low Cost- Mid Emission</t>
  </si>
  <si>
    <t>CCA ($/ton CO2e)</t>
  </si>
  <si>
    <t xml:space="preserve">Fossil Kerozene price </t>
  </si>
  <si>
    <t>Default= US Gulf Coast 1996-2022 Median</t>
  </si>
  <si>
    <t>HEFA- Waste</t>
  </si>
  <si>
    <t>HEFA Waste</t>
  </si>
  <si>
    <t>HEFA (no cost distinction)</t>
  </si>
  <si>
    <t>TODO?</t>
  </si>
  <si>
    <t>CAUTION</t>
  </si>
  <si>
    <t>It happens because worse case scenario Oil LCA emmits more CO2 than Fossil kerozene</t>
  </si>
  <si>
    <t>Negative Cost of Carbon Abatment is not cost-related in this table!</t>
  </si>
  <si>
    <t>Alchool-to-Jet (ATJ)</t>
  </si>
  <si>
    <t>?</t>
  </si>
  <si>
    <t>[2]-[6]</t>
  </si>
  <si>
    <t>[3]-[7]-[12]</t>
  </si>
  <si>
    <t>Forest residues/ wheat straw (mixed alcohols)</t>
  </si>
  <si>
    <t>Ethanol</t>
  </si>
  <si>
    <t>Isobutanol</t>
  </si>
  <si>
    <t>Wheat straw/ isobutanol</t>
  </si>
  <si>
    <t>Wheat grain/ isobutanol</t>
  </si>
  <si>
    <t>Corn grain/ ethanol-nth plant</t>
  </si>
  <si>
    <t>Corn stover/ ethanol-nth plant</t>
  </si>
  <si>
    <t>Switch grass</t>
  </si>
  <si>
    <t>sugarcane fermentation</t>
  </si>
  <si>
    <t>Corn Grain</t>
  </si>
  <si>
    <t>Sugar Cane</t>
  </si>
  <si>
    <t>Agricultural residue</t>
  </si>
  <si>
    <t>Energy Crops</t>
  </si>
  <si>
    <t>Corn Stover</t>
  </si>
  <si>
    <t>Forestry Residue</t>
  </si>
  <si>
    <t>Straw</t>
  </si>
  <si>
    <t>Eucalyptus</t>
  </si>
  <si>
    <t>Poplar</t>
  </si>
  <si>
    <t>TODO</t>
  </si>
  <si>
    <t>Conversion ==&gt;</t>
  </si>
  <si>
    <t>[3]-[7]-[10]-[14]-[15]</t>
  </si>
  <si>
    <t>All biomass</t>
  </si>
  <si>
    <t>F/T</t>
  </si>
  <si>
    <t>Waste - MSW (Municipal Solid Waste)</t>
  </si>
  <si>
    <t>[1]-[3]-[8]-[6]-[2]</t>
  </si>
  <si>
    <t>Forest residues/ wheat straw</t>
  </si>
  <si>
    <t>Biomass</t>
  </si>
  <si>
    <t>All wastes</t>
  </si>
  <si>
    <t>Lignocellulose</t>
  </si>
  <si>
    <t>Hybrid poplar wood chips</t>
  </si>
  <si>
    <t>Wood Chips</t>
  </si>
  <si>
    <t>Wood</t>
  </si>
  <si>
    <t>Torrefied Pellets</t>
  </si>
  <si>
    <t>Black liquor, hog fuel and forestry residues</t>
  </si>
  <si>
    <t>Zhu</t>
  </si>
  <si>
    <t>Ekbom</t>
  </si>
  <si>
    <t>Swanson</t>
  </si>
  <si>
    <t>Haarlemmer</t>
  </si>
  <si>
    <t>Tuna/Hulteberg</t>
  </si>
  <si>
    <t>Meerman</t>
  </si>
  <si>
    <t>Anex</t>
  </si>
  <si>
    <t>Atsonios</t>
  </si>
  <si>
    <t>Consonni</t>
  </si>
  <si>
    <t>FT-Biomass</t>
  </si>
  <si>
    <t>FT-Residue</t>
  </si>
  <si>
    <t>FT-MSW</t>
  </si>
  <si>
    <t>FT-Agro residues</t>
  </si>
  <si>
    <t>FT- Dedicated Biomass</t>
  </si>
  <si>
    <t>High Cost</t>
  </si>
  <si>
    <t>Mid cost</t>
  </si>
  <si>
    <t>Low Cost</t>
  </si>
  <si>
    <t>High Emission</t>
  </si>
  <si>
    <t>Mid Emissions</t>
  </si>
  <si>
    <t>Low Emission</t>
  </si>
  <si>
    <t>High = Q3 -Mid= Median, Low= Q1</t>
  </si>
  <si>
    <t>Low efficiency (Q1-Q1)</t>
  </si>
  <si>
    <t>Medium Efficiency (Med-Med)</t>
  </si>
  <si>
    <t>High efficiency (Q3-Q3)</t>
  </si>
  <si>
    <t>Efficiency</t>
  </si>
  <si>
    <t>Availability (EJ Fuel)</t>
  </si>
  <si>
    <t>HEFA-FT</t>
  </si>
  <si>
    <t xml:space="preserve">HEFA Waste </t>
  </si>
  <si>
    <t xml:space="preserve">Abatement potential (ton CO2e)-  max jet - medium efficiency - To Do in python </t>
  </si>
  <si>
    <t>Low efficiency (Q1)</t>
  </si>
  <si>
    <t>Medium Efficiency (Med)</t>
  </si>
  <si>
    <t>High efficiency (Q3)</t>
  </si>
  <si>
    <t>Abatement Potential- med efficiency -med avail</t>
  </si>
  <si>
    <t>Pathway</t>
  </si>
  <si>
    <t>HEFA- Energy</t>
  </si>
  <si>
    <t>HEFA - Waste</t>
  </si>
  <si>
    <t>Mid Cost</t>
  </si>
  <si>
    <t>Med efficiency</t>
  </si>
  <si>
    <t>Med availability</t>
  </si>
  <si>
    <t>Cost Scenario</t>
  </si>
  <si>
    <t>Emission Scenario</t>
  </si>
  <si>
    <t>Efficiency Scenario</t>
  </si>
  <si>
    <t>Availability Scenario</t>
  </si>
  <si>
    <t>FT-Waste</t>
  </si>
  <si>
    <t>FT-Agro Residue</t>
  </si>
  <si>
    <t>Abatement potential (tCO2e)</t>
  </si>
  <si>
    <t>CAC (€/tCO2e)</t>
  </si>
  <si>
    <t>Production type</t>
  </si>
  <si>
    <t>Jet Maximized</t>
  </si>
  <si>
    <t>Mid Emission</t>
  </si>
  <si>
    <t>Technology</t>
  </si>
  <si>
    <t>Macro-Type</t>
  </si>
  <si>
    <t>CAPEX ($ 2020)</t>
  </si>
  <si>
    <t>CAPEX (€ 2020)</t>
  </si>
  <si>
    <t>OPEX ($ 2020)</t>
  </si>
  <si>
    <t>OPEX (€ 2020)</t>
  </si>
  <si>
    <t>Feedstock ($ 2020)</t>
  </si>
  <si>
    <t>Feedstock (€ 2020)</t>
  </si>
  <si>
    <t>Production cost ($ 2020/L)</t>
  </si>
  <si>
    <t>Production cost (€ 2020/L)</t>
  </si>
  <si>
    <t>Production cost ($ 2020/GJ)</t>
  </si>
  <si>
    <t>Production cost (€ 2020/GJ)</t>
  </si>
  <si>
    <t>MFSP ($ 2020)</t>
  </si>
  <si>
    <t>MFSP* (single value=average)</t>
  </si>
  <si>
    <t>MFSP* (single value=average) € 2020</t>
  </si>
  <si>
    <t>Source</t>
  </si>
  <si>
    <t xml:space="preserve">Meta-Source </t>
  </si>
  <si>
    <t>Capex share</t>
  </si>
  <si>
    <t>Opex Share</t>
  </si>
  <si>
    <t>Feedstock Share</t>
  </si>
  <si>
    <t>Prod Cost/MFSP</t>
  </si>
  <si>
    <t xml:space="preserve">Estimated Initial plant Capital by R-DCFROR($ per ton.day-1 capacity) </t>
  </si>
  <si>
    <t xml:space="preserve">Litterature Capex </t>
  </si>
  <si>
    <t>CAPEX ( Euro 2020 per ton day)</t>
  </si>
  <si>
    <t>Plant Capacity (t/day) liquid output)</t>
  </si>
  <si>
    <t>[A]</t>
  </si>
  <si>
    <t>0.66-1.24</t>
  </si>
  <si>
    <t>0.79-1.42</t>
  </si>
  <si>
    <t>0.87-1.6</t>
  </si>
  <si>
    <t>0.56-1.0</t>
  </si>
  <si>
    <t>Gasification/FT</t>
  </si>
  <si>
    <t>1.63-2.40</t>
  </si>
  <si>
    <t>0.82-1.58</t>
  </si>
  <si>
    <t>0.58-1.14</t>
  </si>
  <si>
    <t>0.95-1.39</t>
  </si>
  <si>
    <t>Pyrolysis, bio-oil and upgrading</t>
  </si>
  <si>
    <t>Other</t>
  </si>
  <si>
    <t>1.18-1.67</t>
  </si>
  <si>
    <t>Forest residues/ wheat straw (bio-oil co- processing)</t>
  </si>
  <si>
    <t>0.87-1.53</t>
  </si>
  <si>
    <t>Forest residues/ wheat straw (bio-oil stand- alone)</t>
  </si>
  <si>
    <t>0.90-1.4</t>
  </si>
  <si>
    <t>Forest residues/ wheat straw (FP bio-oil)</t>
  </si>
  <si>
    <t>Woody biomass (FPH)</t>
  </si>
  <si>
    <t>1.02-2.1</t>
  </si>
  <si>
    <t>2.17-3.16</t>
  </si>
  <si>
    <t>0.59-0.89</t>
  </si>
  <si>
    <t>Advanced Fermentation</t>
  </si>
  <si>
    <t>Sugarcane (advanced)</t>
  </si>
  <si>
    <t>1.10-1.96</t>
  </si>
  <si>
    <t>Corn grain (advanced)</t>
  </si>
  <si>
    <t>1.30-2.1</t>
  </si>
  <si>
    <t>Herbaceous biomass (advanced)</t>
  </si>
  <si>
    <t>2.16-2.92</t>
  </si>
  <si>
    <t>Lignocellulose (syngas)</t>
  </si>
  <si>
    <t>Catalytic Hydrothermolysis</t>
  </si>
  <si>
    <t>Brown grease</t>
  </si>
  <si>
    <t>0.41-0.82</t>
  </si>
  <si>
    <t>0.61-1.11</t>
  </si>
  <si>
    <t>Carinata oil</t>
  </si>
  <si>
    <t>Biogas to liquids (Bio-GtL)</t>
  </si>
  <si>
    <t>German substrate mix</t>
  </si>
  <si>
    <t>Manure</t>
  </si>
  <si>
    <t>Wheat straw</t>
  </si>
  <si>
    <t>Willow</t>
  </si>
  <si>
    <t>Hydrothermal Liquefaction (HTL)</t>
  </si>
  <si>
    <t>0.81-1.18</t>
  </si>
  <si>
    <t>Woody biomass</t>
  </si>
  <si>
    <t>2.09-3.58</t>
  </si>
  <si>
    <t>SIP</t>
  </si>
  <si>
    <t>4.34-5.79</t>
  </si>
  <si>
    <t>Aqueous phase reforming (APR)</t>
  </si>
  <si>
    <t>PtX and FT</t>
  </si>
  <si>
    <t>CO₂ from direct air capture</t>
  </si>
  <si>
    <t>CO₂ from a concentrated source</t>
  </si>
  <si>
    <t>[B]</t>
  </si>
  <si>
    <t>Electricity (REN)</t>
  </si>
  <si>
    <t>Sugar Cane Molasses</t>
  </si>
  <si>
    <t>[C]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</si>
  <si>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</si>
  <si>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</si>
  <si>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</si>
  <si>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</si>
  <si>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</si>
  <si>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</si>
  <si>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</si>
  <si>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</si>
  <si>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</si>
  <si>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[19]+[27]</t>
  </si>
  <si>
    <t>[28]+[27]</t>
  </si>
  <si>
    <t>[29]+[27]</t>
  </si>
  <si>
    <t>[30]+[27]</t>
  </si>
  <si>
    <t>[31]+[27]</t>
  </si>
  <si>
    <t xml:space="preserve">NB: Supporting excel data can be found in </t>
  </si>
  <si>
    <t>Biofuel_Cost.xlsx</t>
  </si>
  <si>
    <t>Number</t>
  </si>
  <si>
    <t>Title</t>
  </si>
  <si>
    <t>Author</t>
  </si>
  <si>
    <t>de Jong</t>
  </si>
  <si>
    <t>http://onlinelibrary.wiley.com/doi/abs/10.1002/bbb.1613</t>
  </si>
  <si>
    <t>The costs of production of alternative jet fuel: A harmonized stochastic assessment</t>
  </si>
  <si>
    <t>Bann</t>
  </si>
  <si>
    <t>https://www.sciencedirect.com/science/article/pii/S0960852416316911</t>
  </si>
  <si>
    <t>Techno-economic and environmental analysis of aviation biofuels</t>
  </si>
  <si>
    <t>Neuling</t>
  </si>
  <si>
    <t>https://www.sciencedirect.com/science/article/pii/S0378382017307828</t>
  </si>
  <si>
    <t>Techno-economic comparison of biojet fuel production from lignocellulose, vegetable oil and sugar cane juice</t>
  </si>
  <si>
    <t>Diederichs</t>
  </si>
  <si>
    <t>https://www.sciencedirect.com/science/article/pii/S0960852416307313</t>
  </si>
  <si>
    <t>Advanced Biofuels – Potential for Cost Reduction</t>
  </si>
  <si>
    <t>Brown</t>
  </si>
  <si>
    <t>https://www.ieabioenergy.com/wp-content/uploads/2020/02/T41_CostReductionBiofuels-11_02_19-final.pdf</t>
  </si>
  <si>
    <t>Process design and economics for the conversion of lignocellulosic biomass to hydrocarbon fuels: fast pyrolysis and hydrotreating bio-oil pathway</t>
  </si>
  <si>
    <t>Jones</t>
  </si>
  <si>
    <t>https://www.osti.gov/biblio/1126275</t>
  </si>
  <si>
    <t>The Alcohol-to-Jet Conversion Pathway for Drop-In Biofuels: Techno-Economic Evaluation</t>
  </si>
  <si>
    <t>Geleynse</t>
  </si>
  <si>
    <t>https://onlinelibrary.wiley.com/doi/abs/10.1002/cssc.201801690</t>
  </si>
  <si>
    <t>Techno-economic analysis for upgrading the biomass-derived ethanol-to-jet blendstocks</t>
  </si>
  <si>
    <t>Tao</t>
  </si>
  <si>
    <t>https://pubs.rsc.org/en/content/articlelanding/2017/gc/c6gc02800d</t>
  </si>
  <si>
    <t>Stochastic techno-economic analysis of alcohol-to-jet fuel production</t>
  </si>
  <si>
    <t>Yao</t>
  </si>
  <si>
    <t>https://biotechnologyforbiofuels.biomedcentral.com/articles/10.1186/s13068-017-0702-7</t>
  </si>
  <si>
    <t>A stochastic techno-economic analysis of the catalytic hydrothermolysis aviation biofuel technology</t>
  </si>
  <si>
    <t>McGarvey</t>
  </si>
  <si>
    <t>https://onlinelibrary.wiley.com/doi/abs/10.1002/bbb.1863</t>
  </si>
  <si>
    <t>Power-to-Liquids as Renewable Fuel Option for Aviation: A Review</t>
  </si>
  <si>
    <t>Schmidt</t>
  </si>
  <si>
    <t>https://onlinelibrary.wiley.com/doi/abs/10.1002/cite.201700129</t>
  </si>
  <si>
    <t>The cost of supporting alternative jet fuels in the European Union</t>
  </si>
  <si>
    <t>Pavlenko</t>
  </si>
  <si>
    <t>https://theicct.org/wp-content/uploads/202[1/06/Alternative_jet_fuels_cost_EU_2020_06_v3.pdf</t>
  </si>
  <si>
    <t>Techno-economic Analysis for the Thermochemical Conversion of Biomass to Liquid Fuels</t>
  </si>
  <si>
    <t>Pilot study of Bio-jet A-1 fuel production for Stockholm-Arlanda Airport</t>
  </si>
  <si>
    <t>Techno-Economic Analysis of Biofuels Production Based on Gasification</t>
  </si>
  <si>
    <t>Second generation BtL type biofuels – a production cost analysis</t>
  </si>
  <si>
    <t>Woody biomass-based transportation fuels – A comparative techno-economic study</t>
  </si>
  <si>
    <t>Performance of simulated flexible integrated gasification polygeneration facilities</t>
  </si>
  <si>
    <t>Techno-economic comparison of biomass-to-transportation fuels via pyrolysis, gasification, and biochemical pathways</t>
  </si>
  <si>
    <t>Alternative thermochemical routes for aviation biofuels via alcohols synthesis: Process modeling, techno-economic assessment and comparison</t>
  </si>
  <si>
    <t>A gasification-based biorefinery for the pulp and paper industry</t>
  </si>
  <si>
    <t>Black Liquor Gasification with Motor Fuel Production – BLGMF II</t>
  </si>
  <si>
    <t>A techno-economic review of hydroprocessed renewable esters and fatty acids for jet fuel production.</t>
  </si>
  <si>
    <t>Technoeconomic analysis of renewable aviation fuel from microalgae, Pongamia pinnata, and sugarcane</t>
  </si>
  <si>
    <t>Facts &amp; figures: Rotterdam energy port and petrochemical cluster</t>
  </si>
  <si>
    <t>Eni Green Refinery (youtube movie)</t>
  </si>
  <si>
    <t>[27]</t>
  </si>
  <si>
    <t>Techno-economic analysis of hydrocarbon biofuels from poplar biomass (Master Thesis)</t>
  </si>
  <si>
    <t>Crawford</t>
  </si>
  <si>
    <t>[28]</t>
  </si>
  <si>
    <t>Techno-Economic Analysis of Biochemical Scenarios for Production of Cellulosic Ethanol</t>
  </si>
  <si>
    <t xml:space="preserve">Kabir Kazi </t>
  </si>
  <si>
    <t>[29]</t>
  </si>
  <si>
    <t>Process Design and Economics for Biochemical Conversion of Lignocellulosic Biomass to Ethanol</t>
  </si>
  <si>
    <t>Humbird</t>
  </si>
  <si>
    <t>[30]</t>
  </si>
  <si>
    <t>Ethanol from lignocellulosic biomass : techno-economic performance in short-, middle- and long-term.</t>
  </si>
  <si>
    <t>Hamelink</t>
  </si>
  <si>
    <t>[31]</t>
  </si>
  <si>
    <t>Techno-economic analysis of lignocellulosic ethanol: A review</t>
  </si>
  <si>
    <t>Gnansounou Dauriat</t>
  </si>
  <si>
    <t>Reaching zero with renewables: Biojet fuels</t>
  </si>
  <si>
    <t>https://www.irena.org/-/media/Files/IRENA/Agency/Publication/2021/Jul/IRENA_Reaching_Zero_Biojet_Fuels_2021.pdf</t>
  </si>
  <si>
    <t>https://theicct.org/wp-content/uploads/2021/06/Alternative_jet_fuels_cost_EU_2020_06_v3.pdf</t>
  </si>
  <si>
    <t>De Jong</t>
  </si>
  <si>
    <t>Q2</t>
  </si>
  <si>
    <t>Sub-pathway</t>
  </si>
  <si>
    <t>HEFA-Energy Crops</t>
  </si>
  <si>
    <t>HEFA - Energy Crops</t>
  </si>
  <si>
    <t>emission_factor</t>
  </si>
  <si>
    <t>Fossil</t>
  </si>
  <si>
    <t>jet_share</t>
  </si>
  <si>
    <t>availability</t>
  </si>
  <si>
    <t>mfsp</t>
  </si>
  <si>
    <t>capex</t>
  </si>
  <si>
    <t>gCO2e/MJ</t>
  </si>
  <si>
    <t>EJ</t>
  </si>
  <si>
    <t>€ /(ton/day)</t>
  </si>
  <si>
    <t>€/L</t>
  </si>
  <si>
    <t>fuel_biomass_efficiency</t>
  </si>
  <si>
    <t>€/(ton/day)</t>
  </si>
  <si>
    <t>FT-Crops</t>
  </si>
  <si>
    <t>CCA (€/ton CO2e)</t>
  </si>
  <si>
    <t>Variable</t>
  </si>
  <si>
    <t>HEFA-Energy</t>
  </si>
  <si>
    <t>FT-Agro residue</t>
  </si>
  <si>
    <t xml:space="preserve">Conversion Efficicency </t>
  </si>
  <si>
    <t>Emissions Factor</t>
  </si>
  <si>
    <t>Jet Share</t>
  </si>
  <si>
    <t>Biomass Availability</t>
  </si>
  <si>
    <t>MFSP</t>
  </si>
  <si>
    <t>CAPEX</t>
  </si>
  <si>
    <t>Optimistic</t>
  </si>
  <si>
    <t xml:space="preserve">Median </t>
  </si>
  <si>
    <t>Pessimistic</t>
  </si>
  <si>
    <t>HEFA-Crops</t>
  </si>
  <si>
    <t>Weekly U.S. Gulf Coast Kerosene-Type Jet Fuel Spot Price FOB</t>
  </si>
  <si>
    <t>https://www.eia.gov/dnav/pet/hist/LeafHandler.ashx?n=pet&amp;s=eer_epjk_pf4_rgc_dpg&amp;f=w</t>
  </si>
  <si>
    <t>10:14:15 GMT+0200 (heure dâ€™Ã©tÃ© dâ€™Europe centrale)</t>
  </si>
  <si>
    <t>Data Source: Thomson Reuters</t>
  </si>
  <si>
    <t>Fuel LHV</t>
  </si>
  <si>
    <t>GJ/L</t>
  </si>
  <si>
    <t>Week of</t>
  </si>
  <si>
    <t>YEAR</t>
  </si>
  <si>
    <t>US Gulf Coast Kerozene Spot Real Price EUR2020/GJ</t>
  </si>
  <si>
    <t>Médiane</t>
  </si>
  <si>
    <t>Premier décile</t>
  </si>
  <si>
    <t>Dernier décile</t>
  </si>
  <si>
    <t>€2020/GJ</t>
  </si>
  <si>
    <t>€2020/L</t>
  </si>
  <si>
    <t>First Decile</t>
  </si>
  <si>
    <t>Last decile</t>
  </si>
  <si>
    <t>2015-2019</t>
  </si>
  <si>
    <t>MFSP OPEX summary</t>
  </si>
  <si>
    <t>Direct use as VAR OPEX Feedstock in AeroMAPS</t>
  </si>
  <si>
    <t>Use as feedstock cost in aeromaps</t>
  </si>
  <si>
    <t>Use as CAPEX in AeroMAPS</t>
  </si>
  <si>
    <t>FT-Others (= residue + Biomass</t>
  </si>
  <si>
    <t>FT-Others</t>
  </si>
  <si>
    <t xml:space="preserve">Feedstock Cost (€2020 /MJ) - Median Plant Efficiency - 35.3 MJ/L </t>
  </si>
  <si>
    <t>Feedstock Cost Summary [E/MJ input)</t>
  </si>
  <si>
    <t>Feedstock Cost Summary [€/MJ input]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</si>
</sst>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%"/>
    <numFmt numFmtId="167" formatCode="_-* #,##0\ _€_-;\-* #,##0\ _€_-;_-* &quot;-&quot;??\ _€_-;_-@_-"/>
    <numFmt numFmtId="168" formatCode="_-* #,##0\ &quot;€&quot;_-;\-* #,##0\ &quot;€&quot;_-;_-* &quot;-&quot;??\ &quot;€&quot;_-;_-@_-"/>
    <numFmt numFmtId="169" formatCode="_-[$$-409]* #,##0.00_ ;_-[$$-409]* \-#,##0.00\ ;_-[$$-409]* &quot;-&quot;??_ ;_-@_ "/>
    <numFmt numFmtId="170" formatCode="_-* #,##0.00\ [$€-40C]_-;\-* #,##0.00\ [$€-40C]_-;_-* &quot;-&quot;??\ [$€-40C]_-;_-@_-"/>
    <numFmt numFmtId="171" formatCode="0.0000"/>
    <numFmt numFmtId="172" formatCode="_-* #,##0.0000\ &quot;€&quot;_-;\-* #,##0.0000\ &quot;€&quot;_-;_-* &quot;-&quot;????\ &quot;€&quot;_-;_-@_-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mbria"/>
      <family val="2"/>
      <scheme val="major"/>
    </font>
    <font>
      <sz val="8"/>
      <color theme="0"/>
      <name val="Verdan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color theme="1"/>
      <name val="Tahoma"/>
      <family val="2"/>
    </font>
    <font>
      <sz val="8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609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9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7" fillId="0" borderId="0" xfId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0" xfId="0" applyFill="1" applyBorder="1"/>
    <xf numFmtId="0" fontId="0" fillId="6" borderId="9" xfId="0" applyFill="1" applyBorder="1"/>
    <xf numFmtId="166" fontId="0" fillId="0" borderId="1" xfId="0" applyNumberFormat="1" applyBorder="1"/>
    <xf numFmtId="0" fontId="0" fillId="0" borderId="5" xfId="0" applyBorder="1"/>
    <xf numFmtId="0" fontId="13" fillId="6" borderId="0" xfId="0" applyFont="1" applyFill="1" applyBorder="1"/>
    <xf numFmtId="0" fontId="13" fillId="6" borderId="9" xfId="0" applyFont="1" applyFill="1" applyBorder="1"/>
    <xf numFmtId="0" fontId="0" fillId="0" borderId="8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23" xfId="0" applyBorder="1"/>
    <xf numFmtId="0" fontId="0" fillId="0" borderId="19" xfId="0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5" borderId="15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/>
    </xf>
    <xf numFmtId="9" fontId="0" fillId="6" borderId="25" xfId="0" applyNumberFormat="1" applyFill="1" applyBorder="1" applyAlignment="1">
      <alignment horizontal="center" vertical="center"/>
    </xf>
    <xf numFmtId="0" fontId="0" fillId="6" borderId="14" xfId="0" applyFill="1" applyBorder="1"/>
    <xf numFmtId="0" fontId="1" fillId="5" borderId="30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0" borderId="25" xfId="0" applyBorder="1"/>
    <xf numFmtId="0" fontId="0" fillId="0" borderId="33" xfId="0" applyFill="1" applyBorder="1"/>
    <xf numFmtId="0" fontId="0" fillId="0" borderId="14" xfId="0" applyBorder="1"/>
    <xf numFmtId="0" fontId="0" fillId="0" borderId="33" xfId="0" applyBorder="1"/>
    <xf numFmtId="0" fontId="0" fillId="0" borderId="34" xfId="0" applyBorder="1"/>
    <xf numFmtId="0" fontId="0" fillId="0" borderId="17" xfId="0" applyBorder="1"/>
    <xf numFmtId="0" fontId="0" fillId="0" borderId="36" xfId="0" applyBorder="1"/>
    <xf numFmtId="44" fontId="0" fillId="0" borderId="0" xfId="2" applyFont="1" applyBorder="1"/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wrapText="1"/>
    </xf>
    <xf numFmtId="44" fontId="0" fillId="0" borderId="9" xfId="2" applyFont="1" applyBorder="1"/>
    <xf numFmtId="0" fontId="0" fillId="0" borderId="27" xfId="0" applyBorder="1"/>
    <xf numFmtId="0" fontId="0" fillId="0" borderId="4" xfId="0" applyBorder="1"/>
    <xf numFmtId="44" fontId="0" fillId="0" borderId="20" xfId="2" applyFont="1" applyBorder="1"/>
    <xf numFmtId="44" fontId="0" fillId="0" borderId="6" xfId="2" applyFont="1" applyBorder="1"/>
    <xf numFmtId="0" fontId="0" fillId="0" borderId="22" xfId="0" applyBorder="1"/>
    <xf numFmtId="44" fontId="0" fillId="0" borderId="21" xfId="2" applyFont="1" applyBorder="1"/>
    <xf numFmtId="44" fontId="0" fillId="0" borderId="10" xfId="2" applyFont="1" applyBorder="1"/>
    <xf numFmtId="0" fontId="0" fillId="0" borderId="21" xfId="0" applyFill="1" applyBorder="1"/>
    <xf numFmtId="44" fontId="0" fillId="0" borderId="23" xfId="2" applyFont="1" applyBorder="1"/>
    <xf numFmtId="44" fontId="0" fillId="0" borderId="23" xfId="2" applyFont="1" applyBorder="1" applyAlignment="1">
      <alignment vertical="center" wrapText="1"/>
    </xf>
    <xf numFmtId="0" fontId="0" fillId="0" borderId="10" xfId="0" applyFill="1" applyBorder="1"/>
    <xf numFmtId="44" fontId="0" fillId="0" borderId="19" xfId="2" applyFont="1" applyBorder="1" applyAlignment="1">
      <alignment vertical="center" wrapText="1"/>
    </xf>
    <xf numFmtId="44" fontId="0" fillId="0" borderId="20" xfId="2" applyFont="1" applyFill="1" applyBorder="1" applyAlignment="1">
      <alignment wrapText="1"/>
    </xf>
    <xf numFmtId="44" fontId="0" fillId="0" borderId="6" xfId="2" applyFont="1" applyFill="1" applyBorder="1" applyAlignment="1">
      <alignment wrapText="1"/>
    </xf>
    <xf numFmtId="44" fontId="0" fillId="0" borderId="22" xfId="2" applyFont="1" applyFill="1" applyBorder="1" applyAlignment="1">
      <alignment wrapText="1"/>
    </xf>
    <xf numFmtId="0" fontId="1" fillId="5" borderId="20" xfId="0" applyFont="1" applyFill="1" applyBorder="1" applyAlignment="1">
      <alignment horizontal="center" vertical="center" wrapText="1"/>
    </xf>
    <xf numFmtId="0" fontId="0" fillId="0" borderId="2" xfId="0" applyFill="1" applyBorder="1"/>
    <xf numFmtId="44" fontId="0" fillId="0" borderId="3" xfId="2" applyFont="1" applyFill="1" applyBorder="1"/>
    <xf numFmtId="44" fontId="0" fillId="0" borderId="4" xfId="2" applyFont="1" applyFill="1" applyBorder="1"/>
    <xf numFmtId="44" fontId="0" fillId="0" borderId="2" xfId="2" applyFont="1" applyFill="1" applyBorder="1" applyAlignment="1">
      <alignment wrapText="1"/>
    </xf>
    <xf numFmtId="44" fontId="0" fillId="0" borderId="3" xfId="2" applyFont="1" applyFill="1" applyBorder="1" applyAlignment="1">
      <alignment wrapText="1"/>
    </xf>
    <xf numFmtId="44" fontId="0" fillId="0" borderId="4" xfId="2" applyFont="1" applyFill="1" applyBorder="1" applyAlignment="1">
      <alignment wrapText="1"/>
    </xf>
    <xf numFmtId="0" fontId="0" fillId="6" borderId="6" xfId="0" applyFill="1" applyBorder="1"/>
    <xf numFmtId="0" fontId="6" fillId="6" borderId="0" xfId="0" applyFont="1" applyFill="1" applyBorder="1"/>
    <xf numFmtId="44" fontId="0" fillId="0" borderId="21" xfId="2" applyFont="1" applyBorder="1" applyAlignment="1">
      <alignment vertical="center" wrapText="1"/>
    </xf>
    <xf numFmtId="44" fontId="0" fillId="0" borderId="10" xfId="2" applyFont="1" applyBorder="1" applyAlignment="1">
      <alignment vertical="center" wrapText="1"/>
    </xf>
    <xf numFmtId="1" fontId="0" fillId="0" borderId="6" xfId="0" applyNumberFormat="1" applyBorder="1"/>
    <xf numFmtId="1" fontId="0" fillId="0" borderId="0" xfId="0" applyNumberFormat="1" applyBorder="1"/>
    <xf numFmtId="1" fontId="0" fillId="0" borderId="9" xfId="0" applyNumberFormat="1" applyBorder="1"/>
    <xf numFmtId="44" fontId="16" fillId="0" borderId="0" xfId="0" applyNumberFormat="1" applyFont="1" applyBorder="1"/>
    <xf numFmtId="44" fontId="0" fillId="0" borderId="0" xfId="0" applyNumberFormat="1" applyBorder="1"/>
    <xf numFmtId="0" fontId="0" fillId="0" borderId="5" xfId="0" applyFill="1" applyBorder="1"/>
    <xf numFmtId="0" fontId="0" fillId="6" borderId="0" xfId="0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22" xfId="0" applyFont="1" applyBorder="1"/>
    <xf numFmtId="0" fontId="18" fillId="0" borderId="23" xfId="0" applyFont="1" applyBorder="1"/>
    <xf numFmtId="0" fontId="18" fillId="0" borderId="19" xfId="0" applyFont="1" applyBorder="1"/>
    <xf numFmtId="44" fontId="0" fillId="0" borderId="22" xfId="2" applyFont="1" applyBorder="1"/>
    <xf numFmtId="44" fontId="0" fillId="0" borderId="6" xfId="2" applyFont="1" applyFill="1" applyBorder="1"/>
    <xf numFmtId="44" fontId="0" fillId="0" borderId="22" xfId="2" applyFont="1" applyFill="1" applyBorder="1"/>
    <xf numFmtId="0" fontId="0" fillId="0" borderId="1" xfId="0" applyFill="1" applyBorder="1"/>
    <xf numFmtId="44" fontId="0" fillId="0" borderId="20" xfId="2" applyFont="1" applyFill="1" applyBorder="1"/>
    <xf numFmtId="0" fontId="0" fillId="6" borderId="15" xfId="0" applyFill="1" applyBorder="1"/>
    <xf numFmtId="0" fontId="0" fillId="0" borderId="39" xfId="0" applyFill="1" applyBorder="1"/>
    <xf numFmtId="0" fontId="0" fillId="0" borderId="24" xfId="0" applyFill="1" applyBorder="1"/>
    <xf numFmtId="0" fontId="0" fillId="0" borderId="28" xfId="0" applyFill="1" applyBorder="1"/>
    <xf numFmtId="0" fontId="0" fillId="0" borderId="28" xfId="0" applyBorder="1"/>
    <xf numFmtId="0" fontId="0" fillId="0" borderId="31" xfId="0" applyFill="1" applyBorder="1"/>
    <xf numFmtId="0" fontId="0" fillId="0" borderId="35" xfId="0" applyFill="1" applyBorder="1"/>
    <xf numFmtId="0" fontId="0" fillId="0" borderId="40" xfId="0" applyFill="1" applyBorder="1"/>
    <xf numFmtId="44" fontId="0" fillId="0" borderId="17" xfId="0" applyNumberFormat="1" applyBorder="1"/>
    <xf numFmtId="0" fontId="0" fillId="6" borderId="29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18" xfId="0" applyFill="1" applyBorder="1"/>
    <xf numFmtId="0" fontId="1" fillId="6" borderId="0" xfId="0" applyFont="1" applyFill="1" applyBorder="1" applyAlignment="1">
      <alignment vertical="center"/>
    </xf>
    <xf numFmtId="0" fontId="17" fillId="6" borderId="0" xfId="0" applyFont="1" applyFill="1" applyBorder="1"/>
    <xf numFmtId="0" fontId="1" fillId="5" borderId="1" xfId="0" applyFont="1" applyFill="1" applyBorder="1" applyAlignment="1">
      <alignment vertical="center"/>
    </xf>
    <xf numFmtId="44" fontId="0" fillId="0" borderId="8" xfId="0" applyNumberFormat="1" applyBorder="1"/>
    <xf numFmtId="0" fontId="1" fillId="5" borderId="26" xfId="0" applyFont="1" applyFill="1" applyBorder="1" applyAlignment="1">
      <alignment horizontal="center" vertical="center" wrapText="1"/>
    </xf>
    <xf numFmtId="0" fontId="0" fillId="0" borderId="25" xfId="0" applyFill="1" applyBorder="1"/>
    <xf numFmtId="44" fontId="0" fillId="0" borderId="40" xfId="0" applyNumberFormat="1" applyBorder="1"/>
    <xf numFmtId="9" fontId="0" fillId="6" borderId="31" xfId="0" applyNumberFormat="1" applyFill="1" applyBorder="1" applyAlignment="1">
      <alignment horizontal="center" vertical="center"/>
    </xf>
    <xf numFmtId="9" fontId="0" fillId="6" borderId="5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0" borderId="32" xfId="0" applyBorder="1"/>
    <xf numFmtId="166" fontId="0" fillId="0" borderId="7" xfId="0" applyNumberFormat="1" applyBorder="1"/>
    <xf numFmtId="9" fontId="3" fillId="0" borderId="5" xfId="0" applyNumberFormat="1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0" xfId="2" applyFont="1" applyBorder="1" applyAlignment="1">
      <alignment vertical="center" wrapText="1"/>
    </xf>
    <xf numFmtId="0" fontId="0" fillId="6" borderId="0" xfId="0" applyFill="1" applyBorder="1" applyAlignment="1">
      <alignment wrapText="1"/>
    </xf>
    <xf numFmtId="0" fontId="0" fillId="0" borderId="21" xfId="0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2" fontId="0" fillId="0" borderId="9" xfId="0" applyNumberFormat="1" applyFill="1" applyBorder="1"/>
    <xf numFmtId="44" fontId="0" fillId="0" borderId="21" xfId="0" applyNumberFormat="1" applyBorder="1"/>
    <xf numFmtId="164" fontId="0" fillId="0" borderId="21" xfId="3" applyFont="1" applyBorder="1"/>
    <xf numFmtId="164" fontId="6" fillId="0" borderId="23" xfId="3" applyFont="1" applyBorder="1"/>
    <xf numFmtId="0" fontId="0" fillId="0" borderId="41" xfId="0" applyBorder="1"/>
    <xf numFmtId="164" fontId="6" fillId="0" borderId="36" xfId="3" applyFont="1" applyBorder="1"/>
    <xf numFmtId="0" fontId="1" fillId="5" borderId="1" xfId="0" applyFont="1" applyFill="1" applyBorder="1" applyAlignment="1">
      <alignment vertical="center" wrapText="1"/>
    </xf>
    <xf numFmtId="164" fontId="6" fillId="6" borderId="5" xfId="3" applyFont="1" applyFill="1" applyBorder="1"/>
    <xf numFmtId="164" fontId="6" fillId="6" borderId="8" xfId="3" applyFont="1" applyFill="1" applyBorder="1"/>
    <xf numFmtId="164" fontId="6" fillId="6" borderId="40" xfId="3" applyFont="1" applyFill="1" applyBorder="1"/>
    <xf numFmtId="0" fontId="0" fillId="0" borderId="11" xfId="0" applyBorder="1"/>
    <xf numFmtId="0" fontId="0" fillId="0" borderId="43" xfId="0" applyBorder="1"/>
    <xf numFmtId="0" fontId="1" fillId="5" borderId="43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0" fillId="0" borderId="15" xfId="0" applyFill="1" applyBorder="1" applyAlignment="1">
      <alignment wrapText="1"/>
    </xf>
    <xf numFmtId="2" fontId="0" fillId="0" borderId="15" xfId="0" applyNumberFormat="1" applyFill="1" applyBorder="1"/>
    <xf numFmtId="0" fontId="0" fillId="0" borderId="41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38" xfId="0" applyNumberFormat="1" applyFill="1" applyBorder="1"/>
    <xf numFmtId="0" fontId="0" fillId="0" borderId="44" xfId="0" applyBorder="1" applyAlignment="1">
      <alignment horizontal="center" vertical="center"/>
    </xf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6" borderId="11" xfId="0" applyFill="1" applyBorder="1"/>
    <xf numFmtId="0" fontId="1" fillId="5" borderId="43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164" fontId="6" fillId="6" borderId="42" xfId="3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6" xfId="0" applyFill="1" applyBorder="1"/>
    <xf numFmtId="167" fontId="0" fillId="0" borderId="0" xfId="3" applyNumberFormat="1" applyFont="1"/>
    <xf numFmtId="168" fontId="0" fillId="0" borderId="0" xfId="2" applyNumberFormat="1" applyFont="1"/>
    <xf numFmtId="0" fontId="21" fillId="13" borderId="48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left" vertical="center" wrapText="1"/>
    </xf>
    <xf numFmtId="0" fontId="21" fillId="13" borderId="49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center" vertical="center" wrapText="1"/>
    </xf>
    <xf numFmtId="0" fontId="21" fillId="13" borderId="49" xfId="0" applyFont="1" applyFill="1" applyBorder="1" applyAlignment="1">
      <alignment horizontal="left" vertical="center" wrapText="1" indent="2"/>
    </xf>
    <xf numFmtId="2" fontId="22" fillId="13" borderId="49" xfId="0" applyNumberFormat="1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vertical="center" wrapText="1"/>
    </xf>
    <xf numFmtId="0" fontId="22" fillId="13" borderId="49" xfId="0" applyFont="1" applyFill="1" applyBorder="1" applyAlignment="1">
      <alignment horizontal="left" vertical="center" wrapText="1" indent="1"/>
    </xf>
    <xf numFmtId="1" fontId="22" fillId="13" borderId="50" xfId="0" applyNumberFormat="1" applyFont="1" applyFill="1" applyBorder="1" applyAlignment="1">
      <alignment horizontal="left" vertical="center" wrapText="1" indent="1"/>
    </xf>
    <xf numFmtId="0" fontId="23" fillId="14" borderId="51" xfId="0" applyFont="1" applyFill="1" applyBorder="1" applyAlignment="1">
      <alignment vertical="center" wrapText="1"/>
    </xf>
    <xf numFmtId="0" fontId="24" fillId="15" borderId="52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vertical="top" wrapText="1"/>
    </xf>
    <xf numFmtId="2" fontId="24" fillId="15" borderId="53" xfId="0" applyNumberFormat="1" applyFont="1" applyFill="1" applyBorder="1" applyAlignment="1">
      <alignment horizontal="center" vertical="top" wrapText="1"/>
    </xf>
    <xf numFmtId="2" fontId="25" fillId="15" borderId="53" xfId="0" applyNumberFormat="1" applyFont="1" applyFill="1" applyBorder="1" applyAlignment="1">
      <alignment horizontal="center" vertical="top" shrinkToFit="1"/>
    </xf>
    <xf numFmtId="2" fontId="25" fillId="15" borderId="53" xfId="0" applyNumberFormat="1" applyFont="1" applyFill="1" applyBorder="1" applyAlignment="1">
      <alignment horizontal="center" vertical="center" shrinkToFit="1"/>
    </xf>
    <xf numFmtId="10" fontId="26" fillId="15" borderId="53" xfId="0" applyNumberFormat="1" applyFont="1" applyFill="1" applyBorder="1"/>
    <xf numFmtId="169" fontId="26" fillId="15" borderId="53" xfId="2" applyNumberFormat="1" applyFont="1" applyFill="1" applyBorder="1"/>
    <xf numFmtId="170" fontId="27" fillId="15" borderId="53" xfId="2" applyNumberFormat="1" applyFont="1" applyFill="1" applyBorder="1"/>
    <xf numFmtId="170" fontId="28" fillId="15" borderId="53" xfId="0" applyNumberFormat="1" applyFont="1" applyFill="1" applyBorder="1"/>
    <xf numFmtId="1" fontId="26" fillId="15" borderId="54" xfId="0" applyNumberFormat="1" applyFont="1" applyFill="1" applyBorder="1"/>
    <xf numFmtId="0" fontId="23" fillId="14" borderId="55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right" vertical="top" wrapText="1" indent="1"/>
    </xf>
    <xf numFmtId="2" fontId="24" fillId="15" borderId="53" xfId="0" applyNumberFormat="1" applyFont="1" applyFill="1" applyBorder="1" applyAlignment="1">
      <alignment horizontal="center" vertical="top"/>
    </xf>
    <xf numFmtId="169" fontId="27" fillId="15" borderId="53" xfId="2" applyNumberFormat="1" applyFont="1" applyFill="1" applyBorder="1"/>
    <xf numFmtId="0" fontId="24" fillId="15" borderId="53" xfId="0" applyFont="1" applyFill="1" applyBorder="1" applyAlignment="1">
      <alignment horizontal="center" vertical="top" wrapText="1"/>
    </xf>
    <xf numFmtId="0" fontId="24" fillId="15" borderId="52" xfId="0" applyFont="1" applyFill="1" applyBorder="1" applyAlignment="1">
      <alignment horizontal="left" vertical="center" wrapText="1"/>
    </xf>
    <xf numFmtId="2" fontId="24" fillId="15" borderId="53" xfId="0" applyNumberFormat="1" applyFont="1" applyFill="1" applyBorder="1" applyAlignment="1">
      <alignment horizontal="center" vertical="center" wrapText="1"/>
    </xf>
    <xf numFmtId="0" fontId="24" fillId="15" borderId="53" xfId="0" applyFont="1" applyFill="1" applyBorder="1" applyAlignment="1">
      <alignment horizontal="right" vertical="center" wrapText="1" indent="1"/>
    </xf>
    <xf numFmtId="0" fontId="24" fillId="15" borderId="53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left" vertical="center" wrapText="1"/>
    </xf>
    <xf numFmtId="0" fontId="24" fillId="15" borderId="53" xfId="0" applyFont="1" applyFill="1" applyBorder="1" applyAlignment="1">
      <alignment horizontal="left" vertical="center" wrapText="1" indent="1"/>
    </xf>
    <xf numFmtId="170" fontId="27" fillId="15" borderId="53" xfId="0" applyNumberFormat="1" applyFont="1" applyFill="1" applyBorder="1"/>
    <xf numFmtId="170" fontId="28" fillId="15" borderId="53" xfId="0" applyNumberFormat="1" applyFont="1" applyFill="1" applyBorder="1" applyAlignment="1">
      <alignment horizontal="center"/>
    </xf>
    <xf numFmtId="0" fontId="23" fillId="14" borderId="55" xfId="0" applyFont="1" applyFill="1" applyBorder="1" applyAlignment="1">
      <alignment vertical="top" wrapText="1"/>
    </xf>
    <xf numFmtId="0" fontId="23" fillId="14" borderId="55" xfId="0" applyFont="1" applyFill="1" applyBorder="1" applyAlignment="1">
      <alignment horizontal="left" vertical="center" wrapText="1"/>
    </xf>
    <xf numFmtId="0" fontId="23" fillId="14" borderId="55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center" vertical="center" wrapText="1"/>
    </xf>
    <xf numFmtId="0" fontId="29" fillId="16" borderId="55" xfId="0" applyFont="1" applyFill="1" applyBorder="1"/>
    <xf numFmtId="0" fontId="26" fillId="17" borderId="52" xfId="0" applyFont="1" applyFill="1" applyBorder="1" applyAlignment="1">
      <alignment horizontal="left"/>
    </xf>
    <xf numFmtId="0" fontId="26" fillId="17" borderId="53" xfId="0" applyFont="1" applyFill="1" applyBorder="1" applyAlignment="1">
      <alignment horizontal="left"/>
    </xf>
    <xf numFmtId="0" fontId="26" fillId="17" borderId="53" xfId="0" applyFont="1" applyFill="1" applyBorder="1"/>
    <xf numFmtId="2" fontId="26" fillId="17" borderId="53" xfId="0" applyNumberFormat="1" applyFont="1" applyFill="1" applyBorder="1" applyAlignment="1">
      <alignment horizontal="center"/>
    </xf>
    <xf numFmtId="2" fontId="25" fillId="17" borderId="53" xfId="0" applyNumberFormat="1" applyFont="1" applyFill="1" applyBorder="1" applyAlignment="1">
      <alignment horizontal="center" vertical="top" shrinkToFit="1"/>
    </xf>
    <xf numFmtId="2" fontId="26" fillId="17" borderId="53" xfId="0" applyNumberFormat="1" applyFont="1" applyFill="1" applyBorder="1" applyAlignment="1">
      <alignment horizontal="center" vertical="center"/>
    </xf>
    <xf numFmtId="10" fontId="26" fillId="17" borderId="53" xfId="0" applyNumberFormat="1" applyFont="1" applyFill="1" applyBorder="1"/>
    <xf numFmtId="169" fontId="30" fillId="17" borderId="53" xfId="2" applyNumberFormat="1" applyFont="1" applyFill="1" applyBorder="1"/>
    <xf numFmtId="44" fontId="27" fillId="17" borderId="53" xfId="2" applyFont="1" applyFill="1" applyBorder="1"/>
    <xf numFmtId="1" fontId="26" fillId="17" borderId="54" xfId="0" applyNumberFormat="1" applyFont="1" applyFill="1" applyBorder="1"/>
    <xf numFmtId="2" fontId="26" fillId="17" borderId="53" xfId="0" applyNumberFormat="1" applyFont="1" applyFill="1" applyBorder="1"/>
    <xf numFmtId="0" fontId="29" fillId="4" borderId="55" xfId="0" applyFont="1" applyFill="1" applyBorder="1"/>
    <xf numFmtId="0" fontId="26" fillId="18" borderId="52" xfId="0" applyFont="1" applyFill="1" applyBorder="1" applyAlignment="1">
      <alignment horizontal="left"/>
    </xf>
    <xf numFmtId="0" fontId="26" fillId="18" borderId="53" xfId="0" applyFont="1" applyFill="1" applyBorder="1" applyAlignment="1">
      <alignment horizontal="left"/>
    </xf>
    <xf numFmtId="0" fontId="26" fillId="18" borderId="53" xfId="0" applyFont="1" applyFill="1" applyBorder="1"/>
    <xf numFmtId="2" fontId="26" fillId="18" borderId="53" xfId="0" applyNumberFormat="1" applyFont="1" applyFill="1" applyBorder="1" applyAlignment="1">
      <alignment horizontal="center"/>
    </xf>
    <xf numFmtId="10" fontId="26" fillId="18" borderId="53" xfId="0" applyNumberFormat="1" applyFont="1" applyFill="1" applyBorder="1"/>
    <xf numFmtId="169" fontId="30" fillId="18" borderId="53" xfId="2" applyNumberFormat="1" applyFont="1" applyFill="1" applyBorder="1"/>
    <xf numFmtId="44" fontId="27" fillId="18" borderId="53" xfId="2" applyFont="1" applyFill="1" applyBorder="1"/>
    <xf numFmtId="1" fontId="26" fillId="18" borderId="54" xfId="0" applyNumberFormat="1" applyFont="1" applyFill="1" applyBorder="1"/>
    <xf numFmtId="2" fontId="26" fillId="18" borderId="53" xfId="0" applyNumberFormat="1" applyFont="1" applyFill="1" applyBorder="1" applyAlignment="1">
      <alignment horizontal="center" vertical="center"/>
    </xf>
    <xf numFmtId="2" fontId="26" fillId="18" borderId="53" xfId="0" applyNumberFormat="1" applyFont="1" applyFill="1" applyBorder="1"/>
    <xf numFmtId="0" fontId="29" fillId="18" borderId="53" xfId="0" applyFont="1" applyFill="1" applyBorder="1"/>
    <xf numFmtId="0" fontId="29" fillId="4" borderId="56" xfId="0" applyFont="1" applyFill="1" applyBorder="1"/>
    <xf numFmtId="0" fontId="26" fillId="18" borderId="57" xfId="0" applyFont="1" applyFill="1" applyBorder="1" applyAlignment="1">
      <alignment horizontal="left"/>
    </xf>
    <xf numFmtId="0" fontId="26" fillId="18" borderId="58" xfId="0" applyFont="1" applyFill="1" applyBorder="1" applyAlignment="1">
      <alignment horizontal="left"/>
    </xf>
    <xf numFmtId="0" fontId="26" fillId="18" borderId="58" xfId="0" applyFont="1" applyFill="1" applyBorder="1"/>
    <xf numFmtId="2" fontId="26" fillId="18" borderId="58" xfId="0" applyNumberFormat="1" applyFont="1" applyFill="1" applyBorder="1" applyAlignment="1">
      <alignment horizontal="center"/>
    </xf>
    <xf numFmtId="0" fontId="29" fillId="18" borderId="58" xfId="0" applyFont="1" applyFill="1" applyBorder="1"/>
    <xf numFmtId="2" fontId="26" fillId="18" borderId="58" xfId="0" applyNumberFormat="1" applyFont="1" applyFill="1" applyBorder="1" applyAlignment="1">
      <alignment horizontal="center" vertical="center"/>
    </xf>
    <xf numFmtId="2" fontId="26" fillId="18" borderId="58" xfId="0" applyNumberFormat="1" applyFont="1" applyFill="1" applyBorder="1"/>
    <xf numFmtId="10" fontId="26" fillId="18" borderId="58" xfId="0" applyNumberFormat="1" applyFont="1" applyFill="1" applyBorder="1"/>
    <xf numFmtId="169" fontId="30" fillId="18" borderId="58" xfId="2" applyNumberFormat="1" applyFont="1" applyFill="1" applyBorder="1"/>
    <xf numFmtId="44" fontId="27" fillId="18" borderId="58" xfId="2" applyFont="1" applyFill="1" applyBorder="1"/>
    <xf numFmtId="1" fontId="26" fillId="18" borderId="59" xfId="0" applyNumberFormat="1" applyFont="1" applyFill="1" applyBorder="1"/>
    <xf numFmtId="0" fontId="7" fillId="0" borderId="0" xfId="1"/>
    <xf numFmtId="0" fontId="16" fillId="2" borderId="0" xfId="0" applyFont="1" applyFill="1"/>
    <xf numFmtId="0" fontId="31" fillId="2" borderId="0" xfId="1" applyFont="1" applyFill="1"/>
    <xf numFmtId="0" fontId="32" fillId="0" borderId="0" xfId="0" applyFont="1"/>
    <xf numFmtId="0" fontId="0" fillId="0" borderId="20" xfId="0" applyFill="1" applyBorder="1"/>
    <xf numFmtId="44" fontId="0" fillId="0" borderId="19" xfId="2" applyFont="1" applyBorder="1"/>
    <xf numFmtId="164" fontId="0" fillId="0" borderId="0" xfId="3" applyFont="1"/>
    <xf numFmtId="2" fontId="0" fillId="0" borderId="0" xfId="0" applyNumberFormat="1" applyBorder="1"/>
    <xf numFmtId="0" fontId="0" fillId="0" borderId="10" xfId="0" applyBorder="1"/>
    <xf numFmtId="2" fontId="0" fillId="0" borderId="9" xfId="0" applyNumberFormat="1" applyBorder="1"/>
    <xf numFmtId="44" fontId="0" fillId="0" borderId="9" xfId="0" applyNumberFormat="1" applyBorder="1"/>
    <xf numFmtId="44" fontId="0" fillId="0" borderId="5" xfId="2" applyFont="1" applyBorder="1" applyAlignment="1">
      <alignment vertical="center" wrapText="1"/>
    </xf>
    <xf numFmtId="44" fontId="0" fillId="0" borderId="0" xfId="0" applyNumberFormat="1"/>
    <xf numFmtId="2" fontId="0" fillId="0" borderId="0" xfId="0" applyNumberFormat="1"/>
    <xf numFmtId="44" fontId="0" fillId="6" borderId="0" xfId="2" applyFont="1" applyFill="1" applyBorder="1"/>
    <xf numFmtId="44" fontId="0" fillId="6" borderId="23" xfId="2" applyFont="1" applyFill="1" applyBorder="1"/>
    <xf numFmtId="44" fontId="0" fillId="0" borderId="8" xfId="0" applyNumberFormat="1" applyFill="1" applyBorder="1"/>
    <xf numFmtId="171" fontId="0" fillId="0" borderId="8" xfId="0" applyNumberFormat="1" applyFill="1" applyBorder="1"/>
    <xf numFmtId="172" fontId="0" fillId="0" borderId="0" xfId="2" applyNumberFormat="1" applyFont="1" applyBorder="1"/>
    <xf numFmtId="172" fontId="0" fillId="0" borderId="23" xfId="2" applyNumberFormat="1" applyFont="1" applyBorder="1"/>
    <xf numFmtId="172" fontId="0" fillId="0" borderId="9" xfId="2" applyNumberFormat="1" applyFont="1" applyBorder="1"/>
    <xf numFmtId="172" fontId="0" fillId="0" borderId="19" xfId="2" applyNumberFormat="1" applyFont="1" applyBorder="1"/>
    <xf numFmtId="44" fontId="0" fillId="6" borderId="21" xfId="2" applyFont="1" applyFill="1" applyBorder="1"/>
    <xf numFmtId="0" fontId="0" fillId="6" borderId="0" xfId="0" applyFill="1"/>
    <xf numFmtId="44" fontId="0" fillId="6" borderId="6" xfId="2" applyFont="1" applyFill="1" applyBorder="1" applyAlignment="1">
      <alignment vertical="center"/>
    </xf>
    <xf numFmtId="44" fontId="0" fillId="6" borderId="22" xfId="2" applyFont="1" applyFill="1" applyBorder="1" applyAlignment="1">
      <alignment vertical="center"/>
    </xf>
    <xf numFmtId="171" fontId="0" fillId="0" borderId="7" xfId="0" applyNumberFormat="1" applyFill="1" applyBorder="1"/>
    <xf numFmtId="44" fontId="0" fillId="0" borderId="8" xfId="2" applyFont="1" applyBorder="1" applyAlignment="1">
      <alignment vertical="center" wrapText="1"/>
    </xf>
    <xf numFmtId="0" fontId="0" fillId="6" borderId="0" xfId="0" applyFill="1" applyBorder="1" applyAlignment="1">
      <alignment vertical="center"/>
    </xf>
    <xf numFmtId="44" fontId="0" fillId="0" borderId="22" xfId="2" applyFont="1" applyBorder="1" applyAlignment="1">
      <alignment vertical="center" wrapText="1"/>
    </xf>
    <xf numFmtId="44" fontId="0" fillId="0" borderId="7" xfId="2" applyFont="1" applyBorder="1" applyAlignment="1">
      <alignment vertical="center" wrapText="1"/>
    </xf>
    <xf numFmtId="171" fontId="0" fillId="0" borderId="1" xfId="0" applyNumberFormat="1" applyFill="1" applyBorder="1" applyAlignment="1">
      <alignment wrapText="1"/>
    </xf>
    <xf numFmtId="44" fontId="0" fillId="0" borderId="7" xfId="0" applyNumberFormat="1" applyFill="1" applyBorder="1"/>
    <xf numFmtId="0" fontId="0" fillId="0" borderId="20" xfId="0" applyBorder="1"/>
    <xf numFmtId="44" fontId="0" fillId="6" borderId="0" xfId="2" applyFont="1" applyFill="1" applyBorder="1" applyAlignment="1">
      <alignment wrapText="1"/>
    </xf>
    <xf numFmtId="44" fontId="0" fillId="6" borderId="21" xfId="2" applyFont="1" applyFill="1" applyBorder="1" applyAlignment="1">
      <alignment wrapText="1"/>
    </xf>
    <xf numFmtId="44" fontId="0" fillId="6" borderId="23" xfId="2" applyFont="1" applyFill="1" applyBorder="1" applyAlignment="1">
      <alignment wrapText="1"/>
    </xf>
    <xf numFmtId="44" fontId="0" fillId="6" borderId="9" xfId="2" applyFont="1" applyFill="1" applyBorder="1" applyAlignment="1">
      <alignment wrapText="1"/>
    </xf>
    <xf numFmtId="44" fontId="0" fillId="6" borderId="19" xfId="2" applyFont="1" applyFill="1" applyBorder="1" applyAlignment="1">
      <alignment wrapText="1"/>
    </xf>
    <xf numFmtId="172" fontId="0" fillId="0" borderId="21" xfId="2" applyNumberFormat="1" applyFont="1" applyBorder="1" applyAlignment="1">
      <alignment vertical="center" wrapText="1"/>
    </xf>
    <xf numFmtId="172" fontId="0" fillId="0" borderId="10" xfId="2" applyNumberFormat="1" applyFont="1" applyBorder="1" applyAlignment="1">
      <alignment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1" fillId="0" borderId="2" xfId="0" applyNumberFormat="1" applyFont="1" applyFill="1" applyBorder="1" applyAlignment="1">
      <alignment horizontal="center" vertical="center"/>
    </xf>
    <xf numFmtId="9" fontId="11" fillId="0" borderId="3" xfId="0" applyNumberFormat="1" applyFont="1" applyFill="1" applyBorder="1" applyAlignment="1">
      <alignment horizontal="center" vertical="center"/>
    </xf>
    <xf numFmtId="9" fontId="11" fillId="0" borderId="4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44" fontId="0" fillId="19" borderId="20" xfId="2" applyFont="1" applyFill="1" applyBorder="1" applyAlignment="1">
      <alignment horizontal="center" vertical="center"/>
    </xf>
    <xf numFmtId="44" fontId="0" fillId="19" borderId="6" xfId="2" applyFont="1" applyFill="1" applyBorder="1" applyAlignment="1">
      <alignment horizontal="center" vertical="center"/>
    </xf>
    <xf numFmtId="44" fontId="0" fillId="19" borderId="22" xfId="2" applyFont="1" applyFill="1" applyBorder="1" applyAlignment="1">
      <alignment horizontal="center" vertical="center"/>
    </xf>
    <xf numFmtId="44" fontId="0" fillId="19" borderId="10" xfId="2" applyFont="1" applyFill="1" applyBorder="1" applyAlignment="1">
      <alignment horizontal="center" vertical="center"/>
    </xf>
    <xf numFmtId="44" fontId="0" fillId="19" borderId="9" xfId="2" applyFont="1" applyFill="1" applyBorder="1" applyAlignment="1">
      <alignment horizontal="center" vertical="center"/>
    </xf>
    <xf numFmtId="44" fontId="0" fillId="19" borderId="19" xfId="2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6" borderId="2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 vertical="center"/>
    </xf>
    <xf numFmtId="0" fontId="19" fillId="11" borderId="14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44" fontId="0" fillId="19" borderId="21" xfId="2" applyFont="1" applyFill="1" applyBorder="1" applyAlignment="1">
      <alignment horizontal="center" vertical="center"/>
    </xf>
    <xf numFmtId="44" fontId="0" fillId="19" borderId="0" xfId="2" applyFont="1" applyFill="1" applyBorder="1" applyAlignment="1">
      <alignment horizontal="center" vertical="center"/>
    </xf>
    <xf numFmtId="44" fontId="0" fillId="19" borderId="23" xfId="2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5" borderId="28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19" borderId="21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44" fontId="0" fillId="19" borderId="10" xfId="2" applyFont="1" applyFill="1" applyBorder="1" applyAlignment="1">
      <alignment horizontal="center" wrapText="1"/>
    </xf>
    <xf numFmtId="44" fontId="0" fillId="19" borderId="9" xfId="2" applyFont="1" applyFill="1" applyBorder="1" applyAlignment="1">
      <alignment horizontal="center" wrapText="1"/>
    </xf>
    <xf numFmtId="44" fontId="0" fillId="19" borderId="19" xfId="2" applyFont="1" applyFill="1" applyBorder="1" applyAlignment="1">
      <alignment horizontal="center" wrapText="1"/>
    </xf>
    <xf numFmtId="0" fontId="0" fillId="19" borderId="2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6" borderId="3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19" fillId="10" borderId="11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72" fontId="0" fillId="0" borderId="5" xfId="0" applyNumberFormat="1" applyFill="1" applyBorder="1"/>
    <xf numFmtId="172" fontId="0" fillId="0" borderId="8" xfId="0" applyNumberFormat="1" applyFill="1" applyBorder="1"/>
    <xf numFmtId="172" fontId="0" fillId="0" borderId="7" xfId="0" applyNumberFormat="1" applyFill="1" applyBorder="1"/>
  </cellXfs>
  <cellStyles count="4">
    <cellStyle name="Lien hypertexte" xfId="1" builtinId="8"/>
    <cellStyle name="Milliers" xfId="3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carbon abatement  - FT pathway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Analysis-FT'!$A$64:$B$64</c:f>
              <c:strCache>
                <c:ptCount val="2"/>
                <c:pt idx="0">
                  <c:v>High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1E-4A32-9A68-AA5245054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51E-4A32-9A68-AA5245054F4F}"/>
              </c:ext>
            </c:extLst>
          </c:dPt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Analysis-FT'!$C$64:$E$64</c:f>
              <c:numCache>
                <c:formatCode>_("€"* #,##0.00_);_("€"* \(#,##0.00\);_("€"* "-"??_);_(@_)</c:formatCode>
                <c:ptCount val="3"/>
                <c:pt idx="1">
                  <c:v>525.27789533821863</c:v>
                </c:pt>
                <c:pt idx="2">
                  <c:v>392.83119522122576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A32-9A68-AA5245054F4F}"/>
            </c:ext>
          </c:extLst>
        </c:ser>
        <c:ser>
          <c:idx val="1"/>
          <c:order val="1"/>
          <c:tx>
            <c:strRef>
              <c:f>'Cost Analysis-FT'!$A$65:$B$65</c:f>
              <c:strCache>
                <c:ptCount val="2"/>
                <c:pt idx="0">
                  <c:v>High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Analysis-FT'!$C$65:$E$65</c:f>
              <c:numCache>
                <c:formatCode>_("€"* #,##0.00_);_("€"* \(#,##0.00\);_("€"* "-"??_);_(@_)</c:formatCode>
                <c:ptCount val="3"/>
                <c:pt idx="0">
                  <c:v>471.26085151716916</c:v>
                </c:pt>
                <c:pt idx="1">
                  <c:v>492.73855668894839</c:v>
                </c:pt>
                <c:pt idx="2">
                  <c:v>368.49651941106129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E-4A32-9A68-AA5245054F4F}"/>
            </c:ext>
          </c:extLst>
        </c:ser>
        <c:ser>
          <c:idx val="2"/>
          <c:order val="2"/>
          <c:tx>
            <c:strRef>
              <c:f>'Cost Analysis-FT'!$A$66:$B$66</c:f>
              <c:strCache>
                <c:ptCount val="2"/>
                <c:pt idx="0">
                  <c:v>High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Analysis-FT'!$C$66:$E$66</c:f>
              <c:numCache>
                <c:formatCode>_("€"* #,##0.00_);_("€"* \(#,##0.00\);_("€"* "-"??_);_(@_)</c:formatCode>
                <c:ptCount val="3"/>
                <c:pt idx="1">
                  <c:v>450.58520039417135</c:v>
                </c:pt>
                <c:pt idx="2">
                  <c:v>336.97196168109764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E-4A32-9A68-AA5245054F4F}"/>
            </c:ext>
          </c:extLst>
        </c:ser>
        <c:ser>
          <c:idx val="3"/>
          <c:order val="3"/>
          <c:tx>
            <c:strRef>
              <c:f>'Cost Analysis-FT'!$A$67:$B$67</c:f>
              <c:strCache>
                <c:ptCount val="2"/>
                <c:pt idx="0">
                  <c:v>Mid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Analysis-FT'!$C$67:$E$67</c:f>
              <c:numCache>
                <c:formatCode>_("€"* #,##0.00_);_("€"* \(#,##0.00\);_("€"* "-"??_);_(@_)</c:formatCode>
                <c:ptCount val="3"/>
                <c:pt idx="1">
                  <c:v>240.08329392201031</c:v>
                </c:pt>
                <c:pt idx="2">
                  <c:v>342.01306819452248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E-4A32-9A68-AA5245054F4F}"/>
            </c:ext>
          </c:extLst>
        </c:ser>
        <c:ser>
          <c:idx val="4"/>
          <c:order val="4"/>
          <c:tx>
            <c:strRef>
              <c:f>'Cost Analysis-FT'!$A$68:$B$68</c:f>
              <c:strCache>
                <c:ptCount val="2"/>
                <c:pt idx="0">
                  <c:v>Mid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Analysis-FT'!$C$68:$E$68</c:f>
              <c:numCache>
                <c:formatCode>_("€"* #,##0.00_);_("€"* \(#,##0.00\);_("€"* "-"??_);_(@_)</c:formatCode>
                <c:ptCount val="3"/>
                <c:pt idx="0">
                  <c:v>305.39155659580365</c:v>
                </c:pt>
                <c:pt idx="1">
                  <c:v>225.21087748436364</c:v>
                </c:pt>
                <c:pt idx="2">
                  <c:v>320.82641795238391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E-4A32-9A68-AA5245054F4F}"/>
            </c:ext>
          </c:extLst>
        </c:ser>
        <c:ser>
          <c:idx val="5"/>
          <c:order val="5"/>
          <c:tx>
            <c:strRef>
              <c:f>'Cost Analysis-FT'!$A$69:$B$69</c:f>
              <c:strCache>
                <c:ptCount val="2"/>
                <c:pt idx="0">
                  <c:v>Mid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Analysis-FT'!$C$69:$E$69</c:f>
              <c:numCache>
                <c:formatCode>_("€"* #,##0.00_);_("€"* \(#,##0.00\);_("€"* "-"??_);_(@_)</c:formatCode>
                <c:ptCount val="3"/>
                <c:pt idx="1">
                  <c:v>205.94428218512328</c:v>
                </c:pt>
                <c:pt idx="2">
                  <c:v>293.37999606975222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E-4A32-9A68-AA5245054F4F}"/>
            </c:ext>
          </c:extLst>
        </c:ser>
        <c:ser>
          <c:idx val="6"/>
          <c:order val="6"/>
          <c:tx>
            <c:strRef>
              <c:f>'Cost Analysis-FT'!$A$70:$B$70</c:f>
              <c:strCache>
                <c:ptCount val="2"/>
                <c:pt idx="0">
                  <c:v>Low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Analysis-FT'!$C$70:$E$70</c:f>
              <c:numCache>
                <c:formatCode>_("€"* #,##0.00_);_("€"* \(#,##0.00\);_("€"* "-"??_);_(@_)</c:formatCode>
                <c:ptCount val="3"/>
                <c:pt idx="1">
                  <c:v>194.92849481053722</c:v>
                </c:pt>
                <c:pt idx="2">
                  <c:v>245.9760264949843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E-4A32-9A68-AA5245054F4F}"/>
            </c:ext>
          </c:extLst>
        </c:ser>
        <c:ser>
          <c:idx val="7"/>
          <c:order val="7"/>
          <c:tx>
            <c:strRef>
              <c:f>'Cost Analysis-FT'!$A$71:$B$71</c:f>
              <c:strCache>
                <c:ptCount val="2"/>
                <c:pt idx="0">
                  <c:v>Low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Analysis-FT'!$C$71:$E$71</c:f>
              <c:numCache>
                <c:formatCode>_("€"* #,##0.00_);_("€"* \(#,##0.00\);_("€"* "-"??_);_(@_)</c:formatCode>
                <c:ptCount val="3"/>
                <c:pt idx="0">
                  <c:v>175.07703290846115</c:v>
                </c:pt>
                <c:pt idx="1">
                  <c:v>182.85327831784906</c:v>
                </c:pt>
                <c:pt idx="2">
                  <c:v>230.73857352626842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E-4A32-9A68-AA5245054F4F}"/>
            </c:ext>
          </c:extLst>
        </c:ser>
        <c:ser>
          <c:idx val="8"/>
          <c:order val="8"/>
          <c:tx>
            <c:strRef>
              <c:f>'Cost Analysis-FT'!$A$72:$B$72</c:f>
              <c:strCache>
                <c:ptCount val="2"/>
                <c:pt idx="0">
                  <c:v>Low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Analysis-FT'!$C$72:$E$72</c:f>
              <c:numCache>
                <c:formatCode>_("€"* #,##0.00_);_("€"* \(#,##0.00\);_("€"* "-"??_);_(@_)</c:formatCode>
                <c:ptCount val="3"/>
                <c:pt idx="1">
                  <c:v>167.21033890106199</c:v>
                </c:pt>
                <c:pt idx="2">
                  <c:v>210.99908862344316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E-4A32-9A68-AA524505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93184"/>
        <c:axId val="1842244848"/>
      </c:barChart>
      <c:catAx>
        <c:axId val="18409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44848"/>
        <c:crosses val="autoZero"/>
        <c:auto val="1"/>
        <c:lblAlgn val="ctr"/>
        <c:lblOffset val="100"/>
        <c:noMultiLvlLbl val="0"/>
      </c:catAx>
      <c:valAx>
        <c:axId val="1842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1529715</xdr:colOff>
      <xdr:row>74</xdr:row>
      <xdr:rowOff>132397</xdr:rowOff>
    </xdr:from>
    <xdr:to>
      <xdr:col>3</xdr:col>
      <xdr:colOff>805815</xdr:colOff>
      <xdr:row>95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D1C0A14-FDB2-494A-8729-04C70F38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it.edu/aeroastro/partner/reports/proj28/partner-proj28-2010-0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66678942030005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embloux.ulg.ac.be/phytotechnie-temperee/LIVREBLANC/LBfev2006/PB/Grains%20et%20paille%20combustible.pdf" TargetMode="External"/><Relationship Id="rId1" Type="http://schemas.openxmlformats.org/officeDocument/2006/relationships/hyperlink" Target="https://www.researchgate.net/publication/271103654_Enhancement_of_Cassava_Rhizome_Gasification_Using_Mono-Metallic_Cobalt_Catalysts" TargetMode="External"/><Relationship Id="rId6" Type="http://schemas.openxmlformats.org/officeDocument/2006/relationships/hyperlink" Target="https://www.gembloux.ulg.ac.be/phytotechnie-temperee/LIVREBLANC/LBfev2006/PB/Grains%20et%20paille%20combustible.pdf" TargetMode="External"/><Relationship Id="rId5" Type="http://schemas.openxmlformats.org/officeDocument/2006/relationships/hyperlink" Target="https://www.gembloux.ulg.ac.be/phytotechnie-temperee/LIVREBLANC/LBfev2006/PB/Grains%20et%20paille%20combustible.pdf" TargetMode="External"/><Relationship Id="rId4" Type="http://schemas.openxmlformats.org/officeDocument/2006/relationships/hyperlink" Target="https://www.gembloux.ulg.ac.be/phytotechnie-temperee/LIVREBLANC/LBfev2006/PB/Grains%20et%20paille%20combustibl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Biofuel_Cos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rsc.org/en/content/articlelanding/2017/gc/c6gc02800d" TargetMode="External"/><Relationship Id="rId13" Type="http://schemas.openxmlformats.org/officeDocument/2006/relationships/hyperlink" Target="https://www.irena.org/-/media/Files/IRENA/Agency/Publication/2021/Jul/IRENA_Reaching_Zero_Biojet_Fuels_2021.pdf" TargetMode="External"/><Relationship Id="rId3" Type="http://schemas.openxmlformats.org/officeDocument/2006/relationships/hyperlink" Target="https://www.sciencedirect.com/science/article/pii/S0378382017307828" TargetMode="External"/><Relationship Id="rId7" Type="http://schemas.openxmlformats.org/officeDocument/2006/relationships/hyperlink" Target="https://onlinelibrary.wiley.com/doi/abs/10.1002/cssc.201801690" TargetMode="External"/><Relationship Id="rId12" Type="http://schemas.openxmlformats.org/officeDocument/2006/relationships/hyperlink" Target="https://biotechnologyforbiofuels.biomedcentral.com/articles/10.1186/s13068-017-0702-7" TargetMode="External"/><Relationship Id="rId2" Type="http://schemas.openxmlformats.org/officeDocument/2006/relationships/hyperlink" Target="http://onlinelibrary.wiley.com/doi/abs/10.1002/bbb.1613" TargetMode="External"/><Relationship Id="rId1" Type="http://schemas.openxmlformats.org/officeDocument/2006/relationships/hyperlink" Target="https://www.sciencedirect.com/science/article/pii/S0960852416316911" TargetMode="External"/><Relationship Id="rId6" Type="http://schemas.openxmlformats.org/officeDocument/2006/relationships/hyperlink" Target="https://www.osti.gov/biblio/1126275" TargetMode="External"/><Relationship Id="rId11" Type="http://schemas.openxmlformats.org/officeDocument/2006/relationships/hyperlink" Target="https://theicct.org/wp-content/uploads/2021/06/Alternative_jet_fuels_cost_EU_2020_06_v3.pdf" TargetMode="External"/><Relationship Id="rId5" Type="http://schemas.openxmlformats.org/officeDocument/2006/relationships/hyperlink" Target="https://www.ieabioenergy.com/wp-content/uploads/2020/02/T41_CostReductionBiofuels-11_02_19-final.pdf" TargetMode="External"/><Relationship Id="rId15" Type="http://schemas.openxmlformats.org/officeDocument/2006/relationships/hyperlink" Target="http://onlinelibrary.wiley.com/doi/abs/10.1002/bbb.1613" TargetMode="External"/><Relationship Id="rId10" Type="http://schemas.openxmlformats.org/officeDocument/2006/relationships/hyperlink" Target="https://onlinelibrary.wiley.com/doi/abs/10.1002/cite.201700129" TargetMode="External"/><Relationship Id="rId4" Type="http://schemas.openxmlformats.org/officeDocument/2006/relationships/hyperlink" Target="https://www.sciencedirect.com/science/article/pii/S0960852416307313" TargetMode="External"/><Relationship Id="rId9" Type="http://schemas.openxmlformats.org/officeDocument/2006/relationships/hyperlink" Target="https://onlinelibrary.wiley.com/doi/abs/10.1002/bbb.1863" TargetMode="External"/><Relationship Id="rId14" Type="http://schemas.openxmlformats.org/officeDocument/2006/relationships/hyperlink" Target="https://theicct.org/wp-content/uploads/2021/06/Alternative_jet_fuels_cost_EU_2020_06_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C30" sqref="C30"/>
    </sheetView>
  </sheetViews>
  <sheetFormatPr baseColWidth="10" defaultRowHeight="15" x14ac:dyDescent="0.25"/>
  <cols>
    <col min="1" max="1" width="42.28515625" bestFit="1" customWidth="1"/>
    <col min="2" max="2" width="21.42578125" bestFit="1" customWidth="1"/>
    <col min="3" max="3" width="47.85546875" bestFit="1" customWidth="1"/>
    <col min="4" max="4" width="19.28515625" customWidth="1"/>
    <col min="5" max="5" width="20.42578125" bestFit="1" customWidth="1"/>
    <col min="6" max="6" width="15.5703125" bestFit="1" customWidth="1"/>
  </cols>
  <sheetData>
    <row r="1" spans="1:6" x14ac:dyDescent="0.25">
      <c r="A1" s="424" t="s">
        <v>210</v>
      </c>
      <c r="B1" s="424"/>
      <c r="D1" s="425" t="s">
        <v>112</v>
      </c>
      <c r="E1" s="425"/>
      <c r="F1" s="425"/>
    </row>
    <row r="2" spans="1:6" x14ac:dyDescent="0.25">
      <c r="A2" s="424"/>
      <c r="B2" s="424"/>
      <c r="D2" s="20" t="s">
        <v>7</v>
      </c>
      <c r="E2" s="423" t="s">
        <v>38</v>
      </c>
      <c r="F2" s="423"/>
    </row>
    <row r="3" spans="1:6" x14ac:dyDescent="0.25">
      <c r="A3" s="424"/>
      <c r="B3" s="424"/>
      <c r="D3" s="20" t="s">
        <v>10</v>
      </c>
      <c r="E3" s="423" t="s">
        <v>40</v>
      </c>
      <c r="F3" s="423"/>
    </row>
    <row r="4" spans="1:6" x14ac:dyDescent="0.25">
      <c r="A4" s="424"/>
      <c r="B4" s="424"/>
      <c r="D4" s="20" t="s">
        <v>8</v>
      </c>
      <c r="E4" s="423" t="s">
        <v>39</v>
      </c>
      <c r="F4" s="423"/>
    </row>
    <row r="5" spans="1:6" x14ac:dyDescent="0.25">
      <c r="A5" s="424"/>
      <c r="B5" s="424"/>
      <c r="D5" s="20" t="s">
        <v>32</v>
      </c>
      <c r="E5" s="423" t="s">
        <v>41</v>
      </c>
      <c r="F5" s="423"/>
    </row>
    <row r="6" spans="1:6" x14ac:dyDescent="0.25">
      <c r="A6" s="424"/>
      <c r="B6" s="424"/>
      <c r="D6" s="20" t="s">
        <v>33</v>
      </c>
      <c r="E6" s="423" t="s">
        <v>42</v>
      </c>
      <c r="F6" s="423"/>
    </row>
    <row r="7" spans="1:6" x14ac:dyDescent="0.25">
      <c r="A7" s="424"/>
      <c r="B7" s="424"/>
      <c r="D7" s="20" t="s">
        <v>45</v>
      </c>
      <c r="E7" s="423" t="s">
        <v>46</v>
      </c>
      <c r="F7" s="423"/>
    </row>
    <row r="8" spans="1:6" x14ac:dyDescent="0.25">
      <c r="A8" s="424"/>
      <c r="B8" s="424"/>
      <c r="D8" s="20" t="s">
        <v>35</v>
      </c>
      <c r="E8" s="423" t="s">
        <v>43</v>
      </c>
      <c r="F8" s="423"/>
    </row>
    <row r="9" spans="1:6" x14ac:dyDescent="0.25">
      <c r="A9" s="424"/>
      <c r="B9" s="424"/>
      <c r="D9" s="20" t="s">
        <v>36</v>
      </c>
      <c r="E9" s="423" t="s">
        <v>50</v>
      </c>
      <c r="F9" s="423"/>
    </row>
    <row r="10" spans="1:6" x14ac:dyDescent="0.25">
      <c r="A10" s="424"/>
      <c r="B10" s="424"/>
      <c r="D10" s="20" t="s">
        <v>37</v>
      </c>
      <c r="E10" s="423" t="s">
        <v>44</v>
      </c>
      <c r="F10" s="423"/>
    </row>
    <row r="11" spans="1:6" x14ac:dyDescent="0.25">
      <c r="A11" s="424"/>
      <c r="B11" s="424"/>
      <c r="D11" s="20" t="s">
        <v>48</v>
      </c>
      <c r="E11" s="423" t="s">
        <v>47</v>
      </c>
      <c r="F11" s="423"/>
    </row>
    <row r="12" spans="1:6" x14ac:dyDescent="0.25">
      <c r="A12" s="2"/>
      <c r="B12" s="65"/>
      <c r="C12" s="65"/>
      <c r="D12" s="65"/>
      <c r="E12" s="65"/>
      <c r="F12" s="65"/>
    </row>
    <row r="13" spans="1:6" x14ac:dyDescent="0.25">
      <c r="A13" s="414" t="s">
        <v>20</v>
      </c>
      <c r="B13" s="415"/>
      <c r="C13" s="415"/>
      <c r="D13" s="415"/>
      <c r="E13" s="415"/>
      <c r="F13" s="416"/>
    </row>
    <row r="14" spans="1:6" x14ac:dyDescent="0.25">
      <c r="A14" s="11" t="s">
        <v>16</v>
      </c>
      <c r="B14" s="7" t="s">
        <v>27</v>
      </c>
      <c r="C14" s="7" t="s">
        <v>34</v>
      </c>
      <c r="D14" s="7" t="s">
        <v>0</v>
      </c>
      <c r="E14" s="7" t="s">
        <v>1</v>
      </c>
      <c r="F14" s="7" t="s">
        <v>2</v>
      </c>
    </row>
    <row r="15" spans="1:6" x14ac:dyDescent="0.25">
      <c r="A15" s="11" t="s">
        <v>49</v>
      </c>
      <c r="B15" s="7" t="s">
        <v>3</v>
      </c>
      <c r="C15" s="7" t="s">
        <v>4</v>
      </c>
      <c r="D15" s="7" t="s">
        <v>118</v>
      </c>
      <c r="E15" s="7" t="s">
        <v>5</v>
      </c>
      <c r="F15" s="7" t="s">
        <v>6</v>
      </c>
    </row>
    <row r="16" spans="1:6" x14ac:dyDescent="0.25">
      <c r="A16" s="11" t="s">
        <v>17</v>
      </c>
      <c r="B16" s="7" t="s">
        <v>28</v>
      </c>
      <c r="C16" s="7" t="s">
        <v>52</v>
      </c>
      <c r="D16" s="7" t="s">
        <v>7</v>
      </c>
      <c r="E16" s="7" t="s">
        <v>7</v>
      </c>
      <c r="F16" s="7" t="s">
        <v>8</v>
      </c>
    </row>
    <row r="17" spans="1:6" x14ac:dyDescent="0.25">
      <c r="A17" s="11" t="s">
        <v>18</v>
      </c>
      <c r="B17" s="7" t="s">
        <v>51</v>
      </c>
      <c r="C17" s="7" t="s">
        <v>111</v>
      </c>
      <c r="D17" s="7" t="s">
        <v>9</v>
      </c>
      <c r="E17" s="7" t="s">
        <v>9</v>
      </c>
      <c r="F17" s="7" t="s">
        <v>9</v>
      </c>
    </row>
    <row r="18" spans="1:6" x14ac:dyDescent="0.25">
      <c r="A18" s="5"/>
      <c r="B18" s="1"/>
      <c r="C18" s="1"/>
      <c r="D18" s="1"/>
      <c r="E18" s="1"/>
      <c r="F18" s="1"/>
    </row>
    <row r="19" spans="1:6" x14ac:dyDescent="0.25">
      <c r="A19" s="417" t="s">
        <v>23</v>
      </c>
      <c r="B19" s="418"/>
      <c r="C19" s="418"/>
      <c r="D19" s="418"/>
      <c r="E19" s="419"/>
      <c r="F19" s="4"/>
    </row>
    <row r="20" spans="1:6" x14ac:dyDescent="0.25">
      <c r="A20" s="11" t="s">
        <v>19</v>
      </c>
      <c r="B20" s="6" t="s">
        <v>7</v>
      </c>
      <c r="C20" s="6" t="s">
        <v>10</v>
      </c>
      <c r="D20" s="79" t="s">
        <v>117</v>
      </c>
      <c r="E20" s="79" t="s">
        <v>116</v>
      </c>
      <c r="F20" s="4"/>
    </row>
    <row r="21" spans="1:6" x14ac:dyDescent="0.25">
      <c r="A21" s="11" t="s">
        <v>21</v>
      </c>
      <c r="B21" s="122" t="s">
        <v>456</v>
      </c>
      <c r="C21" s="6" t="s">
        <v>282</v>
      </c>
      <c r="D21" s="83" t="s">
        <v>418</v>
      </c>
      <c r="E21" s="83" t="s">
        <v>417</v>
      </c>
      <c r="F21" s="4"/>
    </row>
    <row r="22" spans="1:6" x14ac:dyDescent="0.25">
      <c r="A22" s="11" t="s">
        <v>22</v>
      </c>
      <c r="B22" s="420" t="s">
        <v>308</v>
      </c>
      <c r="C22" s="421"/>
      <c r="D22" s="421"/>
      <c r="E22" s="422"/>
      <c r="F22" s="1"/>
    </row>
    <row r="23" spans="1:6" x14ac:dyDescent="0.25">
      <c r="A23" s="5"/>
      <c r="B23" s="3"/>
      <c r="C23" s="3"/>
      <c r="D23" s="4"/>
      <c r="E23" s="4"/>
      <c r="F23" s="1"/>
    </row>
    <row r="24" spans="1:6" x14ac:dyDescent="0.25">
      <c r="A24" s="417" t="s">
        <v>309</v>
      </c>
      <c r="B24" s="418"/>
      <c r="C24" s="418"/>
      <c r="D24" s="418"/>
      <c r="E24" s="419"/>
      <c r="F24" s="1"/>
    </row>
    <row r="25" spans="1:6" x14ac:dyDescent="0.25">
      <c r="A25" s="11" t="s">
        <v>19</v>
      </c>
      <c r="B25" s="6" t="s">
        <v>7</v>
      </c>
      <c r="C25" s="6" t="s">
        <v>10</v>
      </c>
      <c r="D25" s="79" t="s">
        <v>12</v>
      </c>
      <c r="E25" s="79" t="s">
        <v>11</v>
      </c>
      <c r="F25" s="1"/>
    </row>
    <row r="26" spans="1:6" x14ac:dyDescent="0.25">
      <c r="A26" s="11" t="s">
        <v>24</v>
      </c>
      <c r="B26" s="79" t="s">
        <v>9</v>
      </c>
      <c r="C26" s="79" t="s">
        <v>9</v>
      </c>
      <c r="D26" s="83" t="s">
        <v>9</v>
      </c>
      <c r="E26" s="130" t="s">
        <v>416</v>
      </c>
      <c r="F26" s="4"/>
    </row>
    <row r="27" spans="1:6" x14ac:dyDescent="0.25">
      <c r="A27" s="5"/>
      <c r="B27" s="3"/>
      <c r="C27" s="3"/>
      <c r="D27" s="4"/>
      <c r="E27" s="4"/>
      <c r="F27" s="4"/>
    </row>
    <row r="28" spans="1:6" x14ac:dyDescent="0.25">
      <c r="A28" s="417" t="s">
        <v>29</v>
      </c>
      <c r="B28" s="418"/>
      <c r="C28" s="418"/>
      <c r="D28" s="418"/>
      <c r="E28" s="418"/>
      <c r="F28" s="419"/>
    </row>
    <row r="29" spans="1:6" x14ac:dyDescent="0.25">
      <c r="A29" s="11" t="s">
        <v>19</v>
      </c>
      <c r="B29" s="6" t="s">
        <v>13</v>
      </c>
      <c r="C29" s="6" t="s">
        <v>30</v>
      </c>
      <c r="D29" s="6" t="s">
        <v>10</v>
      </c>
      <c r="E29" s="6" t="s">
        <v>14</v>
      </c>
      <c r="F29" s="6" t="s">
        <v>31</v>
      </c>
    </row>
    <row r="30" spans="1:6" x14ac:dyDescent="0.25">
      <c r="A30" s="11" t="s">
        <v>25</v>
      </c>
      <c r="B30" s="6">
        <v>27.6</v>
      </c>
      <c r="C30" s="6" t="s">
        <v>208</v>
      </c>
      <c r="D30" s="6" t="s">
        <v>209</v>
      </c>
      <c r="E30" s="6">
        <v>20.7</v>
      </c>
      <c r="F30" s="6" t="s">
        <v>15</v>
      </c>
    </row>
    <row r="31" spans="1:6" x14ac:dyDescent="0.25">
      <c r="A31" s="11" t="s">
        <v>26</v>
      </c>
      <c r="B31" s="8"/>
      <c r="C31" s="8"/>
      <c r="D31" s="8"/>
      <c r="E31" s="8"/>
      <c r="F31" s="8"/>
    </row>
    <row r="32" spans="1:6" x14ac:dyDescent="0.25">
      <c r="A32" s="5"/>
      <c r="B32" s="9"/>
      <c r="C32" s="9"/>
      <c r="D32" s="9"/>
      <c r="E32" s="4"/>
      <c r="F32" s="4"/>
    </row>
    <row r="33" spans="1:6" x14ac:dyDescent="0.25">
      <c r="A33" s="417" t="s">
        <v>113</v>
      </c>
      <c r="B33" s="418"/>
      <c r="C33" s="418"/>
      <c r="D33" s="419"/>
      <c r="E33" s="4"/>
      <c r="F33" s="4"/>
    </row>
    <row r="34" spans="1:6" x14ac:dyDescent="0.25">
      <c r="A34" s="11" t="s">
        <v>19</v>
      </c>
      <c r="B34" s="6" t="s">
        <v>7</v>
      </c>
      <c r="C34" s="6" t="s">
        <v>10</v>
      </c>
      <c r="D34" s="6" t="s">
        <v>8</v>
      </c>
      <c r="E34" s="4"/>
      <c r="F34" s="4"/>
    </row>
    <row r="35" spans="1:6" x14ac:dyDescent="0.25">
      <c r="A35" s="11" t="s">
        <v>114</v>
      </c>
      <c r="B35" s="8">
        <v>50</v>
      </c>
      <c r="C35" s="8">
        <v>75</v>
      </c>
      <c r="D35" s="8">
        <v>60</v>
      </c>
      <c r="E35" s="10"/>
      <c r="F35" s="10"/>
    </row>
    <row r="36" spans="1:6" x14ac:dyDescent="0.25">
      <c r="A36" s="11" t="s">
        <v>115</v>
      </c>
      <c r="B36" s="66">
        <v>15</v>
      </c>
      <c r="C36" s="66">
        <v>15</v>
      </c>
      <c r="D36" s="66">
        <v>15</v>
      </c>
      <c r="E36" s="10"/>
      <c r="F36" s="10"/>
    </row>
    <row r="38" spans="1:6" x14ac:dyDescent="0.25">
      <c r="C38" s="13"/>
      <c r="D38" s="13"/>
    </row>
  </sheetData>
  <mergeCells count="18">
    <mergeCell ref="E10:F10"/>
    <mergeCell ref="E11:F11"/>
    <mergeCell ref="A1:B11"/>
    <mergeCell ref="D1:F1"/>
    <mergeCell ref="E2:F2"/>
    <mergeCell ref="E3:F3"/>
    <mergeCell ref="E4:F4"/>
    <mergeCell ref="E5:F5"/>
    <mergeCell ref="E6:F6"/>
    <mergeCell ref="E7:F7"/>
    <mergeCell ref="E8:F8"/>
    <mergeCell ref="E9:F9"/>
    <mergeCell ref="A13:F13"/>
    <mergeCell ref="A19:E19"/>
    <mergeCell ref="A24:E24"/>
    <mergeCell ref="A28:F28"/>
    <mergeCell ref="A33:D33"/>
    <mergeCell ref="B22:E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59D9-86CB-413A-B0DE-799C168391A1}">
  <sheetPr>
    <tabColor theme="6" tint="-0.249977111117893"/>
  </sheetPr>
  <dimension ref="A1:L89"/>
  <sheetViews>
    <sheetView topLeftCell="A24" zoomScale="85" zoomScaleNormal="85" workbookViewId="0">
      <selection activeCell="C57" sqref="C57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16.7109375" customWidth="1"/>
    <col min="5" max="5" width="19.7109375" customWidth="1"/>
    <col min="6" max="6" width="23.85546875" customWidth="1"/>
    <col min="7" max="7" width="20.28515625" customWidth="1"/>
    <col min="8" max="8" width="20.4257812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04" t="s">
        <v>539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6"/>
    </row>
    <row r="2" spans="1:12" ht="14.45" customHeight="1" x14ac:dyDescent="0.25">
      <c r="A2" s="507"/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9"/>
    </row>
    <row r="3" spans="1:12" x14ac:dyDescent="0.25">
      <c r="A3" s="490" t="s">
        <v>314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2"/>
    </row>
    <row r="4" spans="1:12" x14ac:dyDescent="0.25">
      <c r="A4" s="510" t="s">
        <v>420</v>
      </c>
      <c r="B4" s="478"/>
      <c r="C4" s="479"/>
      <c r="D4" s="141"/>
      <c r="E4" s="511"/>
      <c r="F4" s="511"/>
      <c r="G4" s="511"/>
      <c r="H4" s="141"/>
      <c r="I4" s="511"/>
      <c r="J4" s="511"/>
      <c r="K4" s="511"/>
      <c r="L4" s="24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497" t="s">
        <v>563</v>
      </c>
    </row>
    <row r="6" spans="1:12" x14ac:dyDescent="0.25">
      <c r="A6" s="248">
        <v>0.4</v>
      </c>
      <c r="B6" s="243">
        <v>0.46</v>
      </c>
      <c r="C6" s="243">
        <v>0.49</v>
      </c>
      <c r="D6" s="141"/>
      <c r="E6" s="212"/>
      <c r="F6" s="212"/>
      <c r="G6" s="212"/>
      <c r="H6" s="141"/>
      <c r="I6" s="212"/>
      <c r="J6" s="212"/>
      <c r="K6" s="212"/>
      <c r="L6" s="498"/>
    </row>
    <row r="7" spans="1:12" x14ac:dyDescent="0.25">
      <c r="A7" s="490" t="s">
        <v>461</v>
      </c>
      <c r="B7" s="491"/>
      <c r="C7" s="491"/>
      <c r="D7" s="491"/>
      <c r="E7" s="491"/>
      <c r="F7" s="491"/>
      <c r="G7" s="491"/>
      <c r="H7" s="491"/>
      <c r="I7" s="491"/>
      <c r="J7" s="491"/>
      <c r="K7" s="491"/>
      <c r="L7" s="492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x14ac:dyDescent="0.25">
      <c r="A9" s="493" t="s">
        <v>565</v>
      </c>
      <c r="B9" s="250" t="s">
        <v>566</v>
      </c>
      <c r="C9" s="252" t="s">
        <v>9</v>
      </c>
      <c r="D9" s="139">
        <v>27.8</v>
      </c>
      <c r="E9" s="253" t="s">
        <v>9</v>
      </c>
      <c r="F9" s="90"/>
      <c r="G9" s="251"/>
      <c r="H9" s="254">
        <f>D9*35.3</f>
        <v>981.33999999999992</v>
      </c>
      <c r="I9" s="251"/>
      <c r="J9" s="141"/>
      <c r="K9" s="141"/>
      <c r="L9" s="245"/>
    </row>
    <row r="10" spans="1:12" ht="30" x14ac:dyDescent="0.25">
      <c r="A10" s="494"/>
      <c r="B10" s="151" t="s">
        <v>203</v>
      </c>
      <c r="C10" s="252">
        <v>0.3</v>
      </c>
      <c r="D10" s="139">
        <v>7.7</v>
      </c>
      <c r="E10" s="253">
        <v>12.6</v>
      </c>
      <c r="F10" s="202" t="s">
        <v>514</v>
      </c>
      <c r="G10" s="139">
        <f>C10*35.3</f>
        <v>10.589999999999998</v>
      </c>
      <c r="H10" s="139">
        <f>D10*35.3</f>
        <v>271.81</v>
      </c>
      <c r="I10" s="139">
        <f>E10*35.3</f>
        <v>444.78</v>
      </c>
      <c r="J10" s="142"/>
      <c r="K10" s="142"/>
      <c r="L10" s="167" t="s">
        <v>567</v>
      </c>
    </row>
    <row r="11" spans="1:12" ht="18" customHeight="1" x14ac:dyDescent="0.25">
      <c r="A11" s="499" t="s">
        <v>489</v>
      </c>
      <c r="B11" s="500"/>
      <c r="C11" s="501">
        <v>86.8</v>
      </c>
      <c r="D11" s="502"/>
      <c r="E11" s="503"/>
      <c r="F11" s="145"/>
      <c r="G11" s="501">
        <f>C11*35.3</f>
        <v>3064.0399999999995</v>
      </c>
      <c r="H11" s="502"/>
      <c r="I11" s="503"/>
      <c r="J11" s="141"/>
      <c r="K11" s="141"/>
      <c r="L11" s="167" t="s">
        <v>490</v>
      </c>
    </row>
    <row r="12" spans="1:12" x14ac:dyDescent="0.25">
      <c r="A12" s="490" t="s">
        <v>468</v>
      </c>
      <c r="B12" s="491"/>
      <c r="C12" s="491"/>
      <c r="D12" s="491"/>
      <c r="E12" s="491"/>
      <c r="F12" s="491"/>
      <c r="G12" s="491"/>
      <c r="H12" s="491"/>
      <c r="I12" s="491"/>
      <c r="J12" s="491"/>
      <c r="K12" s="491"/>
      <c r="L12" s="492"/>
    </row>
    <row r="13" spans="1:12" x14ac:dyDescent="0.25">
      <c r="A13" s="246" t="s">
        <v>466</v>
      </c>
      <c r="B13" s="247">
        <v>0.15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245" t="s">
        <v>462</v>
      </c>
    </row>
    <row r="14" spans="1:12" x14ac:dyDescent="0.25">
      <c r="A14" s="168" t="s">
        <v>467</v>
      </c>
      <c r="B14" s="143">
        <v>0.5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540</v>
      </c>
    </row>
    <row r="15" spans="1:12" x14ac:dyDescent="0.25">
      <c r="A15" s="490" t="s">
        <v>469</v>
      </c>
      <c r="B15" s="491"/>
      <c r="C15" s="491"/>
      <c r="D15" s="491"/>
      <c r="E15" s="491"/>
      <c r="F15" s="491"/>
      <c r="G15" s="491"/>
      <c r="H15" s="491"/>
      <c r="I15" s="491"/>
      <c r="J15" s="491"/>
      <c r="K15" s="491"/>
      <c r="L15" s="492"/>
    </row>
    <row r="16" spans="1:12" x14ac:dyDescent="0.25">
      <c r="A16" s="246" t="s">
        <v>471</v>
      </c>
      <c r="B16" s="157" t="s">
        <v>45</v>
      </c>
      <c r="C16" s="157" t="s">
        <v>35</v>
      </c>
      <c r="D16" s="157" t="s">
        <v>470</v>
      </c>
      <c r="E16" s="157" t="s">
        <v>37</v>
      </c>
      <c r="F16" s="157" t="s">
        <v>48</v>
      </c>
      <c r="G16" s="141"/>
      <c r="H16" s="141"/>
      <c r="I16" s="141"/>
      <c r="J16" s="141"/>
      <c r="K16" s="141"/>
      <c r="L16" s="245" t="s">
        <v>462</v>
      </c>
    </row>
    <row r="17" spans="1:12" x14ac:dyDescent="0.25">
      <c r="A17" s="17" t="s">
        <v>104</v>
      </c>
      <c r="B17" s="144">
        <v>9.48</v>
      </c>
      <c r="C17" s="144">
        <v>10.199999999999999</v>
      </c>
      <c r="D17" s="144">
        <v>11.55</v>
      </c>
      <c r="E17" s="144">
        <v>19.8</v>
      </c>
      <c r="F17" s="144">
        <v>27.3</v>
      </c>
      <c r="G17" s="141"/>
      <c r="H17" s="141"/>
      <c r="I17" s="141"/>
      <c r="J17" s="141"/>
      <c r="K17" s="141"/>
      <c r="L17" s="166"/>
    </row>
    <row r="18" spans="1:12" x14ac:dyDescent="0.25">
      <c r="A18" s="150" t="s">
        <v>1</v>
      </c>
      <c r="B18" s="144">
        <v>10</v>
      </c>
      <c r="C18" s="144">
        <v>29.6</v>
      </c>
      <c r="D18" s="144">
        <v>56.870000000000005</v>
      </c>
      <c r="E18" s="144">
        <v>102.9</v>
      </c>
      <c r="F18" s="144">
        <v>203.6</v>
      </c>
      <c r="G18" s="141"/>
      <c r="H18" s="141"/>
      <c r="I18" s="141"/>
      <c r="J18" s="141"/>
      <c r="K18" s="141"/>
      <c r="L18" s="166"/>
    </row>
    <row r="19" spans="1:12" x14ac:dyDescent="0.25">
      <c r="A19" s="150" t="s">
        <v>0</v>
      </c>
      <c r="B19" s="14">
        <v>5</v>
      </c>
      <c r="C19" s="14">
        <v>14.8</v>
      </c>
      <c r="D19" s="14">
        <v>17.12</v>
      </c>
      <c r="E19" s="14">
        <v>39.1</v>
      </c>
      <c r="F19" s="14">
        <v>59.47</v>
      </c>
      <c r="G19" s="141"/>
      <c r="H19" s="141"/>
      <c r="I19" s="141"/>
      <c r="J19" s="141"/>
      <c r="K19" s="141"/>
      <c r="L19" s="166"/>
    </row>
    <row r="20" spans="1:12" x14ac:dyDescent="0.25">
      <c r="A20" s="148" t="s">
        <v>34</v>
      </c>
      <c r="B20" s="158">
        <f>8*0.63</f>
        <v>5.04</v>
      </c>
      <c r="C20" s="158">
        <f>0.63*37</f>
        <v>23.31</v>
      </c>
      <c r="D20" s="158">
        <f>0.63*63</f>
        <v>39.69</v>
      </c>
      <c r="E20" s="158">
        <f>0.63*109</f>
        <v>68.67</v>
      </c>
      <c r="F20" s="158">
        <f>0.63*217</f>
        <v>136.71</v>
      </c>
      <c r="G20" s="142"/>
      <c r="H20" s="142"/>
      <c r="I20" s="142"/>
      <c r="J20" s="142"/>
      <c r="K20" s="142"/>
      <c r="L20" s="167" t="s">
        <v>472</v>
      </c>
    </row>
    <row r="21" spans="1:12" x14ac:dyDescent="0.25">
      <c r="A21" s="495" t="s">
        <v>473</v>
      </c>
      <c r="B21" s="491"/>
      <c r="C21" s="491"/>
      <c r="D21" s="491"/>
      <c r="E21" s="491"/>
      <c r="F21" s="491"/>
      <c r="G21" s="491"/>
      <c r="H21" s="491"/>
      <c r="I21" s="491"/>
      <c r="J21" s="491"/>
      <c r="K21" s="491"/>
      <c r="L21" s="496"/>
    </row>
    <row r="22" spans="1:12" ht="75" x14ac:dyDescent="0.25">
      <c r="A22" s="14" t="s">
        <v>227</v>
      </c>
      <c r="B22" s="160" t="s">
        <v>496</v>
      </c>
      <c r="C22" s="160" t="s">
        <v>493</v>
      </c>
      <c r="D22" s="160" t="s">
        <v>494</v>
      </c>
      <c r="E22" s="160" t="s">
        <v>495</v>
      </c>
      <c r="F22" s="161" t="s">
        <v>488</v>
      </c>
      <c r="G22" s="161" t="s">
        <v>487</v>
      </c>
      <c r="H22" s="180" t="s">
        <v>500</v>
      </c>
      <c r="I22" s="404" t="s">
        <v>847</v>
      </c>
      <c r="J22" s="201"/>
      <c r="K22" s="201"/>
      <c r="L22" s="166" t="s">
        <v>462</v>
      </c>
    </row>
    <row r="23" spans="1:12" x14ac:dyDescent="0.25">
      <c r="A23" s="257" t="str">
        <f>Biomass_Cost!B10</f>
        <v>Forest residues/ wheat straw</v>
      </c>
      <c r="B23" s="380">
        <f>Biomass_Cost!F10</f>
        <v>0.55156715111188925</v>
      </c>
      <c r="C23" s="380">
        <f>Biomass_Cost!H10</f>
        <v>0.54281211696725606</v>
      </c>
      <c r="D23" s="182">
        <f>Biomass_Cost!J10</f>
        <v>0.76168797058308524</v>
      </c>
      <c r="E23" s="380">
        <f>Biomass_Cost!Q10</f>
        <v>1.7641393801435821</v>
      </c>
      <c r="F23" s="138">
        <f>Biomass_Cost!Z10</f>
        <v>2060516.0639707232</v>
      </c>
      <c r="G23" s="205">
        <f>Biomass_Cost!AA10</f>
        <v>340</v>
      </c>
      <c r="H23" s="155" t="str">
        <f>Biomass_Cost!C10</f>
        <v>FT-Residue</v>
      </c>
      <c r="I23" s="607">
        <f>D23*$B$6/35.3</f>
        <v>9.9256789367767502E-3</v>
      </c>
      <c r="J23" s="141"/>
      <c r="K23" s="141"/>
      <c r="L23" t="str">
        <f>Biomass_Cost!R10</f>
        <v>[1]</v>
      </c>
    </row>
    <row r="24" spans="1:12" x14ac:dyDescent="0.25">
      <c r="A24" s="257" t="str">
        <f>Biomass_Cost!B11</f>
        <v>Biomass</v>
      </c>
      <c r="B24" s="380">
        <f>Biomass_Cost!F11</f>
        <v>0.56032218525652244</v>
      </c>
      <c r="C24" s="380">
        <f>Biomass_Cost!H11</f>
        <v>0.2101208194711959</v>
      </c>
      <c r="D24" s="175">
        <f>Biomass_Cost!J11</f>
        <v>0.32393626335142706</v>
      </c>
      <c r="E24" s="380">
        <f>Biomass_Cost!Q11</f>
        <v>1.0506040973559796</v>
      </c>
      <c r="F24" s="138">
        <f>Biomass_Cost!Z11</f>
        <v>2093222.6681607424</v>
      </c>
      <c r="G24" s="206">
        <f>Biomass_Cost!AA11</f>
        <v>0</v>
      </c>
      <c r="H24" s="155" t="str">
        <f>Biomass_Cost!C11</f>
        <v>FT-Biomass</v>
      </c>
      <c r="I24" s="607">
        <f>D24*$B$6/35.3</f>
        <v>4.2212657547211459E-3</v>
      </c>
      <c r="J24" s="141"/>
      <c r="K24" s="141"/>
      <c r="L24" t="str">
        <f>Biomass_Cost!R11</f>
        <v>[5]</v>
      </c>
    </row>
    <row r="25" spans="1:12" x14ac:dyDescent="0.25">
      <c r="A25" s="257" t="str">
        <f>Biomass_Cost!B12</f>
        <v>All wastes</v>
      </c>
      <c r="B25" s="380">
        <f>Biomass_Cost!F12</f>
        <v>0.58658728769042201</v>
      </c>
      <c r="C25" s="380">
        <f>Biomass_Cost!H12</f>
        <v>0.28891612677289441</v>
      </c>
      <c r="D25" s="175">
        <f>Biomass_Cost!J12</f>
        <v>0</v>
      </c>
      <c r="E25" s="380">
        <f>Biomass_Cost!Q12</f>
        <v>0.75293293643845194</v>
      </c>
      <c r="F25" s="138">
        <f>Biomass_Cost!Z12</f>
        <v>2191342.4807307739</v>
      </c>
      <c r="G25" s="206">
        <f>Biomass_Cost!AA12</f>
        <v>0</v>
      </c>
      <c r="H25" s="155" t="str">
        <f>Biomass_Cost!C12</f>
        <v>FT-MSW</v>
      </c>
      <c r="I25" s="607">
        <f t="shared" ref="I25:I30" si="0">D25*$B$6/35.3</f>
        <v>0</v>
      </c>
      <c r="J25" s="141"/>
      <c r="K25" s="141"/>
      <c r="L25" t="str">
        <f>Biomass_Cost!R12</f>
        <v>[5]</v>
      </c>
    </row>
    <row r="26" spans="1:12" x14ac:dyDescent="0.25">
      <c r="A26" s="257" t="str">
        <f>Biomass_Cost!B13</f>
        <v>MSW</v>
      </c>
      <c r="B26" s="380">
        <f>Biomass_Cost!F13</f>
        <v>0.81421817545088426</v>
      </c>
      <c r="C26" s="380">
        <f>Biomass_Cost!H13</f>
        <v>0.2976711609175276</v>
      </c>
      <c r="D26" s="175">
        <f>Biomass_Cost!J13</f>
        <v>0</v>
      </c>
      <c r="E26" s="380">
        <f>Biomass_Cost!Q13</f>
        <v>1.02433899492208</v>
      </c>
      <c r="F26" s="138">
        <f>Biomass_Cost!Z13</f>
        <v>3041714.1896710731</v>
      </c>
      <c r="G26" s="206">
        <f>Biomass_Cost!AA13</f>
        <v>244</v>
      </c>
      <c r="H26" s="155" t="str">
        <f>Biomass_Cost!C13</f>
        <v>FT-MSW</v>
      </c>
      <c r="I26" s="607">
        <f t="shared" si="0"/>
        <v>0</v>
      </c>
      <c r="J26" s="141"/>
      <c r="K26" s="141"/>
      <c r="L26" t="str">
        <f>Biomass_Cost!R13</f>
        <v>[2]</v>
      </c>
    </row>
    <row r="27" spans="1:12" x14ac:dyDescent="0.25">
      <c r="A27" s="257" t="str">
        <f>Biomass_Cost!B14</f>
        <v>Lignocellulose</v>
      </c>
      <c r="B27" s="380">
        <f>Biomass_Cost!F14</f>
        <v>0.90176851689721582</v>
      </c>
      <c r="C27" s="380">
        <f>Biomass_Cost!H14</f>
        <v>0.43775170723165818</v>
      </c>
      <c r="D27" s="175">
        <f>Biomass_Cost!J14</f>
        <v>0.65662756084748719</v>
      </c>
      <c r="E27" s="380">
        <f>Biomass_Cost!Q14</f>
        <v>1.7072316582034668</v>
      </c>
      <c r="F27" s="138">
        <f>Biomass_Cost!Z14</f>
        <v>3368780.2315711956</v>
      </c>
      <c r="G27" s="206">
        <f>Biomass_Cost!AA14</f>
        <v>247</v>
      </c>
      <c r="H27" s="155" t="str">
        <f>Biomass_Cost!C14</f>
        <v>FT-Biomass</v>
      </c>
      <c r="I27" s="607">
        <f t="shared" si="0"/>
        <v>8.5566197730834043E-3</v>
      </c>
      <c r="J27" s="141"/>
      <c r="K27" s="141"/>
      <c r="L27" t="str">
        <f>Biomass_Cost!R14</f>
        <v>[4]</v>
      </c>
    </row>
    <row r="28" spans="1:12" x14ac:dyDescent="0.25">
      <c r="A28" s="257" t="str">
        <f>Biomass_Cost!B53</f>
        <v>MSW</v>
      </c>
      <c r="B28" s="380">
        <f>Biomass_Cost!F53</f>
        <v>1.0930830305092212</v>
      </c>
      <c r="C28" s="380">
        <f>Biomass_Cost!H53</f>
        <v>0.27600346520358071</v>
      </c>
      <c r="D28" s="175">
        <f>Biomass_Cost!J53</f>
        <v>7.0847974200625747E-4</v>
      </c>
      <c r="E28" s="380">
        <f>Biomass_Cost!Q53</f>
        <v>1.369794975454808</v>
      </c>
      <c r="F28" s="209">
        <f>Biomass_Cost!Z53</f>
        <v>1180363.0780797016</v>
      </c>
      <c r="G28" s="206">
        <f>Biomass_Cost!AA53</f>
        <v>504.10958904109594</v>
      </c>
      <c r="H28" s="155" t="str">
        <f>Biomass_Cost!C53</f>
        <v>FT-MSW</v>
      </c>
      <c r="I28" s="607">
        <f t="shared" si="0"/>
        <v>9.2323139184951403E-6</v>
      </c>
      <c r="J28" s="141"/>
      <c r="K28" s="141"/>
      <c r="L28" t="str">
        <f>Biomass_Cost!R53</f>
        <v>[12]</v>
      </c>
    </row>
    <row r="29" spans="1:12" x14ac:dyDescent="0.25">
      <c r="A29" s="257" t="str">
        <f>Biomass_Cost!B54</f>
        <v>Agricultural residue</v>
      </c>
      <c r="B29" s="380">
        <f>Biomass_Cost!F54</f>
        <v>1.1044693120770297</v>
      </c>
      <c r="C29" s="380">
        <f>Biomass_Cost!H54</f>
        <v>0.27327075762731035</v>
      </c>
      <c r="D29" s="175">
        <f>Biomass_Cost!J54</f>
        <v>0.43267869957656696</v>
      </c>
      <c r="E29" s="380">
        <f>Biomass_Cost!Q54</f>
        <v>1.8104187692809071</v>
      </c>
      <c r="F29" s="209">
        <f>Biomass_Cost!Z54</f>
        <v>1180363.0780797016</v>
      </c>
      <c r="G29" s="206">
        <f>Biomass_Cost!AA54</f>
        <v>504.10958904109594</v>
      </c>
      <c r="H29" s="155" t="str">
        <f>Biomass_Cost!C54</f>
        <v>FT-Residue</v>
      </c>
      <c r="I29" s="607">
        <f t="shared" si="0"/>
        <v>5.6383060001478982E-3</v>
      </c>
      <c r="J29" s="141"/>
      <c r="K29" s="141"/>
      <c r="L29" t="str">
        <f>Biomass_Cost!R54</f>
        <v>[12]</v>
      </c>
    </row>
    <row r="30" spans="1:12" x14ac:dyDescent="0.25">
      <c r="A30" s="257" t="str">
        <f>Biomass_Cost!B55</f>
        <v>Energy Crops</v>
      </c>
      <c r="B30" s="380">
        <f>Biomass_Cost!F55</f>
        <v>1.1044693120770297</v>
      </c>
      <c r="C30" s="380">
        <f>Biomass_Cost!H55</f>
        <v>0.27327075762731035</v>
      </c>
      <c r="D30" s="175">
        <f>Biomass_Cost!J55</f>
        <v>0.53515523368681228</v>
      </c>
      <c r="E30" s="380">
        <f>Biomass_Cost!Q55</f>
        <v>1.9128953033911522</v>
      </c>
      <c r="F30" s="209">
        <f>Biomass_Cost!Z55</f>
        <v>1180363.0780797016</v>
      </c>
      <c r="G30" s="206">
        <f>Biomass_Cost!AA55</f>
        <v>504.10958904109594</v>
      </c>
      <c r="H30" s="155" t="str">
        <f>Biomass_Cost!C55</f>
        <v>FT-Biomass</v>
      </c>
      <c r="I30" s="607">
        <f t="shared" si="0"/>
        <v>6.9736942633408976E-3</v>
      </c>
      <c r="J30" s="141"/>
      <c r="K30" s="141"/>
      <c r="L30" t="str">
        <f>Biomass_Cost!R55</f>
        <v>[12]</v>
      </c>
    </row>
    <row r="31" spans="1:12" x14ac:dyDescent="0.25">
      <c r="A31" s="257" t="str">
        <f>Biomass_Cost!B62</f>
        <v>Hybrid poplar wood chips</v>
      </c>
      <c r="B31" s="380" t="s">
        <v>482</v>
      </c>
      <c r="C31" s="380" t="s">
        <v>482</v>
      </c>
      <c r="D31" s="175" t="s">
        <v>482</v>
      </c>
      <c r="E31" s="380">
        <f>Biomass_Cost!Q62</f>
        <v>1.0265655237576765</v>
      </c>
      <c r="F31" s="209">
        <f>Biomass_Cost!Z62</f>
        <v>1357050.4133426507</v>
      </c>
      <c r="G31" s="206">
        <f>Biomass_Cost!AA62</f>
        <v>318.463698630137</v>
      </c>
      <c r="H31" s="155" t="str">
        <f>Biomass_Cost!C62</f>
        <v>FT-Biomass</v>
      </c>
      <c r="I31" s="607" t="s">
        <v>482</v>
      </c>
      <c r="J31" s="141"/>
      <c r="K31" s="141"/>
      <c r="L31" t="str">
        <f>Biomass_Cost!R62</f>
        <v>[13]</v>
      </c>
    </row>
    <row r="32" spans="1:12" x14ac:dyDescent="0.25">
      <c r="A32" s="257" t="str">
        <f>Biomass_Cost!B63</f>
        <v>Hybrid poplar wood chips</v>
      </c>
      <c r="B32" s="380" t="s">
        <v>482</v>
      </c>
      <c r="C32" s="380" t="s">
        <v>482</v>
      </c>
      <c r="D32" s="175" t="s">
        <v>482</v>
      </c>
      <c r="E32" s="380">
        <f>Biomass_Cost!Q63</f>
        <v>0.95961559829521925</v>
      </c>
      <c r="F32" s="209">
        <f>Biomass_Cost!Z63</f>
        <v>1108161.9634284994</v>
      </c>
      <c r="G32" s="206">
        <f>Biomass_Cost!AA63</f>
        <v>275.24383561643833</v>
      </c>
      <c r="H32" s="155" t="str">
        <f>Biomass_Cost!C63</f>
        <v>FT-Biomass</v>
      </c>
      <c r="I32" s="607" t="s">
        <v>482</v>
      </c>
      <c r="J32" s="141"/>
      <c r="K32" s="141"/>
      <c r="L32" t="str">
        <f>Biomass_Cost!R63</f>
        <v>[13]</v>
      </c>
    </row>
    <row r="33" spans="1:12" x14ac:dyDescent="0.25">
      <c r="A33" s="257" t="str">
        <f>Biomass_Cost!B64</f>
        <v>Wood Chips</v>
      </c>
      <c r="B33" s="380" t="s">
        <v>482</v>
      </c>
      <c r="C33" s="380" t="s">
        <v>482</v>
      </c>
      <c r="D33" s="175" t="s">
        <v>482</v>
      </c>
      <c r="E33" s="380">
        <f>Biomass_Cost!Q64</f>
        <v>0.96115024520731174</v>
      </c>
      <c r="F33" s="209">
        <f>Biomass_Cost!Z64</f>
        <v>2419060.1193510327</v>
      </c>
      <c r="G33" s="206">
        <f>Biomass_Cost!AA64</f>
        <v>244.65753424657538</v>
      </c>
      <c r="H33" s="155" t="str">
        <f>Biomass_Cost!C64</f>
        <v>FT-Biomass</v>
      </c>
      <c r="I33" s="607" t="s">
        <v>482</v>
      </c>
      <c r="J33" s="141"/>
      <c r="K33" s="141"/>
      <c r="L33" t="str">
        <f>Biomass_Cost!R64</f>
        <v>[14]</v>
      </c>
    </row>
    <row r="34" spans="1:12" x14ac:dyDescent="0.25">
      <c r="A34" s="257" t="str">
        <f>Biomass_Cost!B65</f>
        <v>Corn stover</v>
      </c>
      <c r="B34" s="380" t="s">
        <v>482</v>
      </c>
      <c r="C34" s="380" t="s">
        <v>482</v>
      </c>
      <c r="D34" s="175" t="s">
        <v>482</v>
      </c>
      <c r="E34" s="380">
        <f>Biomass_Cost!Q65</f>
        <v>1.1354127275588812</v>
      </c>
      <c r="F34" s="209">
        <f>Biomass_Cost!Z65</f>
        <v>1663828.6791558466</v>
      </c>
      <c r="G34" s="206">
        <f>Biomass_Cost!AA65</f>
        <v>267.97800000000001</v>
      </c>
      <c r="H34" s="155" t="str">
        <f>Biomass_Cost!C65</f>
        <v>FT-Residue</v>
      </c>
      <c r="I34" s="607" t="s">
        <v>482</v>
      </c>
      <c r="J34" s="141"/>
      <c r="K34" s="141"/>
      <c r="L34" t="str">
        <f>Biomass_Cost!R65</f>
        <v>[15]</v>
      </c>
    </row>
    <row r="35" spans="1:12" x14ac:dyDescent="0.25">
      <c r="A35" s="257" t="str">
        <f>Biomass_Cost!B66</f>
        <v>Corn stover</v>
      </c>
      <c r="B35" s="380" t="s">
        <v>482</v>
      </c>
      <c r="C35" s="380" t="s">
        <v>482</v>
      </c>
      <c r="D35" s="175" t="s">
        <v>482</v>
      </c>
      <c r="E35" s="380">
        <f>Biomass_Cost!Q66</f>
        <v>1.0171405684381645</v>
      </c>
      <c r="F35" s="209">
        <f>Biomass_Cost!Z66</f>
        <v>2024658.9951173551</v>
      </c>
      <c r="G35" s="206">
        <f>Biomass_Cost!AA66</f>
        <v>267.97800000000001</v>
      </c>
      <c r="H35" s="155" t="str">
        <f>Biomass_Cost!C66</f>
        <v>FT-Residue</v>
      </c>
      <c r="I35" s="607" t="s">
        <v>482</v>
      </c>
      <c r="J35" s="141"/>
      <c r="K35" s="141"/>
      <c r="L35" t="str">
        <f>Biomass_Cost!R66</f>
        <v>[15]</v>
      </c>
    </row>
    <row r="36" spans="1:12" x14ac:dyDescent="0.25">
      <c r="A36" s="257" t="str">
        <f>Biomass_Cost!B67</f>
        <v>Wood</v>
      </c>
      <c r="B36" s="380" t="s">
        <v>482</v>
      </c>
      <c r="C36" s="380" t="s">
        <v>482</v>
      </c>
      <c r="D36" s="175" t="s">
        <v>482</v>
      </c>
      <c r="E36" s="380">
        <f>Biomass_Cost!Q67</f>
        <v>1.4233622183708838</v>
      </c>
      <c r="F36" s="209">
        <f>Biomass_Cost!Z67</f>
        <v>3135258.4361300846</v>
      </c>
      <c r="G36" s="206">
        <f>Biomass_Cost!AA67</f>
        <v>326.40000000000003</v>
      </c>
      <c r="H36" s="155" t="str">
        <f>Biomass_Cost!C67</f>
        <v>FT-Biomass</v>
      </c>
      <c r="I36" s="607" t="s">
        <v>482</v>
      </c>
      <c r="J36" s="141"/>
      <c r="K36" s="141"/>
      <c r="L36" t="str">
        <f>Biomass_Cost!R67</f>
        <v>[16]</v>
      </c>
    </row>
    <row r="37" spans="1:12" x14ac:dyDescent="0.25">
      <c r="A37" s="257" t="str">
        <f>Biomass_Cost!B68</f>
        <v>Wood</v>
      </c>
      <c r="B37" s="380" t="s">
        <v>482</v>
      </c>
      <c r="C37" s="380" t="s">
        <v>482</v>
      </c>
      <c r="D37" s="175" t="s">
        <v>482</v>
      </c>
      <c r="E37" s="380">
        <f>Biomass_Cost!Q68</f>
        <v>1.3988214904679377</v>
      </c>
      <c r="F37" s="209">
        <f>Biomass_Cost!Z68</f>
        <v>3567578.2444693651</v>
      </c>
      <c r="G37" s="206">
        <f>Biomass_Cost!AA68</f>
        <v>326.40000000000003</v>
      </c>
      <c r="H37" s="155" t="str">
        <f>Biomass_Cost!C68</f>
        <v>FT-Biomass</v>
      </c>
      <c r="I37" s="607" t="s">
        <v>482</v>
      </c>
      <c r="J37" s="141"/>
      <c r="K37" s="141"/>
      <c r="L37" t="str">
        <f>Biomass_Cost!R68</f>
        <v>[16]</v>
      </c>
    </row>
    <row r="38" spans="1:12" x14ac:dyDescent="0.25">
      <c r="A38" s="257" t="str">
        <f>Biomass_Cost!B69</f>
        <v>Poplar</v>
      </c>
      <c r="B38" s="380" t="s">
        <v>482</v>
      </c>
      <c r="C38" s="380" t="s">
        <v>482</v>
      </c>
      <c r="D38" s="175" t="s">
        <v>482</v>
      </c>
      <c r="E38" s="380">
        <f>Biomass_Cost!Q69</f>
        <v>1.1975378842667594</v>
      </c>
      <c r="F38" s="209">
        <f>Biomass_Cost!Z69</f>
        <v>4683813.312709732</v>
      </c>
      <c r="G38" s="206">
        <f>Biomass_Cost!AA69</f>
        <v>129.81744421906694</v>
      </c>
      <c r="H38" s="155" t="str">
        <f>Biomass_Cost!C69</f>
        <v>FT-Biomass</v>
      </c>
      <c r="I38" s="607" t="s">
        <v>482</v>
      </c>
      <c r="J38" s="141"/>
      <c r="K38" s="141"/>
      <c r="L38" t="str">
        <f>Biomass_Cost!R69</f>
        <v>[17]</v>
      </c>
    </row>
    <row r="39" spans="1:12" x14ac:dyDescent="0.25">
      <c r="A39" s="257" t="str">
        <f>Biomass_Cost!B70</f>
        <v>Torrefied Pellets</v>
      </c>
      <c r="B39" s="380" t="s">
        <v>482</v>
      </c>
      <c r="C39" s="380" t="s">
        <v>482</v>
      </c>
      <c r="D39" s="175" t="s">
        <v>482</v>
      </c>
      <c r="E39" s="380">
        <f>Biomass_Cost!Q70</f>
        <v>1.0508733838609008</v>
      </c>
      <c r="F39" s="209">
        <f>Biomass_Cost!Z70</f>
        <v>1109298.1443178414</v>
      </c>
      <c r="G39" s="206">
        <f>Biomass_Cost!AA70</f>
        <v>1465.0670553935859</v>
      </c>
      <c r="H39" s="155" t="str">
        <f>Biomass_Cost!C70</f>
        <v>FT-Biomass</v>
      </c>
      <c r="I39" s="607" t="s">
        <v>482</v>
      </c>
      <c r="J39" s="141"/>
      <c r="K39" s="141"/>
      <c r="L39" t="str">
        <f>Biomass_Cost!R70</f>
        <v>[18]</v>
      </c>
    </row>
    <row r="40" spans="1:12" x14ac:dyDescent="0.25">
      <c r="A40" s="257" t="str">
        <f>Biomass_Cost!B71</f>
        <v>Eucalyptus</v>
      </c>
      <c r="B40" s="380" t="s">
        <v>482</v>
      </c>
      <c r="C40" s="380" t="s">
        <v>482</v>
      </c>
      <c r="D40" s="175" t="s">
        <v>482</v>
      </c>
      <c r="E40" s="380">
        <f>Biomass_Cost!Q71</f>
        <v>1.3707044137316098</v>
      </c>
      <c r="F40" s="209">
        <f>Biomass_Cost!Z71</f>
        <v>1165894.9884156904</v>
      </c>
      <c r="G40" s="206">
        <f>Biomass_Cost!AA71</f>
        <v>1464</v>
      </c>
      <c r="H40" s="155" t="str">
        <f>Biomass_Cost!C71</f>
        <v>FT-Biomass</v>
      </c>
      <c r="I40" s="607" t="s">
        <v>482</v>
      </c>
      <c r="J40" s="141"/>
      <c r="K40" s="141"/>
      <c r="L40" t="str">
        <f>Biomass_Cost!R71</f>
        <v>[18]</v>
      </c>
    </row>
    <row r="41" spans="1:12" x14ac:dyDescent="0.25">
      <c r="A41" s="257" t="str">
        <f>Biomass_Cost!B72</f>
        <v>Corn Stover</v>
      </c>
      <c r="B41" s="380" t="s">
        <v>482</v>
      </c>
      <c r="C41" s="380" t="s">
        <v>482</v>
      </c>
      <c r="D41" s="175" t="s">
        <v>482</v>
      </c>
      <c r="E41" s="380">
        <f>Biomass_Cost!Q72</f>
        <v>0.89886840931744749</v>
      </c>
      <c r="F41" s="209">
        <f>Biomass_Cost!Z72</f>
        <v>1566103.801916271</v>
      </c>
      <c r="G41" s="206">
        <f>Biomass_Cost!AA72</f>
        <v>285.84320000000002</v>
      </c>
      <c r="H41" s="155" t="str">
        <f>Biomass_Cost!C72</f>
        <v>FT-Residue</v>
      </c>
      <c r="I41" s="607" t="s">
        <v>482</v>
      </c>
      <c r="J41" s="141"/>
      <c r="K41" s="141"/>
      <c r="L41" t="str">
        <f>Biomass_Cost!R72</f>
        <v>[19]</v>
      </c>
    </row>
    <row r="42" spans="1:12" x14ac:dyDescent="0.25">
      <c r="A42" s="257" t="str">
        <f>Biomass_Cost!B73</f>
        <v>Corn Stover</v>
      </c>
      <c r="B42" s="380" t="s">
        <v>482</v>
      </c>
      <c r="C42" s="380" t="s">
        <v>482</v>
      </c>
      <c r="D42" s="175" t="s">
        <v>482</v>
      </c>
      <c r="E42" s="380">
        <f>Biomass_Cost!Q73</f>
        <v>1.0171405684381642</v>
      </c>
      <c r="F42" s="209">
        <f>Biomass_Cost!Z73</f>
        <v>1478401.9890089601</v>
      </c>
      <c r="G42" s="206">
        <f>Biomass_Cost!AA73</f>
        <v>369.416</v>
      </c>
      <c r="H42" s="155" t="str">
        <f>Biomass_Cost!C73</f>
        <v>FT-Residue</v>
      </c>
      <c r="I42" s="607" t="s">
        <v>482</v>
      </c>
      <c r="J42" s="141"/>
      <c r="K42" s="141"/>
      <c r="L42" t="str">
        <f>Biomass_Cost!R73</f>
        <v>[19]</v>
      </c>
    </row>
    <row r="43" spans="1:12" x14ac:dyDescent="0.25">
      <c r="A43" s="257" t="str">
        <f>Biomass_Cost!B74</f>
        <v>Wood Chips</v>
      </c>
      <c r="B43" s="380" t="s">
        <v>482</v>
      </c>
      <c r="C43" s="380" t="s">
        <v>482</v>
      </c>
      <c r="D43" s="175" t="s">
        <v>482</v>
      </c>
      <c r="E43" s="380">
        <f>Biomass_Cost!Q74</f>
        <v>1.3809563758389263</v>
      </c>
      <c r="F43" s="209">
        <f>Biomass_Cost!Z74</f>
        <v>2748207.2958534299</v>
      </c>
      <c r="G43" s="206">
        <f>Biomass_Cost!AA74</f>
        <v>83.884</v>
      </c>
      <c r="H43" s="155" t="str">
        <f>Biomass_Cost!C74</f>
        <v>FT-Biomass</v>
      </c>
      <c r="I43" s="607" t="s">
        <v>482</v>
      </c>
      <c r="J43" s="141"/>
      <c r="K43" s="141"/>
      <c r="L43" t="str">
        <f>Biomass_Cost!R74</f>
        <v>[20]</v>
      </c>
    </row>
    <row r="44" spans="1:12" x14ac:dyDescent="0.25">
      <c r="A44" s="257" t="str">
        <f>Biomass_Cost!B75</f>
        <v>Black liquor, hog fuel and forestry residues</v>
      </c>
      <c r="B44" s="380" t="s">
        <v>482</v>
      </c>
      <c r="C44" s="380" t="s">
        <v>482</v>
      </c>
      <c r="D44" s="175" t="s">
        <v>482</v>
      </c>
      <c r="E44" s="380" t="str">
        <f>Biomass_Cost!Q75</f>
        <v>N/A</v>
      </c>
      <c r="F44" s="209">
        <f>Biomass_Cost!Z75</f>
        <v>664666.12237240758</v>
      </c>
      <c r="G44" s="206">
        <f>Biomass_Cost!AA75</f>
        <v>675.80439999999999</v>
      </c>
      <c r="H44" s="155" t="str">
        <f>Biomass_Cost!C75</f>
        <v>FT-Residue</v>
      </c>
      <c r="I44" s="607" t="s">
        <v>482</v>
      </c>
      <c r="J44" s="141"/>
      <c r="K44" s="141"/>
      <c r="L44" t="str">
        <f>Biomass_Cost!R75</f>
        <v>[21]</v>
      </c>
    </row>
    <row r="45" spans="1:12" x14ac:dyDescent="0.25">
      <c r="A45" s="381" t="str">
        <f>Biomass_Cost!B76</f>
        <v>Black liquor, hog fuel and forestry residues</v>
      </c>
      <c r="B45" s="382" t="s">
        <v>482</v>
      </c>
      <c r="C45" s="382" t="s">
        <v>482</v>
      </c>
      <c r="D45" s="178" t="s">
        <v>482</v>
      </c>
      <c r="E45" s="382">
        <f>Biomass_Cost!Q76</f>
        <v>0.59941718429003021</v>
      </c>
      <c r="F45" s="383">
        <f>Biomass_Cost!Z76</f>
        <v>1637687.3193730435</v>
      </c>
      <c r="G45" s="207">
        <f>Biomass_Cost!AA76</f>
        <v>454.52054794520546</v>
      </c>
      <c r="H45" s="156" t="str">
        <f>Biomass_Cost!C76</f>
        <v>FT-Residue</v>
      </c>
      <c r="I45" s="608" t="s">
        <v>482</v>
      </c>
      <c r="J45" s="142"/>
      <c r="K45" s="232"/>
      <c r="L45" t="str">
        <f>Biomass_Cost!R76</f>
        <v>[22]</v>
      </c>
    </row>
    <row r="46" spans="1:12" x14ac:dyDescent="0.25">
      <c r="A46" s="510" t="s">
        <v>501</v>
      </c>
      <c r="B46" s="478"/>
      <c r="C46" s="478"/>
      <c r="D46" s="479"/>
      <c r="E46" s="467" t="s">
        <v>502</v>
      </c>
      <c r="F46" s="468"/>
      <c r="G46" s="512"/>
      <c r="H46" s="141"/>
      <c r="I46" s="141"/>
      <c r="J46" s="141"/>
      <c r="K46" s="141"/>
      <c r="L46" s="222"/>
    </row>
    <row r="47" spans="1:12" ht="30" x14ac:dyDescent="0.25">
      <c r="A47" s="240" t="s">
        <v>227</v>
      </c>
      <c r="B47" s="221" t="s">
        <v>492</v>
      </c>
      <c r="C47" s="218" t="s">
        <v>497</v>
      </c>
      <c r="D47" s="219" t="s">
        <v>498</v>
      </c>
      <c r="E47" s="191" t="s">
        <v>503</v>
      </c>
      <c r="F47" s="192" t="s">
        <v>504</v>
      </c>
      <c r="G47" s="193" t="s">
        <v>505</v>
      </c>
      <c r="H47" s="141"/>
      <c r="I47" s="141"/>
      <c r="J47" s="141"/>
      <c r="K47" s="141"/>
      <c r="L47" s="222"/>
    </row>
    <row r="48" spans="1:12" x14ac:dyDescent="0.25">
      <c r="A48" s="195" t="s">
        <v>7</v>
      </c>
      <c r="B48" s="255">
        <f>+_xlfn.QUARTILE.EXC(E23:E45,1)</f>
        <v>1.0031429876304512</v>
      </c>
      <c r="C48" s="255">
        <f>+_xlfn.QUARTILE.EXC(E23:E45,2)</f>
        <v>1.0931430557098909</v>
      </c>
      <c r="D48" s="255">
        <f>+_xlfn.QUARTILE.EXC(E23:E45,3)</f>
        <v>1.4049566724436742</v>
      </c>
      <c r="E48" s="384">
        <f>+_xlfn.QUARTILE.EXC($F23:$F45,1)</f>
        <v>1180363.0780797016</v>
      </c>
      <c r="F48" s="402">
        <f>+_xlfn.QUARTILE.EXC($F23:$F45,2)</f>
        <v>1663828.6791558466</v>
      </c>
      <c r="G48" s="402">
        <f>+_xlfn.QUARTILE.EXC($F23:$F45,3)</f>
        <v>2748207.2958534299</v>
      </c>
      <c r="H48" s="141"/>
      <c r="I48" s="401"/>
      <c r="J48" s="141"/>
      <c r="K48" s="141"/>
      <c r="L48" s="222"/>
    </row>
    <row r="49" spans="1:12" x14ac:dyDescent="0.25">
      <c r="A49" s="189" t="s">
        <v>586</v>
      </c>
      <c r="B49" s="203">
        <f>_xlfn.QUARTILE.EXC((E24,E27,E30:E33,E36:E40,E43),1)</f>
        <v>1.0325751671572523</v>
      </c>
      <c r="C49" s="203">
        <f>_xlfn.QUARTILE.EXC((E24,E27,E30:E33,E36:E40,E43),2)</f>
        <v>1.2841211489991846</v>
      </c>
      <c r="D49" s="203">
        <f>_xlfn.QUARTILE.EXC((E24,E27,E30:E33,E36:E40,E43),3)</f>
        <v>1.4172270363951474</v>
      </c>
      <c r="E49" s="400">
        <f>_xlfn.QUARTILE.EXC(($F24,$F27,$F30:$F33,$F36:$F40,$F43),1)</f>
        <v>1169512.0108316932</v>
      </c>
      <c r="F49" s="188">
        <f>_xlfn.QUARTILE.EXC(($F24,$F27,$F30:$F33,$F36:$F40,$F43),2)</f>
        <v>2256141.3937558876</v>
      </c>
      <c r="G49" s="188">
        <f>_xlfn.QUARTILE.EXC(($F24,$F27,$F30:$F33,$F36:$F40,$F43),3)</f>
        <v>3310399.7827109178</v>
      </c>
      <c r="H49" s="401"/>
      <c r="I49" s="401"/>
      <c r="J49" s="141"/>
      <c r="K49" s="141"/>
      <c r="L49" s="222"/>
    </row>
    <row r="50" spans="1:12" x14ac:dyDescent="0.25">
      <c r="A50" s="186" t="s">
        <v>587</v>
      </c>
      <c r="B50" s="203">
        <f>_xlfn.QUARTILE.EXC((E23,E29,E34:E35,E41:E42,E44:E45),1)</f>
        <v>0.89886840931744749</v>
      </c>
      <c r="C50" s="203">
        <f>_xlfn.QUARTILE.EXC((E23,E29,E34:E35,E41:E42,E44:E45),2)</f>
        <v>1.0171405684381645</v>
      </c>
      <c r="D50" s="203">
        <f>_xlfn.QUARTILE.EXC((E23,E29,E34:E35,E41:E42,E44:E45),3)</f>
        <v>1.7641393801435821</v>
      </c>
      <c r="E50" s="400">
        <f>_xlfn.QUARTILE.EXC(($F23,$F29,$F34:$F35,$F41:$F42,$F44:$F45),1)</f>
        <v>1254872.8058120161</v>
      </c>
      <c r="F50" s="188">
        <f>_xlfn.QUARTILE.EXC(($F23,$F29,$F34:$F35,$F41:$F42,$F44:$F45),2)</f>
        <v>1601895.5606446574</v>
      </c>
      <c r="G50" s="188">
        <f>_xlfn.QUARTILE.EXC(($F23,$F29,$F34:$F35,$F41:$F42,$F44:$F45),3)</f>
        <v>1934451.4161269781</v>
      </c>
      <c r="H50" s="401"/>
      <c r="I50" s="401"/>
      <c r="J50" s="141"/>
      <c r="K50" s="141"/>
      <c r="L50" s="222"/>
    </row>
    <row r="51" spans="1:12" x14ac:dyDescent="0.25">
      <c r="A51" s="186" t="s">
        <v>845</v>
      </c>
      <c r="B51" s="203">
        <f>+_xlfn.QUARTILE.EXC(($E$23:$E$24,$E$27,$E$29:$E$45),1)</f>
        <v>1.0171405684381642</v>
      </c>
      <c r="C51" s="203">
        <f>+_xlfn.QUARTILE.EXC(($E$23:$E$24,$E$27,$E$29:$E$45),2)</f>
        <v>1.1354127275588812</v>
      </c>
      <c r="D51" s="203">
        <f>+_xlfn.QUARTILE.EXC(($E$23:$E$24,$E$27,$E$29:$E$45),3)</f>
        <v>1.4233622183708838</v>
      </c>
      <c r="E51" s="400">
        <f>+_xlfn.QUARTILE.EXC(($F$23:$F$24,$F$27,$F$29:$F$45),1)</f>
        <v>1180363.0780797016</v>
      </c>
      <c r="F51" s="188">
        <f>+_xlfn.QUARTILE.EXC(($F$23:$F$24,$F$27,$F$29:$F$45),2)</f>
        <v>1650757.9992644452</v>
      </c>
      <c r="G51" s="188">
        <f>+_xlfn.QUARTILE.EXC(($F$23:$F$24,$F$27,$F$29:$F$45),3)</f>
        <v>2665920.5017278306</v>
      </c>
      <c r="H51" s="486" t="s">
        <v>844</v>
      </c>
      <c r="I51" s="487"/>
      <c r="J51" s="141"/>
      <c r="K51" s="141"/>
      <c r="L51" s="222"/>
    </row>
    <row r="52" spans="1:12" x14ac:dyDescent="0.25">
      <c r="A52" s="189" t="s">
        <v>588</v>
      </c>
      <c r="B52" s="204">
        <f>_xlfn.QUARTILE.EXC((E25:E26,E28),1)</f>
        <v>0.75293293643845194</v>
      </c>
      <c r="C52" s="204">
        <f>_xlfn.QUARTILE.EXC((E25:E26,E28),2)</f>
        <v>1.02433899492208</v>
      </c>
      <c r="D52" s="204">
        <f>_xlfn.QUARTILE.EXC((E25:E26,E28),3)</f>
        <v>1.369794975454808</v>
      </c>
      <c r="E52" s="403">
        <f>_xlfn.QUARTILE.EXC(($F25:$F26,$F28),1)</f>
        <v>1180363.0780797016</v>
      </c>
      <c r="F52" s="190">
        <f>_xlfn.QUARTILE.EXC(($F25:$F26,$F28),2)</f>
        <v>2191342.4807307739</v>
      </c>
      <c r="G52" s="190">
        <f>_xlfn.QUARTILE.EXC(($F25:$F26,$F28),3)</f>
        <v>3041714.1896710731</v>
      </c>
      <c r="H52" s="488"/>
      <c r="I52" s="489"/>
      <c r="J52" s="141"/>
      <c r="K52" s="141"/>
      <c r="L52" s="222"/>
    </row>
    <row r="53" spans="1:12" x14ac:dyDescent="0.25">
      <c r="A53" s="527" t="s">
        <v>841</v>
      </c>
      <c r="B53" s="528"/>
      <c r="C53" s="528"/>
      <c r="D53" s="529"/>
      <c r="E53" s="396"/>
      <c r="F53" s="397"/>
      <c r="G53" s="398"/>
      <c r="H53" s="141"/>
      <c r="I53" s="141"/>
      <c r="J53" s="141"/>
      <c r="K53" s="141"/>
      <c r="L53" s="222"/>
    </row>
    <row r="54" spans="1:12" x14ac:dyDescent="0.25">
      <c r="A54" s="186" t="s">
        <v>846</v>
      </c>
      <c r="B54" s="203">
        <f>+_xlfn.QUARTILE.EXC(($C$23:$C$24,$C$27,$C$29:$C$45),1)</f>
        <v>0.24169578854925311</v>
      </c>
      <c r="C54" s="203">
        <f>+_xlfn.QUARTILE.EXC(($C$23:$C$24,$C$27,$C$29:$C$45),2)</f>
        <v>0.27327075762731035</v>
      </c>
      <c r="D54" s="203">
        <f>+_xlfn.QUARTILE.EXC(($C$23:$C$24,$C$27,$C$29:$C$45),3)</f>
        <v>0.49028191209945715</v>
      </c>
      <c r="E54" s="480" t="s">
        <v>842</v>
      </c>
      <c r="F54" s="481"/>
      <c r="G54" s="482"/>
      <c r="H54" s="141"/>
      <c r="I54" s="141"/>
      <c r="J54" s="141"/>
      <c r="K54" s="141"/>
      <c r="L54" s="222"/>
    </row>
    <row r="55" spans="1:12" ht="28.9" customHeight="1" x14ac:dyDescent="0.25">
      <c r="A55" s="189" t="s">
        <v>588</v>
      </c>
      <c r="B55" s="204">
        <f>_xlfn.QUARTILE.EXC(($C$25:$C$26,$C$28),1)</f>
        <v>0.27600346520358071</v>
      </c>
      <c r="C55" s="204">
        <f>_xlfn.QUARTILE.EXC((C25:C26,C28),2)</f>
        <v>0.28891612677289441</v>
      </c>
      <c r="D55" s="204">
        <f>_xlfn.QUARTILE.EXC((C25:C26,C28),3)</f>
        <v>0.2976711609175276</v>
      </c>
      <c r="E55" s="483"/>
      <c r="F55" s="484"/>
      <c r="G55" s="485"/>
      <c r="H55" s="141"/>
      <c r="I55" s="141"/>
      <c r="J55" s="141"/>
      <c r="K55" s="141"/>
      <c r="L55" s="222"/>
    </row>
    <row r="56" spans="1:12" x14ac:dyDescent="0.25">
      <c r="A56" s="477" t="s">
        <v>849</v>
      </c>
      <c r="B56" s="478"/>
      <c r="C56" s="478"/>
      <c r="D56" s="479"/>
      <c r="E56" s="395"/>
      <c r="F56" s="387"/>
      <c r="G56" s="388"/>
      <c r="H56" s="141"/>
      <c r="I56" s="141"/>
      <c r="J56" s="141"/>
      <c r="K56" s="141"/>
      <c r="L56" s="222"/>
    </row>
    <row r="57" spans="1:12" x14ac:dyDescent="0.25">
      <c r="A57" s="186" t="s">
        <v>846</v>
      </c>
      <c r="B57" s="412">
        <f>+_xlfn.QUARTILE.EXC(($I$23:$I$24,$I$27,$I$29:$I$45),1)</f>
        <v>4.9297858774345216E-3</v>
      </c>
      <c r="C57" s="412">
        <f>+_xlfn.QUARTILE.EXC(($I$23:$I$24,$I$27,$I$29:$I$45),2)</f>
        <v>6.9736942633408976E-3</v>
      </c>
      <c r="D57" s="412">
        <f>+_xlfn.QUARTILE.EXC(($I$23:$I$24,$I$27,$I$29:$I$45),3)</f>
        <v>9.2411493549300772E-3</v>
      </c>
      <c r="E57" s="480" t="s">
        <v>843</v>
      </c>
      <c r="F57" s="481"/>
      <c r="G57" s="482"/>
      <c r="H57" s="141"/>
      <c r="I57" s="141"/>
      <c r="J57" s="141"/>
      <c r="K57" s="141"/>
      <c r="L57" s="222"/>
    </row>
    <row r="58" spans="1:12" x14ac:dyDescent="0.25">
      <c r="A58" s="189" t="s">
        <v>588</v>
      </c>
      <c r="B58" s="413">
        <f>_xlfn.QUARTILE.EXC(($I$25:$I$26,$I$28),1)</f>
        <v>0</v>
      </c>
      <c r="C58" s="413">
        <f>_xlfn.QUARTILE.EXC(($I$25:$I$26,$I$28),2)</f>
        <v>0</v>
      </c>
      <c r="D58" s="413">
        <f>_xlfn.QUARTILE.EXC(($I$25:$I$26,$I$28),3)</f>
        <v>9.2323139184951403E-6</v>
      </c>
      <c r="E58" s="483"/>
      <c r="F58" s="484"/>
      <c r="G58" s="485"/>
      <c r="H58" s="141"/>
      <c r="I58" s="141"/>
      <c r="J58" s="141"/>
      <c r="K58" s="141"/>
      <c r="L58" s="222"/>
    </row>
    <row r="59" spans="1:12" x14ac:dyDescent="0.25">
      <c r="A59" s="522" t="s">
        <v>491</v>
      </c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4"/>
    </row>
    <row r="60" spans="1:12" x14ac:dyDescent="0.25">
      <c r="A60" s="225" t="s">
        <v>530</v>
      </c>
      <c r="B60" s="217">
        <f>11/1000*35.3</f>
        <v>0.38829999999999992</v>
      </c>
      <c r="C60" s="201"/>
      <c r="D60" s="201"/>
      <c r="E60" s="201"/>
      <c r="F60" s="201"/>
      <c r="G60" s="201"/>
      <c r="H60" s="201"/>
      <c r="I60" s="201"/>
      <c r="J60" s="201"/>
      <c r="K60" s="201"/>
      <c r="L60" s="231"/>
    </row>
    <row r="61" spans="1:12" x14ac:dyDescent="0.25">
      <c r="A61" s="525" t="s">
        <v>531</v>
      </c>
      <c r="B61" s="526"/>
      <c r="C61" s="141"/>
      <c r="D61" s="141"/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226"/>
      <c r="B62" s="154"/>
      <c r="C62" s="477" t="s">
        <v>529</v>
      </c>
      <c r="D62" s="478"/>
      <c r="E62" s="478"/>
      <c r="F62" s="467" t="s">
        <v>609</v>
      </c>
      <c r="G62" s="468"/>
      <c r="H62" s="468"/>
      <c r="I62" s="141"/>
      <c r="J62" s="141"/>
      <c r="K62" s="141"/>
      <c r="L62" s="222"/>
    </row>
    <row r="63" spans="1:12" x14ac:dyDescent="0.25">
      <c r="A63" s="521" t="s">
        <v>251</v>
      </c>
      <c r="B63" s="419"/>
      <c r="C63" s="14" t="s">
        <v>588</v>
      </c>
      <c r="D63" s="220" t="s">
        <v>589</v>
      </c>
      <c r="E63" s="220" t="s">
        <v>590</v>
      </c>
      <c r="F63" s="14" t="s">
        <v>588</v>
      </c>
      <c r="G63" s="220" t="s">
        <v>589</v>
      </c>
      <c r="H63" s="220" t="s">
        <v>590</v>
      </c>
      <c r="I63" s="141"/>
      <c r="J63" s="141"/>
      <c r="K63" s="141"/>
      <c r="L63" s="222"/>
    </row>
    <row r="64" spans="1:12" x14ac:dyDescent="0.25">
      <c r="A64" s="519" t="s">
        <v>591</v>
      </c>
      <c r="B64" s="210" t="s">
        <v>594</v>
      </c>
      <c r="C64" s="238"/>
      <c r="D64" s="238">
        <f>1/($G$11-$I$10)*1000000*($D$50-$B$60)</f>
        <v>525.27789533821863</v>
      </c>
      <c r="E64" s="238">
        <f>1/($G$11-$I$10)*1000000*($D$49-$B$60)</f>
        <v>392.83119522122576</v>
      </c>
      <c r="F64" s="267"/>
      <c r="G64" s="267">
        <f>($C$11-$E$10)*1000000*$B$14*(J$85+J$82)</f>
        <v>1262713340</v>
      </c>
      <c r="H64" s="267">
        <f>($C$11-$E$10)*1000000*$B$14*(J$88)</f>
        <v>677349540</v>
      </c>
      <c r="I64" s="141"/>
      <c r="J64" s="141"/>
      <c r="K64" s="141"/>
      <c r="L64" s="222"/>
    </row>
    <row r="65" spans="1:12" x14ac:dyDescent="0.25">
      <c r="A65" s="520"/>
      <c r="B65" s="147" t="s">
        <v>595</v>
      </c>
      <c r="C65" s="238">
        <f>1/($G$11-$H$9)*1000000*($D$52-$B$60)</f>
        <v>471.26085151716916</v>
      </c>
      <c r="D65" s="238">
        <f>1/($G$11-$H$10)*1000000*($D$50-$B$60)</f>
        <v>492.73855668894839</v>
      </c>
      <c r="E65" s="238">
        <f>1/($G$11-$H$10)*1000000*($D$49-$B$60)</f>
        <v>368.49651941106129</v>
      </c>
      <c r="F65" s="267">
        <f>($C$11-$D$9)*1000000*B$14*J$79</f>
        <v>156733500.00000003</v>
      </c>
      <c r="G65" s="267">
        <f>($C$11-$D$10)*1000000*$B$14*(J$85+J$82)</f>
        <v>1346100070</v>
      </c>
      <c r="H65" s="267">
        <f>($C$11-$D$10)*1000000*$B$14*(J$88)</f>
        <v>722080170</v>
      </c>
      <c r="I65" s="141"/>
      <c r="J65" s="141"/>
      <c r="K65" s="141"/>
      <c r="L65" s="222"/>
    </row>
    <row r="66" spans="1:12" x14ac:dyDescent="0.25">
      <c r="A66" s="520"/>
      <c r="B66" s="147" t="s">
        <v>596</v>
      </c>
      <c r="C66" s="238"/>
      <c r="D66" s="238">
        <f>1/($G$11-$G$10)*1000000*($D$50-$B$60)</f>
        <v>450.58520039417135</v>
      </c>
      <c r="E66" s="238">
        <f>1/($G$11-$G$10)*1000000*($D$49-$B$60)</f>
        <v>336.97196168109764</v>
      </c>
      <c r="F66" s="267"/>
      <c r="G66" s="267">
        <f>($C$11-$C$10)*1000000*$B$14*(J$85+J$82)</f>
        <v>1472031050.0000002</v>
      </c>
      <c r="H66" s="267">
        <f>($C$11-$C$10)*1000000*$B$14*(J$88)</f>
        <v>789632550</v>
      </c>
      <c r="I66" s="141"/>
      <c r="J66" s="141"/>
      <c r="K66" s="141"/>
      <c r="L66" s="222"/>
    </row>
    <row r="67" spans="1:12" x14ac:dyDescent="0.25">
      <c r="A67" s="520" t="s">
        <v>592</v>
      </c>
      <c r="B67" s="210" t="s">
        <v>594</v>
      </c>
      <c r="C67" s="238"/>
      <c r="D67" s="238">
        <f>1/($G$11-$I$10)*1000000*($C$50-$B$60)</f>
        <v>240.08329392201031</v>
      </c>
      <c r="E67" s="238">
        <f>1/($G$11-$I$10)*1000000*($C$49-$B$60)</f>
        <v>342.01306819452248</v>
      </c>
      <c r="F67" s="267"/>
      <c r="G67" s="267">
        <f>($C$11-$E$10)*1000000*$B$14*(J$85+J$82)</f>
        <v>1262713340</v>
      </c>
      <c r="H67" s="267">
        <f>($C$11-$E$10)*1000000*$B$14*(J$88)</f>
        <v>677349540</v>
      </c>
      <c r="I67" s="141"/>
      <c r="J67" s="141"/>
      <c r="K67" s="141"/>
      <c r="L67" s="222"/>
    </row>
    <row r="68" spans="1:12" x14ac:dyDescent="0.25">
      <c r="A68" s="520"/>
      <c r="B68" s="147" t="s">
        <v>595</v>
      </c>
      <c r="C68" s="238">
        <f>1/($G$11-$H$9)*1000000*($C$52-$B$60)</f>
        <v>305.39155659580365</v>
      </c>
      <c r="D68" s="238">
        <f>1/($G$11-$H$10)*1000000*($C$50-$B$60)</f>
        <v>225.21087748436364</v>
      </c>
      <c r="E68" s="238">
        <f>1/($G$11-$H$10)*1000000*($C$49-$B$60)</f>
        <v>320.82641795238391</v>
      </c>
      <c r="F68" s="267">
        <f>($C$11-$D$9)*1000000*B$14*J$79</f>
        <v>156733500.00000003</v>
      </c>
      <c r="G68" s="267">
        <f>($C$11-$D$10)*1000000*$B$14*(J$85+J$82)</f>
        <v>1346100070</v>
      </c>
      <c r="H68" s="267">
        <f>($C$11-$D$10)*1000000*$B$14*(J$88)</f>
        <v>722080170</v>
      </c>
      <c r="I68" s="141"/>
      <c r="J68" s="141"/>
      <c r="K68" s="141"/>
      <c r="L68" s="222"/>
    </row>
    <row r="69" spans="1:12" x14ac:dyDescent="0.25">
      <c r="A69" s="520"/>
      <c r="B69" s="147" t="s">
        <v>596</v>
      </c>
      <c r="C69" s="238"/>
      <c r="D69" s="238">
        <f>1/($G$11-$G$10)*1000000*($C$50-$B$60)</f>
        <v>205.94428218512328</v>
      </c>
      <c r="E69" s="238">
        <f>1/($G$11-$G$10)*1000000*($C$49-$B$60)</f>
        <v>293.37999606975222</v>
      </c>
      <c r="F69" s="267"/>
      <c r="G69" s="267">
        <f>($C$11-$C$10)*1000000*$B$14*(J$85+J$82)</f>
        <v>1472031050.0000002</v>
      </c>
      <c r="H69" s="267">
        <f>($C$11-$C$10)*1000000*$B$14*(J$88)</f>
        <v>789632550</v>
      </c>
      <c r="I69" s="141"/>
      <c r="J69" s="141"/>
      <c r="K69" s="141"/>
      <c r="L69" s="222"/>
    </row>
    <row r="70" spans="1:12" x14ac:dyDescent="0.25">
      <c r="A70" s="520" t="s">
        <v>593</v>
      </c>
      <c r="B70" s="210" t="s">
        <v>594</v>
      </c>
      <c r="C70" s="238"/>
      <c r="D70" s="238">
        <f>1/($G$11-$I$10)*1000000*($B$50-$B$60)</f>
        <v>194.92849481053722</v>
      </c>
      <c r="E70" s="238">
        <f>1/($G$11-$I$10)*1000000*($B$49-$B$60)</f>
        <v>245.9760264949843</v>
      </c>
      <c r="F70" s="267"/>
      <c r="G70" s="267">
        <f>($C$11-$E$10)*1000000*$B$14*(J$85+J$82)</f>
        <v>1262713340</v>
      </c>
      <c r="H70" s="267">
        <f>($C$11-$E$10)*1000000*$B$14*(J$88)</f>
        <v>677349540</v>
      </c>
      <c r="I70" s="141"/>
      <c r="J70" s="141"/>
      <c r="K70" s="141"/>
      <c r="L70" s="222"/>
    </row>
    <row r="71" spans="1:12" x14ac:dyDescent="0.25">
      <c r="A71" s="520"/>
      <c r="B71" s="147" t="s">
        <v>595</v>
      </c>
      <c r="C71" s="238">
        <f>1/($G$11-$H$9)*1000000*($B$52-$B$60)</f>
        <v>175.07703290846115</v>
      </c>
      <c r="D71" s="238">
        <f>1/($G$11-$H$10)*1000000*($B$50-$B$60)</f>
        <v>182.85327831784906</v>
      </c>
      <c r="E71" s="238">
        <f>1/($G$11-$H$10)*1000000*($B$49-$B$60)</f>
        <v>230.73857352626842</v>
      </c>
      <c r="F71" s="267">
        <f>($C$11-$D$9)*1000000*B$14*J$79</f>
        <v>156733500.00000003</v>
      </c>
      <c r="G71" s="267">
        <f>($C$11-$D$10)*1000000*$B$14*(J$85+J$82)</f>
        <v>1346100070</v>
      </c>
      <c r="H71" s="267">
        <f>($C$11-$D$10)*1000000*$B$14*(J$88)</f>
        <v>722080170</v>
      </c>
      <c r="I71" s="141"/>
      <c r="J71" s="141"/>
      <c r="K71" s="141"/>
      <c r="L71" s="222"/>
    </row>
    <row r="72" spans="1:12" ht="15.75" thickBot="1" x14ac:dyDescent="0.3">
      <c r="A72" s="520"/>
      <c r="B72" s="147" t="s">
        <v>596</v>
      </c>
      <c r="C72" s="241"/>
      <c r="D72" s="241">
        <f>1/($G$11-$G$10)*1000000*($B$50-$B$60)</f>
        <v>167.21033890106199</v>
      </c>
      <c r="E72" s="241">
        <f>1/($G$11-$G$10)*1000000*($B$49-$B$60)</f>
        <v>210.99908862344316</v>
      </c>
      <c r="F72" s="289"/>
      <c r="G72" s="289">
        <f>($C$11-$C$10)*1000000*$B$14*(J$85+J$82)</f>
        <v>1472031050.0000002</v>
      </c>
      <c r="H72" s="289">
        <f>($C$11-$C$10)*1000000*$B$14*(J$88)</f>
        <v>789632550</v>
      </c>
      <c r="I72" s="233"/>
      <c r="J72" s="233"/>
      <c r="K72" s="233"/>
      <c r="L72" s="234"/>
    </row>
    <row r="74" spans="1:12" x14ac:dyDescent="0.25">
      <c r="A74" t="s">
        <v>515</v>
      </c>
    </row>
    <row r="75" spans="1:12" ht="15.75" thickBot="1" x14ac:dyDescent="0.3"/>
    <row r="76" spans="1:12" ht="15.75" thickBot="1" x14ac:dyDescent="0.3">
      <c r="G76" s="270"/>
      <c r="H76" s="271"/>
      <c r="I76" s="272" t="s">
        <v>601</v>
      </c>
      <c r="J76" s="273"/>
      <c r="K76" s="274"/>
    </row>
    <row r="77" spans="1:12" ht="45" x14ac:dyDescent="0.25">
      <c r="G77" s="285"/>
      <c r="H77" s="286" t="s">
        <v>602</v>
      </c>
      <c r="I77" s="287" t="s">
        <v>606</v>
      </c>
      <c r="J77" s="287" t="s">
        <v>607</v>
      </c>
      <c r="K77" s="288" t="s">
        <v>608</v>
      </c>
    </row>
    <row r="78" spans="1:12" x14ac:dyDescent="0.25">
      <c r="G78" s="513" t="s">
        <v>104</v>
      </c>
      <c r="H78" s="257" t="s">
        <v>35</v>
      </c>
      <c r="I78" s="259">
        <f>$A$6*$C$17</f>
        <v>4.08</v>
      </c>
      <c r="J78" s="259">
        <f>$B$6*$C$17</f>
        <v>4.6920000000000002</v>
      </c>
      <c r="K78" s="276">
        <f>$C$6*$C$17</f>
        <v>4.9979999999999993</v>
      </c>
    </row>
    <row r="79" spans="1:12" x14ac:dyDescent="0.25">
      <c r="G79" s="514"/>
      <c r="H79" s="257" t="s">
        <v>36</v>
      </c>
      <c r="I79" s="259">
        <f>$A$6*$D$17</f>
        <v>4.62</v>
      </c>
      <c r="J79" s="259">
        <f>$B$6*$D$17</f>
        <v>5.3130000000000006</v>
      </c>
      <c r="K79" s="276">
        <f>$C$6*$D$17</f>
        <v>5.6595000000000004</v>
      </c>
    </row>
    <row r="80" spans="1:12" ht="15.75" thickBot="1" x14ac:dyDescent="0.3">
      <c r="G80" s="515"/>
      <c r="H80" s="277" t="s">
        <v>37</v>
      </c>
      <c r="I80" s="259">
        <f>$A$6*$E$17</f>
        <v>7.9200000000000008</v>
      </c>
      <c r="J80" s="259">
        <f>$B$6*$E$17</f>
        <v>9.1080000000000005</v>
      </c>
      <c r="K80" s="276">
        <f>$C$6*$E$17</f>
        <v>9.702</v>
      </c>
    </row>
    <row r="81" spans="7:11" x14ac:dyDescent="0.25">
      <c r="G81" s="516" t="s">
        <v>1</v>
      </c>
      <c r="H81" s="257" t="s">
        <v>35</v>
      </c>
      <c r="I81" s="259">
        <f>$A$6*$C$18</f>
        <v>11.840000000000002</v>
      </c>
      <c r="J81" s="259">
        <f>$B$6*$C$18</f>
        <v>13.616000000000001</v>
      </c>
      <c r="K81" s="276">
        <f>$C$6*$C$18</f>
        <v>14.504</v>
      </c>
    </row>
    <row r="82" spans="7:11" x14ac:dyDescent="0.25">
      <c r="G82" s="517"/>
      <c r="H82" s="257" t="s">
        <v>36</v>
      </c>
      <c r="I82" s="259">
        <f>$A$6*$D$18</f>
        <v>22.748000000000005</v>
      </c>
      <c r="J82" s="259">
        <f>$B$6*$D$18</f>
        <v>26.160200000000003</v>
      </c>
      <c r="K82" s="276">
        <f>$C$6*$D$18</f>
        <v>27.866300000000003</v>
      </c>
    </row>
    <row r="83" spans="7:11" ht="15.75" thickBot="1" x14ac:dyDescent="0.3">
      <c r="G83" s="518"/>
      <c r="H83" s="277" t="s">
        <v>37</v>
      </c>
      <c r="I83" s="259">
        <f>$A$6*$E$18</f>
        <v>41.160000000000004</v>
      </c>
      <c r="J83" s="259">
        <f>$B$6*$E$18</f>
        <v>47.334000000000003</v>
      </c>
      <c r="K83" s="276">
        <f>$C$6*$E$18</f>
        <v>50.420999999999999</v>
      </c>
    </row>
    <row r="84" spans="7:11" x14ac:dyDescent="0.25">
      <c r="G84" s="516" t="s">
        <v>0</v>
      </c>
      <c r="H84" s="257" t="s">
        <v>35</v>
      </c>
      <c r="I84" s="259">
        <f>$A$6*$C$19</f>
        <v>5.9200000000000008</v>
      </c>
      <c r="J84" s="259">
        <f>$B$6*$C$19</f>
        <v>6.8080000000000007</v>
      </c>
      <c r="K84" s="276">
        <f>$C$6*$C$19</f>
        <v>7.2519999999999998</v>
      </c>
    </row>
    <row r="85" spans="7:11" x14ac:dyDescent="0.25">
      <c r="G85" s="517"/>
      <c r="H85" s="257" t="s">
        <v>36</v>
      </c>
      <c r="I85" s="259">
        <f>$A$6*$D$19</f>
        <v>6.8480000000000008</v>
      </c>
      <c r="J85" s="259">
        <f>$B$6*$D$19</f>
        <v>7.8752000000000004</v>
      </c>
      <c r="K85" s="276">
        <f>$C$6*$D$19</f>
        <v>8.3887999999999998</v>
      </c>
    </row>
    <row r="86" spans="7:11" ht="15.75" thickBot="1" x14ac:dyDescent="0.3">
      <c r="G86" s="517"/>
      <c r="H86" s="277" t="s">
        <v>37</v>
      </c>
      <c r="I86" s="259">
        <f>$A$6*$E$19</f>
        <v>15.64</v>
      </c>
      <c r="J86" s="259">
        <f>$B$6*$E$19</f>
        <v>17.986000000000001</v>
      </c>
      <c r="K86" s="276">
        <f>$C$6*$E$19</f>
        <v>19.158999999999999</v>
      </c>
    </row>
    <row r="87" spans="7:11" x14ac:dyDescent="0.25">
      <c r="G87" s="433" t="s">
        <v>34</v>
      </c>
      <c r="H87" s="257" t="s">
        <v>35</v>
      </c>
      <c r="I87" s="259">
        <f>$A$6*$C$20</f>
        <v>9.3239999999999998</v>
      </c>
      <c r="J87" s="259">
        <f>$B$6*$C$20</f>
        <v>10.7226</v>
      </c>
      <c r="K87" s="276">
        <f>$C$6*$C$20</f>
        <v>11.421899999999999</v>
      </c>
    </row>
    <row r="88" spans="7:11" x14ac:dyDescent="0.25">
      <c r="G88" s="433"/>
      <c r="H88" s="257" t="s">
        <v>36</v>
      </c>
      <c r="I88" s="259">
        <f>$A$6*$D$20</f>
        <v>15.875999999999999</v>
      </c>
      <c r="J88" s="259">
        <f>$B$6*$D$20</f>
        <v>18.257400000000001</v>
      </c>
      <c r="K88" s="276">
        <f>$C$6*$D$20</f>
        <v>19.4481</v>
      </c>
    </row>
    <row r="89" spans="7:11" ht="15.75" thickBot="1" x14ac:dyDescent="0.3">
      <c r="G89" s="436"/>
      <c r="H89" s="277" t="s">
        <v>37</v>
      </c>
      <c r="I89" s="278">
        <f>$A$6*$E$20</f>
        <v>27.468000000000004</v>
      </c>
      <c r="J89" s="278">
        <f>$B$6*$E$20</f>
        <v>31.588200000000001</v>
      </c>
      <c r="K89" s="279">
        <f>$C$6*$E$20</f>
        <v>33.648299999999999</v>
      </c>
    </row>
  </sheetData>
  <mergeCells count="33">
    <mergeCell ref="G87:G89"/>
    <mergeCell ref="F62:H62"/>
    <mergeCell ref="A46:D46"/>
    <mergeCell ref="E46:G46"/>
    <mergeCell ref="G78:G80"/>
    <mergeCell ref="G81:G83"/>
    <mergeCell ref="G84:G86"/>
    <mergeCell ref="C62:E62"/>
    <mergeCell ref="A64:A66"/>
    <mergeCell ref="A67:A69"/>
    <mergeCell ref="A70:A72"/>
    <mergeCell ref="A63:B63"/>
    <mergeCell ref="A59:L59"/>
    <mergeCell ref="A61:B61"/>
    <mergeCell ref="A53:D53"/>
    <mergeCell ref="E54:G55"/>
    <mergeCell ref="A1:L2"/>
    <mergeCell ref="A3:L3"/>
    <mergeCell ref="A4:C4"/>
    <mergeCell ref="E4:G4"/>
    <mergeCell ref="I4:K4"/>
    <mergeCell ref="A9:A10"/>
    <mergeCell ref="A21:L21"/>
    <mergeCell ref="L5:L6"/>
    <mergeCell ref="A7:L7"/>
    <mergeCell ref="A11:B11"/>
    <mergeCell ref="C11:E11"/>
    <mergeCell ref="G11:I11"/>
    <mergeCell ref="A56:D56"/>
    <mergeCell ref="E57:G58"/>
    <mergeCell ref="H51:I52"/>
    <mergeCell ref="A12:L12"/>
    <mergeCell ref="A15:L15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F415-18E6-48EC-8F52-17CD2602CEB6}">
  <sheetPr>
    <tabColor theme="9" tint="-0.249977111117893"/>
  </sheetPr>
  <dimension ref="A1:N73"/>
  <sheetViews>
    <sheetView topLeftCell="A20" zoomScale="85" zoomScaleNormal="85" workbookViewId="0">
      <selection activeCell="C49" sqref="C49"/>
    </sheetView>
  </sheetViews>
  <sheetFormatPr baseColWidth="10" defaultRowHeight="15" x14ac:dyDescent="0.25"/>
  <cols>
    <col min="1" max="1" width="31.85546875" customWidth="1"/>
    <col min="2" max="2" width="41.85546875" customWidth="1"/>
    <col min="3" max="3" width="16.42578125" customWidth="1"/>
    <col min="4" max="4" width="16.7109375" customWidth="1"/>
    <col min="5" max="5" width="18.85546875" customWidth="1"/>
    <col min="6" max="6" width="19.7109375" customWidth="1"/>
    <col min="7" max="7" width="19.28515625" customWidth="1"/>
    <col min="8" max="8" width="17.8554687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46" t="s">
        <v>475</v>
      </c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8"/>
    </row>
    <row r="2" spans="1:12" ht="14.45" customHeight="1" thickBot="1" x14ac:dyDescent="0.3">
      <c r="A2" s="549"/>
      <c r="B2" s="550"/>
      <c r="C2" s="550"/>
      <c r="D2" s="550"/>
      <c r="E2" s="550"/>
      <c r="F2" s="550"/>
      <c r="G2" s="550"/>
      <c r="H2" s="550"/>
      <c r="I2" s="550"/>
      <c r="J2" s="550"/>
      <c r="K2" s="550"/>
      <c r="L2" s="551"/>
    </row>
    <row r="3" spans="1:12" x14ac:dyDescent="0.25">
      <c r="A3" s="556" t="s">
        <v>314</v>
      </c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8"/>
    </row>
    <row r="4" spans="1:12" x14ac:dyDescent="0.25">
      <c r="A4" s="510" t="s">
        <v>422</v>
      </c>
      <c r="B4" s="478"/>
      <c r="C4" s="479"/>
      <c r="D4" s="141"/>
      <c r="E4" s="477" t="s">
        <v>423</v>
      </c>
      <c r="F4" s="478"/>
      <c r="G4" s="479"/>
      <c r="H4" s="138"/>
      <c r="I4" s="477" t="s">
        <v>424</v>
      </c>
      <c r="J4" s="478"/>
      <c r="K4" s="479"/>
      <c r="L4" s="162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139" t="s">
        <v>281</v>
      </c>
      <c r="F5" s="139" t="s">
        <v>279</v>
      </c>
      <c r="G5" s="139" t="s">
        <v>280</v>
      </c>
      <c r="H5" s="141"/>
      <c r="I5" s="139" t="s">
        <v>281</v>
      </c>
      <c r="J5" s="139" t="s">
        <v>279</v>
      </c>
      <c r="K5" s="139" t="s">
        <v>280</v>
      </c>
      <c r="L5" s="497" t="s">
        <v>465</v>
      </c>
    </row>
    <row r="6" spans="1:12" x14ac:dyDescent="0.25">
      <c r="A6" s="164">
        <v>0.42</v>
      </c>
      <c r="B6" s="140">
        <v>0.66</v>
      </c>
      <c r="C6" s="140">
        <v>0.85</v>
      </c>
      <c r="D6" s="142"/>
      <c r="E6" s="140">
        <v>0.71</v>
      </c>
      <c r="F6" s="140">
        <v>0.88</v>
      </c>
      <c r="G6" s="140">
        <v>0.92</v>
      </c>
      <c r="H6" s="142"/>
      <c r="I6" s="140">
        <v>0.08</v>
      </c>
      <c r="J6" s="140">
        <v>0.09</v>
      </c>
      <c r="K6" s="140">
        <v>0.11</v>
      </c>
      <c r="L6" s="554"/>
    </row>
    <row r="7" spans="1:12" x14ac:dyDescent="0.25">
      <c r="A7" s="538" t="s">
        <v>461</v>
      </c>
      <c r="B7" s="539"/>
      <c r="C7" s="539"/>
      <c r="D7" s="539"/>
      <c r="E7" s="539"/>
      <c r="F7" s="539"/>
      <c r="G7" s="539"/>
      <c r="H7" s="539"/>
      <c r="I7" s="539"/>
      <c r="J7" s="539"/>
      <c r="K7" s="539"/>
      <c r="L7" s="540"/>
    </row>
    <row r="8" spans="1:12" ht="30" x14ac:dyDescent="0.25">
      <c r="A8" s="165"/>
      <c r="B8" s="141"/>
      <c r="C8" s="152" t="s">
        <v>197</v>
      </c>
      <c r="D8" s="152" t="s">
        <v>198</v>
      </c>
      <c r="E8" s="152" t="s">
        <v>199</v>
      </c>
      <c r="F8" s="90" t="s">
        <v>562</v>
      </c>
      <c r="G8" s="152" t="s">
        <v>511</v>
      </c>
      <c r="H8" s="152" t="s">
        <v>512</v>
      </c>
      <c r="I8" s="152" t="s">
        <v>513</v>
      </c>
      <c r="J8" s="141"/>
      <c r="K8" s="141"/>
      <c r="L8" s="166" t="s">
        <v>462</v>
      </c>
    </row>
    <row r="9" spans="1:12" x14ac:dyDescent="0.25">
      <c r="A9" s="552" t="s">
        <v>8</v>
      </c>
      <c r="B9" s="153" t="s">
        <v>204</v>
      </c>
      <c r="C9" s="139" t="s">
        <v>9</v>
      </c>
      <c r="D9" s="139">
        <v>20.7</v>
      </c>
      <c r="E9" s="139" t="s">
        <v>9</v>
      </c>
      <c r="F9" s="202" t="s">
        <v>514</v>
      </c>
      <c r="G9" s="139" t="s">
        <v>9</v>
      </c>
      <c r="H9" s="139">
        <f>D9*35.3</f>
        <v>730.70999999999992</v>
      </c>
      <c r="I9" s="139" t="s">
        <v>9</v>
      </c>
      <c r="J9" s="141"/>
      <c r="K9" s="141"/>
      <c r="L9" s="167" t="s">
        <v>463</v>
      </c>
    </row>
    <row r="10" spans="1:12" ht="18" customHeight="1" x14ac:dyDescent="0.25">
      <c r="A10" s="553"/>
      <c r="B10" s="153" t="s">
        <v>205</v>
      </c>
      <c r="C10" s="139">
        <v>38.4</v>
      </c>
      <c r="D10" s="139">
        <v>59</v>
      </c>
      <c r="E10" s="139">
        <v>97.9</v>
      </c>
      <c r="F10" s="146"/>
      <c r="G10" s="139">
        <f>C10*35.3</f>
        <v>1355.5199999999998</v>
      </c>
      <c r="H10" s="139">
        <f>D10*35.3</f>
        <v>2082.6999999999998</v>
      </c>
      <c r="I10" s="139">
        <f>E10*35.3</f>
        <v>3455.87</v>
      </c>
      <c r="J10" s="142"/>
      <c r="K10" s="142"/>
      <c r="L10" s="167" t="s">
        <v>464</v>
      </c>
    </row>
    <row r="11" spans="1:12" ht="18" customHeight="1" x14ac:dyDescent="0.25">
      <c r="A11" s="499" t="s">
        <v>489</v>
      </c>
      <c r="B11" s="555"/>
      <c r="C11" s="501">
        <v>86.8</v>
      </c>
      <c r="D11" s="502"/>
      <c r="E11" s="503"/>
      <c r="F11" s="145"/>
      <c r="G11" s="501">
        <f>C11*35.3</f>
        <v>3064.0399999999995</v>
      </c>
      <c r="H11" s="502"/>
      <c r="I11" s="503"/>
      <c r="J11" s="141"/>
      <c r="K11" s="141"/>
      <c r="L11" s="167" t="s">
        <v>490</v>
      </c>
    </row>
    <row r="12" spans="1:12" x14ac:dyDescent="0.25">
      <c r="A12" s="538" t="s">
        <v>468</v>
      </c>
      <c r="B12" s="539"/>
      <c r="C12" s="539"/>
      <c r="D12" s="539"/>
      <c r="E12" s="539"/>
      <c r="F12" s="539"/>
      <c r="G12" s="539"/>
      <c r="H12" s="539"/>
      <c r="I12" s="539"/>
      <c r="J12" s="539"/>
      <c r="K12" s="539"/>
      <c r="L12" s="540"/>
    </row>
    <row r="13" spans="1:12" x14ac:dyDescent="0.25">
      <c r="A13" s="168" t="s">
        <v>466</v>
      </c>
      <c r="B13" s="143">
        <f>12.8/(12.8+68.1+1.8+1.6+4.2)</f>
        <v>0.14463276836158195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66" t="s">
        <v>462</v>
      </c>
    </row>
    <row r="14" spans="1:12" x14ac:dyDescent="0.25">
      <c r="A14" s="168" t="s">
        <v>467</v>
      </c>
      <c r="B14" s="143">
        <f>49.4/(49.4+23.3+7+6+4.2)</f>
        <v>0.54949944382647375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65</v>
      </c>
    </row>
    <row r="15" spans="1:12" x14ac:dyDescent="0.25">
      <c r="A15" s="538" t="s">
        <v>469</v>
      </c>
      <c r="B15" s="539"/>
      <c r="C15" s="539"/>
      <c r="D15" s="539"/>
      <c r="E15" s="539"/>
      <c r="F15" s="539"/>
      <c r="G15" s="539"/>
      <c r="H15" s="539"/>
      <c r="I15" s="539"/>
      <c r="J15" s="539"/>
      <c r="K15" s="539"/>
      <c r="L15" s="540"/>
    </row>
    <row r="16" spans="1:12" x14ac:dyDescent="0.25">
      <c r="A16" s="168" t="s">
        <v>471</v>
      </c>
      <c r="B16" s="144" t="s">
        <v>45</v>
      </c>
      <c r="C16" s="144" t="s">
        <v>35</v>
      </c>
      <c r="D16" s="144" t="s">
        <v>470</v>
      </c>
      <c r="E16" s="144" t="s">
        <v>37</v>
      </c>
      <c r="F16" s="144" t="s">
        <v>48</v>
      </c>
      <c r="G16" s="141"/>
      <c r="H16" s="141"/>
      <c r="I16" s="141"/>
      <c r="J16" s="141"/>
      <c r="K16" s="141"/>
      <c r="L16" s="166" t="s">
        <v>462</v>
      </c>
    </row>
    <row r="17" spans="1:12" x14ac:dyDescent="0.25">
      <c r="A17" s="169" t="s">
        <v>474</v>
      </c>
      <c r="B17" s="144" t="s">
        <v>9</v>
      </c>
      <c r="C17" s="144" t="s">
        <v>9</v>
      </c>
      <c r="D17" s="144">
        <v>1</v>
      </c>
      <c r="E17" s="144" t="s">
        <v>9</v>
      </c>
      <c r="F17" s="144" t="s">
        <v>9</v>
      </c>
      <c r="G17" s="141"/>
      <c r="H17" s="141"/>
      <c r="I17" s="141"/>
      <c r="J17" s="141"/>
      <c r="K17" s="141"/>
      <c r="L17" s="166"/>
    </row>
    <row r="18" spans="1:12" x14ac:dyDescent="0.25">
      <c r="A18" s="170" t="s">
        <v>34</v>
      </c>
      <c r="B18" s="14">
        <f>8*0.09</f>
        <v>0.72</v>
      </c>
      <c r="C18" s="14">
        <f>0.09*37</f>
        <v>3.33</v>
      </c>
      <c r="D18" s="14">
        <f>0.09*63</f>
        <v>5.67</v>
      </c>
      <c r="E18" s="14">
        <f>0.09*109</f>
        <v>9.81</v>
      </c>
      <c r="F18" s="14">
        <f>0.09*217</f>
        <v>19.529999999999998</v>
      </c>
      <c r="G18" s="142"/>
      <c r="H18" s="142"/>
      <c r="I18" s="142"/>
      <c r="J18" s="142"/>
      <c r="K18" s="142"/>
      <c r="L18" s="167" t="s">
        <v>472</v>
      </c>
    </row>
    <row r="19" spans="1:12" x14ac:dyDescent="0.25">
      <c r="A19" s="538" t="s">
        <v>473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40"/>
    </row>
    <row r="20" spans="1:12" ht="75" x14ac:dyDescent="0.25">
      <c r="A20" s="168" t="s">
        <v>227</v>
      </c>
      <c r="B20" s="160" t="s">
        <v>496</v>
      </c>
      <c r="C20" s="160" t="s">
        <v>493</v>
      </c>
      <c r="D20" s="160" t="s">
        <v>494</v>
      </c>
      <c r="E20" s="160" t="s">
        <v>495</v>
      </c>
      <c r="F20" s="161" t="s">
        <v>488</v>
      </c>
      <c r="G20" s="161" t="s">
        <v>487</v>
      </c>
      <c r="H20" s="180" t="s">
        <v>500</v>
      </c>
      <c r="I20" s="404" t="s">
        <v>847</v>
      </c>
      <c r="J20" s="201"/>
      <c r="K20" s="201"/>
      <c r="L20" s="166" t="s">
        <v>462</v>
      </c>
    </row>
    <row r="21" spans="1:12" x14ac:dyDescent="0.25">
      <c r="A21" s="171" t="str">
        <f>Biomass_Cost!B2</f>
        <v>UCO</v>
      </c>
      <c r="B21" s="181">
        <f>Biomass_Cost!F2</f>
        <v>8.7550341446331642E-2</v>
      </c>
      <c r="C21" s="182">
        <f>Biomass_Cost!H2</f>
        <v>0.22763088776046225</v>
      </c>
      <c r="D21" s="182">
        <f>Biomass_Cost!J2</f>
        <v>0.75293293643845205</v>
      </c>
      <c r="E21" s="182">
        <f>Biomass_Cost!Q2</f>
        <v>1.068114165645246</v>
      </c>
      <c r="F21" s="182">
        <f>Biomass_Cost!Z2</f>
        <v>327066.04190011555</v>
      </c>
      <c r="G21" s="205">
        <f>Biomass_Cost!AA2</f>
        <v>2075</v>
      </c>
      <c r="H21" s="183" t="str">
        <f>Biomass_Cost!C2</f>
        <v>HEFA-Waste</v>
      </c>
      <c r="I21" s="390">
        <f>D21*$F$6/35.3</f>
        <v>1.8769999548607304E-2</v>
      </c>
      <c r="J21" s="141"/>
      <c r="K21" s="141"/>
      <c r="L21" s="172" t="str">
        <f>Biomass_Cost!R2</f>
        <v>[1]</v>
      </c>
    </row>
    <row r="22" spans="1:12" x14ac:dyDescent="0.25">
      <c r="A22" s="171" t="str">
        <f>Biomass_Cost!B3</f>
        <v>Yellow grease</v>
      </c>
      <c r="B22" s="184">
        <f>Biomass_Cost!F3</f>
        <v>0.17510068289266328</v>
      </c>
      <c r="C22" s="175">
        <f>Biomass_Cost!H3</f>
        <v>0.16634564874803009</v>
      </c>
      <c r="D22" s="175">
        <f>Biomass_Cost!J3</f>
        <v>0.50779198038872342</v>
      </c>
      <c r="E22" s="175">
        <f>Biomass_Cost!Q3</f>
        <v>0.83172824374015042</v>
      </c>
      <c r="F22" s="175">
        <f>Biomass_Cost!Z3</f>
        <v>654132.08380023192</v>
      </c>
      <c r="G22" s="206">
        <f>Biomass_Cost!AA3</f>
        <v>244</v>
      </c>
      <c r="H22" s="155" t="str">
        <f>Biomass_Cost!C3</f>
        <v>HEFA-Waste</v>
      </c>
      <c r="I22" s="390">
        <f>D22*$F$6/35.3</f>
        <v>1.2658836904874692E-2</v>
      </c>
      <c r="J22" s="141"/>
      <c r="K22" s="141"/>
      <c r="L22" s="172" t="str">
        <f>Biomass_Cost!R3</f>
        <v>[2]</v>
      </c>
    </row>
    <row r="23" spans="1:12" x14ac:dyDescent="0.25">
      <c r="A23" s="171" t="str">
        <f>Biomass_Cost!B4</f>
        <v>Tallow</v>
      </c>
      <c r="B23" s="184">
        <f>Biomass_Cost!F4</f>
        <v>0.17510068289266328</v>
      </c>
      <c r="C23" s="175">
        <f>Biomass_Cost!H4</f>
        <v>0.16634564874803009</v>
      </c>
      <c r="D23" s="175">
        <f>Biomass_Cost!J4</f>
        <v>0.63911749255822092</v>
      </c>
      <c r="E23" s="175">
        <f>Biomass_Cost!Q4</f>
        <v>0.96743127298196452</v>
      </c>
      <c r="F23" s="175">
        <f>Biomass_Cost!Z4</f>
        <v>654132.08380023192</v>
      </c>
      <c r="G23" s="206">
        <f>Biomass_Cost!AA4</f>
        <v>244</v>
      </c>
      <c r="H23" s="155" t="str">
        <f>Biomass_Cost!C4</f>
        <v>HEFA-Waste</v>
      </c>
      <c r="I23" s="390">
        <f>D23*$F$6/35.3</f>
        <v>1.5932674035445734E-2</v>
      </c>
      <c r="J23" s="141"/>
      <c r="K23" s="141"/>
      <c r="L23" s="172" t="str">
        <f>Biomass_Cost!R4</f>
        <v>[2]</v>
      </c>
    </row>
    <row r="24" spans="1:12" x14ac:dyDescent="0.25">
      <c r="A24" s="171" t="str">
        <f>Biomass_Cost!B5</f>
        <v>Soybean oil</v>
      </c>
      <c r="B24" s="184">
        <f>Biomass_Cost!F5</f>
        <v>0.17510068289266328</v>
      </c>
      <c r="C24" s="175">
        <f>Biomass_Cost!H5</f>
        <v>0.16634564874803009</v>
      </c>
      <c r="D24" s="175">
        <f>Biomass_Cost!J5</f>
        <v>0.74417790229381886</v>
      </c>
      <c r="E24" s="175">
        <f>Biomass_Cost!Q5</f>
        <v>1.0812467168621958</v>
      </c>
      <c r="F24" s="175">
        <f>Biomass_Cost!Z5</f>
        <v>654132.08380023192</v>
      </c>
      <c r="G24" s="206">
        <f>Biomass_Cost!AA5</f>
        <v>244</v>
      </c>
      <c r="H24" s="155" t="str">
        <f>Biomass_Cost!C5</f>
        <v>HEFA-Energy</v>
      </c>
      <c r="I24" s="390">
        <f>D24*($F$6*$B$6)/35.3</f>
        <v>1.2244150868335696E-2</v>
      </c>
      <c r="J24" s="141"/>
      <c r="K24" s="141"/>
      <c r="L24" s="172" t="str">
        <f>Biomass_Cost!R5</f>
        <v>[2]</v>
      </c>
    </row>
    <row r="25" spans="1:12" x14ac:dyDescent="0.25">
      <c r="A25" s="171" t="str">
        <f>Biomass_Cost!B6</f>
        <v>Jatropha oil</v>
      </c>
      <c r="B25" s="184">
        <f>Biomass_Cost!F6</f>
        <v>7.8795307301698467E-2</v>
      </c>
      <c r="C25" s="175">
        <f>Biomass_Cost!H6</f>
        <v>0.1225704780248643</v>
      </c>
      <c r="D25" s="175">
        <f>Biomass_Cost!J6</f>
        <v>1.8122920679390646</v>
      </c>
      <c r="E25" s="175">
        <f>Biomass_Cost!Q6</f>
        <v>1.5846611801786026</v>
      </c>
      <c r="F25" s="175">
        <f>Biomass_Cost!Z6</f>
        <v>294359.43771010416</v>
      </c>
      <c r="G25" s="206">
        <f>Biomass_Cost!AA6</f>
        <v>2560</v>
      </c>
      <c r="H25" s="155" t="str">
        <f>Biomass_Cost!C6</f>
        <v>HEFA-Energy</v>
      </c>
      <c r="I25" s="390">
        <f t="shared" ref="I25:I26" si="0">D25*($F$6*$B$6)/35.3</f>
        <v>2.9818108585241043E-2</v>
      </c>
      <c r="J25" s="141"/>
      <c r="K25" s="141"/>
      <c r="L25" s="172" t="str">
        <f>Biomass_Cost!R6</f>
        <v>[3]</v>
      </c>
    </row>
    <row r="26" spans="1:12" x14ac:dyDescent="0.25">
      <c r="A26" s="171" t="str">
        <f>Biomass_Cost!B7</f>
        <v>Palm oil</v>
      </c>
      <c r="B26" s="184">
        <f>Biomass_Cost!F7</f>
        <v>7.0040273157065305E-2</v>
      </c>
      <c r="C26" s="175">
        <f>Biomass_Cost!H7</f>
        <v>0.11381544388023113</v>
      </c>
      <c r="D26" s="175">
        <f>Biomass_Cost!J7</f>
        <v>0.91052355104184901</v>
      </c>
      <c r="E26" s="175">
        <f>Biomass_Cost!Q7</f>
        <v>0.70040273157065314</v>
      </c>
      <c r="F26" s="175">
        <f>Biomass_Cost!Z7</f>
        <v>261652.8335200928</v>
      </c>
      <c r="G26" s="206">
        <f>Biomass_Cost!AA7</f>
        <v>2560</v>
      </c>
      <c r="H26" s="155" t="str">
        <f>Biomass_Cost!C7</f>
        <v>HEFA-Energy</v>
      </c>
      <c r="I26" s="390">
        <f t="shared" si="0"/>
        <v>1.4981078709493088E-2</v>
      </c>
      <c r="J26" s="141"/>
      <c r="K26" s="141"/>
      <c r="L26" s="172" t="str">
        <f>Biomass_Cost!R7</f>
        <v>[3]</v>
      </c>
    </row>
    <row r="27" spans="1:12" x14ac:dyDescent="0.25">
      <c r="A27" s="171" t="str">
        <f>Biomass_Cost!B8</f>
        <v>Vegetable oil</v>
      </c>
      <c r="B27" s="184">
        <f>Biomass_Cost!F8</f>
        <v>0.28891612677289441</v>
      </c>
      <c r="C27" s="175">
        <f>Biomass_Cost!H8</f>
        <v>0.1488355804587638</v>
      </c>
      <c r="D27" s="175">
        <f>Biomass_Cost!J8</f>
        <v>1.3920504289966731</v>
      </c>
      <c r="E27" s="175">
        <f>Biomass_Cost!Q8</f>
        <v>1.558396077744703</v>
      </c>
      <c r="F27" s="175">
        <f>Biomass_Cost!Z8</f>
        <v>1079317.9382703817</v>
      </c>
      <c r="G27" s="206">
        <f>Biomass_Cost!AA8</f>
        <v>220</v>
      </c>
      <c r="H27" s="155" t="str">
        <f>Biomass_Cost!C8</f>
        <v>HEFA-Energy</v>
      </c>
      <c r="I27" s="390">
        <f>D27*($F$6*$B$6)/35.3</f>
        <v>2.2903764565475007E-2</v>
      </c>
      <c r="J27" s="141"/>
      <c r="K27" s="141"/>
      <c r="L27" s="172" t="str">
        <f>Biomass_Cost!R8</f>
        <v>[4]</v>
      </c>
    </row>
    <row r="28" spans="1:12" x14ac:dyDescent="0.25">
      <c r="A28" s="171" t="str">
        <f>Biomass_Cost!B9</f>
        <v>UCO</v>
      </c>
      <c r="B28" s="184">
        <f>Biomass_Cost!F9</f>
        <v>8.7550341446331642E-2</v>
      </c>
      <c r="C28" s="175">
        <f>Biomass_Cost!H9</f>
        <v>0.11381544388023113</v>
      </c>
      <c r="D28" s="175">
        <f>Biomass_Cost!J9</f>
        <v>0.48152687795482402</v>
      </c>
      <c r="E28" s="175">
        <f>Biomass_Cost!Q9</f>
        <v>0.68289266328138676</v>
      </c>
      <c r="F28" s="175">
        <f>Biomass_Cost!Z9</f>
        <v>327066.04190011555</v>
      </c>
      <c r="G28" s="206" t="s">
        <v>482</v>
      </c>
      <c r="H28" s="155" t="str">
        <f>Biomass_Cost!C9</f>
        <v>HEFA-Waste</v>
      </c>
      <c r="I28" s="390">
        <f>D28*$F$6/35.3</f>
        <v>1.2004069478760487E-2</v>
      </c>
      <c r="J28" s="141"/>
      <c r="K28" s="141"/>
      <c r="L28" s="172" t="str">
        <f>Biomass_Cost!R9</f>
        <v>[5]</v>
      </c>
    </row>
    <row r="29" spans="1:12" x14ac:dyDescent="0.25">
      <c r="A29" s="171" t="str">
        <f>Biomass_Cost!B49</f>
        <v>Soybean oil</v>
      </c>
      <c r="B29" s="184">
        <f>Biomass_Cost!F49</f>
        <v>0.33020216546632902</v>
      </c>
      <c r="C29" s="175">
        <f>Biomass_Cost!H49</f>
        <v>0.10247653411023512</v>
      </c>
      <c r="D29" s="175">
        <f>Biomass_Cost!J49</f>
        <v>0.67179061250046546</v>
      </c>
      <c r="E29" s="175">
        <f>Biomass_Cost!Q49</f>
        <v>1.1044693120770295</v>
      </c>
      <c r="F29" s="175">
        <f>Biomass_Cost!Z49</f>
        <v>276426.90888362238</v>
      </c>
      <c r="G29" s="206">
        <f>Biomass_Cost!AA49</f>
        <v>504.10958904109594</v>
      </c>
      <c r="H29" s="155" t="str">
        <f>Biomass_Cost!C49</f>
        <v>HEFA-Energy</v>
      </c>
      <c r="I29" s="390">
        <f>D29*($F$6*$B$6)/35.3</f>
        <v>1.1053144128619557E-2</v>
      </c>
      <c r="J29" s="141"/>
      <c r="K29" s="141"/>
      <c r="L29" s="172" t="str">
        <f>Biomass_Cost!R49</f>
        <v>[12]</v>
      </c>
    </row>
    <row r="30" spans="1:12" x14ac:dyDescent="0.25">
      <c r="A30" s="171" t="str">
        <f>Biomass_Cost!B50</f>
        <v>Palm oil</v>
      </c>
      <c r="B30" s="184">
        <f>Biomass_Cost!F50</f>
        <v>0.33020216546632902</v>
      </c>
      <c r="C30" s="175">
        <f>Biomass_Cost!H50</f>
        <v>0.12524909724584685</v>
      </c>
      <c r="D30" s="175">
        <f>Biomass_Cost!J50</f>
        <v>0.5693140783902253</v>
      </c>
      <c r="E30" s="175">
        <f>Biomass_Cost!Q50</f>
        <v>1.0247653411024011</v>
      </c>
      <c r="F30" s="175">
        <f>Biomass_Cost!Z50</f>
        <v>276426.90888362238</v>
      </c>
      <c r="G30" s="206">
        <f>Biomass_Cost!AA50</f>
        <v>504.10958904109594</v>
      </c>
      <c r="H30" s="155" t="str">
        <f>Biomass_Cost!C50</f>
        <v>HEFA-Energy</v>
      </c>
      <c r="I30" s="390">
        <f t="shared" ref="I30:I32" si="1">D30*($F$6*$B$6)/35.3</f>
        <v>9.3670712954403088E-3</v>
      </c>
      <c r="J30" s="141"/>
      <c r="K30" s="141"/>
      <c r="L30" s="172" t="str">
        <f>Biomass_Cost!R50</f>
        <v>[12]</v>
      </c>
    </row>
    <row r="31" spans="1:12" x14ac:dyDescent="0.25">
      <c r="A31" s="171" t="str">
        <f>Biomass_Cost!B51</f>
        <v>Palm PFAD</v>
      </c>
      <c r="B31" s="184">
        <f>Biomass_Cost!F51</f>
        <v>0.31881588389852467</v>
      </c>
      <c r="C31" s="175">
        <f>Biomass_Cost!H51</f>
        <v>0.12524909724584979</v>
      </c>
      <c r="D31" s="175">
        <f>Biomass_Cost!J51</f>
        <v>0.53515523368681139</v>
      </c>
      <c r="E31" s="175">
        <f>Biomass_Cost!Q51</f>
        <v>0.97922021483118582</v>
      </c>
      <c r="F31" s="175">
        <f>Biomass_Cost!Z51</f>
        <v>276426.90888362238</v>
      </c>
      <c r="G31" s="206">
        <f>Biomass_Cost!AA51</f>
        <v>504.10958904109594</v>
      </c>
      <c r="H31" s="155" t="str">
        <f>Biomass_Cost!C51</f>
        <v>HEFA-Energy</v>
      </c>
      <c r="I31" s="390">
        <f t="shared" si="1"/>
        <v>8.8050470177138823E-3</v>
      </c>
      <c r="J31" s="141"/>
      <c r="K31" s="141"/>
      <c r="L31" s="172" t="str">
        <f>Biomass_Cost!R51</f>
        <v>[12]</v>
      </c>
    </row>
    <row r="32" spans="1:12" x14ac:dyDescent="0.25">
      <c r="A32" s="171" t="str">
        <f>Biomass_Cost!B52</f>
        <v>UCO</v>
      </c>
      <c r="B32" s="184">
        <f>Biomass_Cost!F52</f>
        <v>0.33020216546632902</v>
      </c>
      <c r="C32" s="175">
        <f>Biomass_Cost!H52</f>
        <v>9.1090252542435843E-2</v>
      </c>
      <c r="D32" s="175">
        <f>Biomass_Cost!J52</f>
        <v>0.46683754427998414</v>
      </c>
      <c r="E32" s="175">
        <f>Biomass_Cost!Q52</f>
        <v>0.88812996228874896</v>
      </c>
      <c r="F32" s="175">
        <f>Biomass_Cost!Z52</f>
        <v>276426.90888362238</v>
      </c>
      <c r="G32" s="206">
        <f>Biomass_Cost!AA52</f>
        <v>504.10958904109594</v>
      </c>
      <c r="H32" s="155" t="str">
        <f>Biomass_Cost!C52</f>
        <v>HEFA-Waste</v>
      </c>
      <c r="I32" s="390">
        <f t="shared" si="1"/>
        <v>7.6809984622610425E-3</v>
      </c>
      <c r="J32" s="141"/>
      <c r="K32" s="141"/>
      <c r="L32" s="172" t="str">
        <f>Biomass_Cost!R52</f>
        <v>[12]</v>
      </c>
    </row>
    <row r="33" spans="1:12" x14ac:dyDescent="0.25">
      <c r="A33" s="171" t="str">
        <f>Biomass_Cost!B77</f>
        <v>Soybean oil</v>
      </c>
      <c r="B33" s="184" t="s">
        <v>482</v>
      </c>
      <c r="C33" s="184" t="s">
        <v>482</v>
      </c>
      <c r="D33" s="184" t="s">
        <v>482</v>
      </c>
      <c r="E33" s="175">
        <f>Biomass_Cost!Q77</f>
        <v>0.87479411913451033</v>
      </c>
      <c r="F33" s="175">
        <f>Biomass_Cost!Z77</f>
        <v>253578.97642851429</v>
      </c>
      <c r="G33" s="206">
        <f>Biomass_Cost!AA77</f>
        <v>768.07345587287682</v>
      </c>
      <c r="H33" s="155" t="str">
        <f>Biomass_Cost!C77</f>
        <v>HEFA-Energy</v>
      </c>
      <c r="I33" s="390" t="s">
        <v>482</v>
      </c>
      <c r="J33" s="141"/>
      <c r="K33" s="141"/>
      <c r="L33" s="172" t="str">
        <f>Biomass_Cost!R77</f>
        <v>[23]</v>
      </c>
    </row>
    <row r="34" spans="1:12" x14ac:dyDescent="0.25">
      <c r="A34" s="171" t="str">
        <f>Biomass_Cost!B78</f>
        <v>Pongamia Seeds</v>
      </c>
      <c r="B34" s="184" t="s">
        <v>482</v>
      </c>
      <c r="C34" s="184" t="s">
        <v>482</v>
      </c>
      <c r="D34" s="184" t="s">
        <v>482</v>
      </c>
      <c r="E34" s="175">
        <f>Biomass_Cost!Q78</f>
        <v>3.5458371904651709</v>
      </c>
      <c r="F34" s="175">
        <f>Biomass_Cost!Z78</f>
        <v>1346332.5678287037</v>
      </c>
      <c r="G34" s="206">
        <f>Biomass_Cost!AA78</f>
        <v>216.90000000000003</v>
      </c>
      <c r="H34" s="155" t="str">
        <f>Biomass_Cost!C78</f>
        <v>HEFA-Energy</v>
      </c>
      <c r="I34" s="390" t="s">
        <v>482</v>
      </c>
      <c r="J34" s="141"/>
      <c r="K34" s="141"/>
      <c r="L34" s="172" t="str">
        <f>Biomass_Cost!R78</f>
        <v>[24]</v>
      </c>
    </row>
    <row r="35" spans="1:12" x14ac:dyDescent="0.25">
      <c r="A35" s="171" t="str">
        <f>Biomass_Cost!B79</f>
        <v>Palm, Rapeseed oil, waste fat</v>
      </c>
      <c r="B35" s="184" t="s">
        <v>482</v>
      </c>
      <c r="C35" s="184" t="s">
        <v>482</v>
      </c>
      <c r="D35" s="184" t="s">
        <v>482</v>
      </c>
      <c r="E35" s="175" t="str">
        <f>Biomass_Cost!Q79</f>
        <v>N/A</v>
      </c>
      <c r="F35" s="175">
        <f>Biomass_Cost!Z79</f>
        <v>340436.37269295304</v>
      </c>
      <c r="G35" s="206">
        <f>Biomass_Cost!AA79</f>
        <v>2191.7808219178082</v>
      </c>
      <c r="H35" s="155" t="str">
        <f>Biomass_Cost!C79</f>
        <v>HEFA-Energy</v>
      </c>
      <c r="I35" s="390" t="s">
        <v>482</v>
      </c>
      <c r="J35" s="141"/>
      <c r="K35" s="141"/>
      <c r="L35" s="172" t="str">
        <f>Biomass_Cost!R79</f>
        <v>[25]</v>
      </c>
    </row>
    <row r="36" spans="1:12" x14ac:dyDescent="0.25">
      <c r="A36" s="171" t="str">
        <f>Biomass_Cost!B80</f>
        <v>Palm, Rapeseed oil, waste fat</v>
      </c>
      <c r="B36" s="184" t="s">
        <v>482</v>
      </c>
      <c r="C36" s="184" t="s">
        <v>482</v>
      </c>
      <c r="D36" s="184" t="s">
        <v>482</v>
      </c>
      <c r="E36" s="175" t="str">
        <f>Biomass_Cost!Q80</f>
        <v>N/A</v>
      </c>
      <c r="F36" s="175">
        <f>Biomass_Cost!Z80</f>
        <v>290753.93285760621</v>
      </c>
      <c r="G36" s="206">
        <f>Biomass_Cost!AA80</f>
        <v>2172.0350487473775</v>
      </c>
      <c r="H36" s="155" t="str">
        <f>Biomass_Cost!C80</f>
        <v>HEFA-Energy</v>
      </c>
      <c r="I36" s="390" t="s">
        <v>482</v>
      </c>
      <c r="J36" s="141"/>
      <c r="K36" s="141"/>
      <c r="L36" s="172" t="str">
        <f>Biomass_Cost!R80</f>
        <v>[25]</v>
      </c>
    </row>
    <row r="37" spans="1:12" ht="30" x14ac:dyDescent="0.25">
      <c r="A37" s="177" t="str">
        <f>Biomass_Cost!B81</f>
        <v>Animal fats, used cooking oil and vegetable oils</v>
      </c>
      <c r="B37" s="184" t="s">
        <v>482</v>
      </c>
      <c r="C37" s="184" t="s">
        <v>482</v>
      </c>
      <c r="D37" s="184" t="s">
        <v>482</v>
      </c>
      <c r="E37" s="178" t="str">
        <f>Biomass_Cost!Q81</f>
        <v>N/A</v>
      </c>
      <c r="F37" s="178">
        <f>Biomass_Cost!Z81</f>
        <v>214926.37699606572</v>
      </c>
      <c r="G37" s="207">
        <f>Biomass_Cost!AA81</f>
        <v>1369.8630136986301</v>
      </c>
      <c r="H37" s="156" t="str">
        <f>Biomass_Cost!C81</f>
        <v>HEFA-Waste</v>
      </c>
      <c r="I37" s="399" t="s">
        <v>482</v>
      </c>
      <c r="J37" s="142"/>
      <c r="K37" s="142"/>
      <c r="L37" s="179" t="str">
        <f>Biomass_Cost!R81</f>
        <v>[26]</v>
      </c>
    </row>
    <row r="38" spans="1:12" x14ac:dyDescent="0.25">
      <c r="A38" s="536" t="s">
        <v>501</v>
      </c>
      <c r="B38" s="528"/>
      <c r="C38" s="528"/>
      <c r="D38" s="529"/>
      <c r="E38" s="444" t="s">
        <v>502</v>
      </c>
      <c r="F38" s="445"/>
      <c r="G38" s="537"/>
      <c r="H38" s="141"/>
      <c r="I38" s="141"/>
      <c r="J38" s="141"/>
      <c r="K38" s="141"/>
      <c r="L38" s="222"/>
    </row>
    <row r="39" spans="1:12" ht="30" x14ac:dyDescent="0.25">
      <c r="A39" s="223" t="s">
        <v>227</v>
      </c>
      <c r="B39" s="196" t="s">
        <v>492</v>
      </c>
      <c r="C39" s="196" t="s">
        <v>497</v>
      </c>
      <c r="D39" s="197" t="s">
        <v>498</v>
      </c>
      <c r="E39" s="198" t="s">
        <v>503</v>
      </c>
      <c r="F39" s="199" t="s">
        <v>504</v>
      </c>
      <c r="G39" s="200" t="s">
        <v>505</v>
      </c>
      <c r="H39" s="141"/>
      <c r="I39" s="141"/>
      <c r="J39" s="141"/>
      <c r="K39" s="141"/>
      <c r="L39" s="222"/>
    </row>
    <row r="40" spans="1:12" x14ac:dyDescent="0.25">
      <c r="A40" s="377" t="s">
        <v>8</v>
      </c>
      <c r="B40" s="182">
        <f>_xlfn.QUARTILE.EXC($E21:$E37,1)</f>
        <v>0.86402765028592032</v>
      </c>
      <c r="C40" s="182">
        <f>_xlfn.QUARTILE.EXC($E21:$E37,2)</f>
        <v>1.0019927779667934</v>
      </c>
      <c r="D40" s="182">
        <f>_xlfn.QUARTILE.EXC($E21:$E37,3)</f>
        <v>1.2179510034939478</v>
      </c>
      <c r="E40" s="181">
        <f>_xlfn.QUARTILE.EXC($F21:$F37,1)</f>
        <v>276426.90888362238</v>
      </c>
      <c r="F40" s="182">
        <f>_xlfn.QUARTILE.EXC($F21:$F37,2)</f>
        <v>294359.43771010416</v>
      </c>
      <c r="G40" s="217">
        <f>_xlfn.QUARTILE.EXC($F21:$F37,3)</f>
        <v>654132.08380023192</v>
      </c>
      <c r="H40" s="486" t="s">
        <v>844</v>
      </c>
      <c r="I40" s="487"/>
      <c r="J40" s="141"/>
      <c r="K40" s="141"/>
      <c r="L40" s="222"/>
    </row>
    <row r="41" spans="1:12" x14ac:dyDescent="0.25">
      <c r="A41" s="186" t="s">
        <v>796</v>
      </c>
      <c r="B41" s="175">
        <f>_xlfn.QUARTILE.EXC(($E24:$E27,$E29:$E31,$E33:E36),1)</f>
        <v>0.92700716698284813</v>
      </c>
      <c r="C41" s="175">
        <f>_xlfn.QUARTILE.EXC(($E24:$E27,$E29:$E31,$E33:E36),2)</f>
        <v>1.0812467168621958</v>
      </c>
      <c r="D41" s="175">
        <f>_xlfn.QUARTILE.EXC(($E24:$E27,$E29:$E31,$E33:$E36),3)</f>
        <v>1.5715286289616528</v>
      </c>
      <c r="E41" s="184">
        <f>_xlfn.QUARTILE.EXC(($F24:$F27,$F29:$F31,$F33:$F36),1)</f>
        <v>276426.90888362238</v>
      </c>
      <c r="F41" s="175">
        <f>_xlfn.QUARTILE.EXC(($F24:$F27,$F29:$F31,$F33:$F36),2)</f>
        <v>290753.93285760621</v>
      </c>
      <c r="G41" s="187">
        <f>_xlfn.QUARTILE.EXC(($F24:$F27,$F29:$F31,$F33:$F36),3)</f>
        <v>654132.08380023192</v>
      </c>
      <c r="H41" s="541"/>
      <c r="I41" s="542"/>
      <c r="J41" s="141"/>
      <c r="K41" s="141"/>
      <c r="L41" s="222"/>
    </row>
    <row r="42" spans="1:12" x14ac:dyDescent="0.25">
      <c r="A42" s="189" t="s">
        <v>532</v>
      </c>
      <c r="B42" s="178">
        <f>_xlfn.QUARTILE.EXC(($E21:$E23,$E28,$E37,$E32),1)</f>
        <v>0.75731045351076864</v>
      </c>
      <c r="C42" s="178">
        <f>_xlfn.QUARTILE.EXC(($E21:$E23,$E28,$E37,$E32),2)</f>
        <v>0.88812996228874896</v>
      </c>
      <c r="D42" s="178">
        <f>_xlfn.QUARTILE.EXC(($E21:$E23,$E28,$E37,$E32),3)</f>
        <v>1.0177727193136052</v>
      </c>
      <c r="E42" s="185">
        <f>_xlfn.QUARTILE.EXC(($F21:$F23,$F28,$F37,$F32),1)</f>
        <v>261051.77591173322</v>
      </c>
      <c r="F42" s="178">
        <f>_xlfn.QUARTILE.EXC(($F21:$F23,$F28,$F37,$F32),2)</f>
        <v>327066.04190011555</v>
      </c>
      <c r="G42" s="378">
        <f>_xlfn.QUARTILE.EXC(($F21:$F23,$F28,$F37,$F32),3)</f>
        <v>654132.08380023192</v>
      </c>
      <c r="H42" s="488"/>
      <c r="I42" s="489"/>
      <c r="J42" s="141"/>
      <c r="K42" s="141"/>
      <c r="L42" s="222"/>
    </row>
    <row r="43" spans="1:12" x14ac:dyDescent="0.25">
      <c r="A43" s="527" t="s">
        <v>841</v>
      </c>
      <c r="B43" s="528"/>
      <c r="C43" s="528"/>
      <c r="D43" s="529"/>
      <c r="E43" s="396"/>
      <c r="F43" s="397"/>
      <c r="G43" s="398"/>
      <c r="H43" s="141"/>
      <c r="I43" s="141"/>
      <c r="J43" s="141"/>
      <c r="K43" s="141"/>
      <c r="L43" s="222"/>
    </row>
    <row r="44" spans="1:12" x14ac:dyDescent="0.25">
      <c r="A44" s="377" t="s">
        <v>8</v>
      </c>
      <c r="B44" s="182">
        <f>_xlfn.QUARTILE.EXC($C21:$C37,1)</f>
        <v>0.11381544388023113</v>
      </c>
      <c r="C44" s="182">
        <f>_xlfn.QUARTILE.EXC($C21:$C37,2)</f>
        <v>0.12524909724584832</v>
      </c>
      <c r="D44" s="217">
        <f>_xlfn.QUARTILE.EXC($C21:$C37,3)</f>
        <v>0.16634564874803009</v>
      </c>
      <c r="E44" s="480" t="s">
        <v>842</v>
      </c>
      <c r="F44" s="481"/>
      <c r="G44" s="482"/>
      <c r="H44" s="141"/>
      <c r="I44" s="141"/>
      <c r="J44" s="141"/>
      <c r="K44" s="141"/>
      <c r="L44" s="222"/>
    </row>
    <row r="45" spans="1:12" x14ac:dyDescent="0.25">
      <c r="A45" s="186" t="s">
        <v>796</v>
      </c>
      <c r="B45" s="175">
        <f>_xlfn.QUARTILE.EXC(($C24:$C27,$C29:$C31,$C33:C36),1)</f>
        <v>0.11381544388023113</v>
      </c>
      <c r="C45" s="175">
        <f>_xlfn.QUARTILE.EXC(($C24:$C27,$C29:$C31,$C33:C36),2)</f>
        <v>0.12524909724584685</v>
      </c>
      <c r="D45" s="187">
        <f>_xlfn.QUARTILE.EXC(($C24:$C27,$C29:$C31,$C33:$C36),3)</f>
        <v>0.1488355804587638</v>
      </c>
      <c r="E45" s="530"/>
      <c r="F45" s="531"/>
      <c r="G45" s="532"/>
      <c r="H45" s="141"/>
      <c r="I45" s="141"/>
      <c r="J45" s="141"/>
      <c r="K45" s="141"/>
      <c r="L45" s="222"/>
    </row>
    <row r="46" spans="1:12" x14ac:dyDescent="0.25">
      <c r="A46" s="189" t="s">
        <v>532</v>
      </c>
      <c r="B46" s="178">
        <f>_xlfn.QUARTILE.EXC(($C21:$C23,$C28,$C32,$C37),1)</f>
        <v>0.10245284821133349</v>
      </c>
      <c r="C46" s="178">
        <f>_xlfn.QUARTILE.EXC(($C21:$C23,$C28,$C32,$C37),2)</f>
        <v>0.16634564874803009</v>
      </c>
      <c r="D46" s="378">
        <f>_xlfn.QUARTILE.EXC(($C21:$C23,$C28,$C32,$C37),3)</f>
        <v>0.19698826825424617</v>
      </c>
      <c r="E46" s="483"/>
      <c r="F46" s="484"/>
      <c r="G46" s="485"/>
      <c r="H46" s="141"/>
      <c r="I46" s="141"/>
      <c r="J46" s="141"/>
      <c r="K46" s="141"/>
      <c r="L46" s="222"/>
    </row>
    <row r="47" spans="1:12" x14ac:dyDescent="0.25">
      <c r="A47" s="477" t="s">
        <v>848</v>
      </c>
      <c r="B47" s="478"/>
      <c r="C47" s="478"/>
      <c r="D47" s="479"/>
      <c r="E47" s="395"/>
      <c r="F47" s="387"/>
      <c r="G47" s="388"/>
      <c r="H47" s="141"/>
      <c r="I47" s="141"/>
      <c r="J47" s="141"/>
      <c r="K47" s="141"/>
      <c r="L47" s="222"/>
    </row>
    <row r="48" spans="1:12" x14ac:dyDescent="0.25">
      <c r="A48" s="186" t="s">
        <v>8</v>
      </c>
      <c r="B48" s="391">
        <f>_xlfn.QUARTILE.EXC($I21:$I37,1)</f>
        <v>9.7885895037351199E-3</v>
      </c>
      <c r="C48" s="391">
        <f>_xlfn.QUARTILE.EXC($I21:$I37,2)</f>
        <v>1.2451493886605193E-2</v>
      </c>
      <c r="D48" s="392">
        <f>_xlfn.QUARTILE.EXC($I21:$I37,3)</f>
        <v>1.8060668170316912E-2</v>
      </c>
      <c r="E48" s="480" t="s">
        <v>843</v>
      </c>
      <c r="F48" s="481"/>
      <c r="G48" s="482"/>
      <c r="H48" s="141"/>
      <c r="I48" s="141"/>
      <c r="J48" s="141"/>
      <c r="K48" s="141"/>
      <c r="L48" s="222"/>
    </row>
    <row r="49" spans="1:14" x14ac:dyDescent="0.25">
      <c r="A49" s="186" t="s">
        <v>796</v>
      </c>
      <c r="B49" s="391">
        <f>_xlfn.QUARTILE.EXC(($I24:$I27,$I29:$I31,$I33:$I36),1)</f>
        <v>9.3670712954403088E-3</v>
      </c>
      <c r="C49" s="391">
        <f>_xlfn.QUARTILE.EXC(($I24:$I27,$I29:$I31,$I33:$I36),2)</f>
        <v>1.2244150868335696E-2</v>
      </c>
      <c r="D49" s="392">
        <f>_xlfn.QUARTILE.EXC(($I24:$I27,$I29:$I31,$I33:$I36),3)</f>
        <v>2.2903764565475007E-2</v>
      </c>
      <c r="E49" s="530"/>
      <c r="F49" s="531"/>
      <c r="G49" s="532"/>
      <c r="H49" s="141"/>
      <c r="I49" s="141"/>
      <c r="J49" s="141"/>
      <c r="K49" s="141"/>
      <c r="L49" s="222"/>
    </row>
    <row r="50" spans="1:14" ht="46.15" customHeight="1" x14ac:dyDescent="0.25">
      <c r="A50" s="189" t="s">
        <v>532</v>
      </c>
      <c r="B50" s="393">
        <f>_xlfn.QUARTILE.EXC(($I21:$I23,$I28,$I32,$I37),1)</f>
        <v>9.8425339705107643E-3</v>
      </c>
      <c r="C50" s="393">
        <f>_xlfn.QUARTILE.EXC(($I21:$I23,$I28,$I32,$I37),2)</f>
        <v>1.2658836904874692E-2</v>
      </c>
      <c r="D50" s="394">
        <f>_xlfn.QUARTILE.EXC(($I21:$I23,$I28,$I32,$I37),3)</f>
        <v>1.7351336792026519E-2</v>
      </c>
      <c r="E50" s="483"/>
      <c r="F50" s="484"/>
      <c r="G50" s="485"/>
      <c r="H50" s="141"/>
      <c r="I50" s="141"/>
      <c r="J50" s="141"/>
      <c r="K50" s="141"/>
      <c r="L50" s="222"/>
    </row>
    <row r="51" spans="1:14" x14ac:dyDescent="0.25">
      <c r="A51" s="533" t="s">
        <v>491</v>
      </c>
      <c r="B51" s="534"/>
      <c r="C51" s="534"/>
      <c r="D51" s="534"/>
      <c r="E51" s="534"/>
      <c r="F51" s="534"/>
      <c r="G51" s="534"/>
      <c r="H51" s="534"/>
      <c r="I51" s="534"/>
      <c r="J51" s="534"/>
      <c r="K51" s="534"/>
      <c r="L51" s="535"/>
    </row>
    <row r="52" spans="1:14" x14ac:dyDescent="0.25">
      <c r="A52" s="225" t="s">
        <v>530</v>
      </c>
      <c r="B52" s="217">
        <f>11/1000*35.3</f>
        <v>0.38829999999999992</v>
      </c>
      <c r="C52" s="201"/>
      <c r="D52" s="201"/>
      <c r="E52" s="201"/>
      <c r="F52" s="201"/>
      <c r="G52" s="201"/>
      <c r="H52" s="201"/>
      <c r="I52" s="201"/>
      <c r="J52" s="201"/>
      <c r="K52" s="201"/>
      <c r="L52" s="231"/>
    </row>
    <row r="53" spans="1:14" x14ac:dyDescent="0.25">
      <c r="A53" s="525" t="s">
        <v>531</v>
      </c>
      <c r="B53" s="526"/>
      <c r="C53" s="141"/>
      <c r="D53" s="141"/>
      <c r="E53" s="141"/>
      <c r="F53" s="141"/>
      <c r="G53" s="141"/>
      <c r="H53" s="141"/>
      <c r="I53" s="141"/>
      <c r="J53" s="141"/>
      <c r="K53" s="141"/>
      <c r="L53" s="222"/>
    </row>
    <row r="54" spans="1:14" x14ac:dyDescent="0.25">
      <c r="A54" s="226"/>
      <c r="B54" s="154"/>
      <c r="C54" s="527" t="s">
        <v>810</v>
      </c>
      <c r="D54" s="528"/>
      <c r="E54" s="529"/>
      <c r="F54" s="444" t="s">
        <v>605</v>
      </c>
      <c r="G54" s="446"/>
      <c r="H54" s="235"/>
      <c r="I54" s="141"/>
      <c r="J54" s="141"/>
      <c r="K54" s="141"/>
      <c r="L54" s="222"/>
    </row>
    <row r="55" spans="1:14" ht="30" x14ac:dyDescent="0.25">
      <c r="A55" s="536" t="s">
        <v>251</v>
      </c>
      <c r="B55" s="528"/>
      <c r="C55" s="290" t="s">
        <v>533</v>
      </c>
      <c r="D55" s="176" t="s">
        <v>796</v>
      </c>
      <c r="E55" s="291" t="s">
        <v>534</v>
      </c>
      <c r="F55" s="292" t="s">
        <v>604</v>
      </c>
      <c r="G55" s="213" t="s">
        <v>796</v>
      </c>
      <c r="H55" s="256"/>
      <c r="I55" s="141"/>
      <c r="J55" s="141"/>
      <c r="K55" s="141"/>
      <c r="L55" s="222"/>
    </row>
    <row r="56" spans="1:14" x14ac:dyDescent="0.25">
      <c r="A56" s="227" t="s">
        <v>523</v>
      </c>
      <c r="B56" s="210" t="s">
        <v>506</v>
      </c>
      <c r="C56" s="138" t="s">
        <v>482</v>
      </c>
      <c r="D56" s="208">
        <f>1/(G11-I$10)*1000000*(D41-B$52)</f>
        <v>-3019.7499654484136</v>
      </c>
      <c r="E56" s="155" t="s">
        <v>535</v>
      </c>
      <c r="F56" s="257" t="s">
        <v>482</v>
      </c>
      <c r="G56" s="263">
        <f>(C11-E10)*1000000*B14*K69</f>
        <v>-20086298.044938833</v>
      </c>
      <c r="H56" s="141"/>
      <c r="I56" s="141"/>
      <c r="J56" s="141"/>
      <c r="K56" s="141"/>
      <c r="L56" s="222"/>
    </row>
    <row r="57" spans="1:14" x14ac:dyDescent="0.25">
      <c r="A57" s="169" t="s">
        <v>524</v>
      </c>
      <c r="B57" s="147" t="s">
        <v>525</v>
      </c>
      <c r="C57" s="209">
        <f>1/(G11-H9)*1000000*(D42-B52)</f>
        <v>269.77440795498512</v>
      </c>
      <c r="D57" s="209">
        <f>1/(G11-H$10)*1000000*(D41-B$52)</f>
        <v>1205.7275041898356</v>
      </c>
      <c r="E57" s="155" t="s">
        <v>535</v>
      </c>
      <c r="F57" s="262">
        <f>(C11-D9)*1000000*B14*K71</f>
        <v>31963283.648498319</v>
      </c>
      <c r="G57" s="263">
        <f>(C11-D10)*1000000*B14*K69</f>
        <v>50306223.932369284</v>
      </c>
      <c r="H57" s="141"/>
      <c r="I57" s="141"/>
      <c r="J57" s="141"/>
      <c r="K57" s="141"/>
      <c r="L57" s="222"/>
    </row>
    <row r="58" spans="1:14" x14ac:dyDescent="0.25">
      <c r="A58" s="169" t="s">
        <v>509</v>
      </c>
      <c r="B58" s="147" t="s">
        <v>508</v>
      </c>
      <c r="C58" s="138" t="s">
        <v>482</v>
      </c>
      <c r="D58" s="209">
        <f>1/(G11-G$10)*1000000*(D41-B$52)</f>
        <v>692.54596315036008</v>
      </c>
      <c r="E58" s="155" t="s">
        <v>535</v>
      </c>
      <c r="F58" s="257" t="s">
        <v>482</v>
      </c>
      <c r="G58" s="263">
        <f>(C11-C10)*1000000*B14*K69</f>
        <v>87583497.781535029</v>
      </c>
      <c r="H58" s="141"/>
      <c r="I58" s="141"/>
      <c r="J58" s="141"/>
      <c r="K58" s="141"/>
      <c r="L58" s="222"/>
    </row>
    <row r="59" spans="1:14" x14ac:dyDescent="0.25">
      <c r="A59" s="169" t="s">
        <v>510</v>
      </c>
      <c r="B59" s="147" t="s">
        <v>518</v>
      </c>
      <c r="C59" s="138" t="s">
        <v>482</v>
      </c>
      <c r="D59" s="208">
        <f>1/(G11-I$10)*1000000*(C$41-B$52)</f>
        <v>-1768.4881628823605</v>
      </c>
      <c r="E59" s="155" t="s">
        <v>535</v>
      </c>
      <c r="F59" s="257" t="s">
        <v>482</v>
      </c>
      <c r="G59" s="263">
        <f>(C11-E10)*1000000*B14*K69</f>
        <v>-20086298.044938833</v>
      </c>
      <c r="H59" s="141"/>
      <c r="I59" s="141"/>
      <c r="J59" s="141"/>
      <c r="K59" s="141"/>
      <c r="L59" s="222"/>
    </row>
    <row r="60" spans="1:14" x14ac:dyDescent="0.25">
      <c r="A60" s="169" t="s">
        <v>516</v>
      </c>
      <c r="B60" s="147" t="s">
        <v>521</v>
      </c>
      <c r="C60" s="209">
        <f>1/(G11-H9)*1000000*(C42-B52)</f>
        <v>214.21314699967391</v>
      </c>
      <c r="D60" s="209">
        <f>1/(G11-H$10)*1000000*(C$41-B$52)</f>
        <v>706.12297151058362</v>
      </c>
      <c r="E60" s="155" t="s">
        <v>535</v>
      </c>
      <c r="F60" s="262">
        <f>(C11-D9)*1000000*B14*K71</f>
        <v>31963283.648498319</v>
      </c>
      <c r="G60" s="263">
        <f>(C11-D10)*1000000*B14*K69</f>
        <v>50306223.932369284</v>
      </c>
      <c r="H60" s="141"/>
      <c r="I60" s="141"/>
      <c r="J60" s="141"/>
      <c r="K60" s="141"/>
      <c r="L60" s="222"/>
    </row>
    <row r="61" spans="1:14" x14ac:dyDescent="0.25">
      <c r="A61" s="169" t="s">
        <v>517</v>
      </c>
      <c r="B61" s="147" t="s">
        <v>519</v>
      </c>
      <c r="C61" s="138" t="s">
        <v>482</v>
      </c>
      <c r="D61" s="209">
        <f>1/(G11-G$10)*1000000*(C$41-B$52)</f>
        <v>405.58302909078969</v>
      </c>
      <c r="E61" s="155" t="s">
        <v>535</v>
      </c>
      <c r="F61" s="257" t="s">
        <v>482</v>
      </c>
      <c r="G61" s="263">
        <f>(C11-C10)*1000000*B14*K69</f>
        <v>87583497.781535029</v>
      </c>
      <c r="H61" s="141"/>
      <c r="I61" s="141"/>
      <c r="J61" s="141"/>
      <c r="K61" s="141"/>
      <c r="L61" s="222"/>
    </row>
    <row r="62" spans="1:14" x14ac:dyDescent="0.25">
      <c r="A62" s="169" t="s">
        <v>520</v>
      </c>
      <c r="B62" s="147" t="s">
        <v>507</v>
      </c>
      <c r="C62" s="138" t="s">
        <v>482</v>
      </c>
      <c r="D62" s="208">
        <f>1/(G$11-I$10)*1000000*(B$41-B$52)</f>
        <v>-1374.8492126249848</v>
      </c>
      <c r="E62" s="155" t="s">
        <v>535</v>
      </c>
      <c r="F62" s="257" t="s">
        <v>482</v>
      </c>
      <c r="G62" s="263">
        <f>(C11-E10)*1000000*B14*K69</f>
        <v>-20086298.044938833</v>
      </c>
      <c r="H62" s="141"/>
      <c r="I62" s="141"/>
      <c r="J62" s="141"/>
      <c r="K62" s="141"/>
      <c r="L62" s="222"/>
    </row>
    <row r="63" spans="1:14" x14ac:dyDescent="0.25">
      <c r="A63" s="169" t="s">
        <v>527</v>
      </c>
      <c r="B63" s="147" t="s">
        <v>528</v>
      </c>
      <c r="C63" s="209">
        <f>1/(G11-H9)*1000000*(B42-B52)</f>
        <v>158.14756314399111</v>
      </c>
      <c r="D63" s="209">
        <f>1/(G$11-H$10)*1000000*(B$41-B$52)</f>
        <v>548.95058489702694</v>
      </c>
      <c r="E63" s="155" t="s">
        <v>535</v>
      </c>
      <c r="F63" s="261">
        <f>(C11-D9)*1000000*B14*K71</f>
        <v>31963283.648498319</v>
      </c>
      <c r="G63" s="263">
        <f>(C11-D10)*1000000*B14*K69</f>
        <v>50306223.932369284</v>
      </c>
      <c r="H63" s="141"/>
      <c r="I63" s="141"/>
      <c r="J63" s="141"/>
      <c r="K63" s="141"/>
      <c r="L63" s="222"/>
    </row>
    <row r="64" spans="1:14" x14ac:dyDescent="0.25">
      <c r="A64" s="228" t="s">
        <v>526</v>
      </c>
      <c r="B64" s="229" t="s">
        <v>522</v>
      </c>
      <c r="C64" s="173" t="s">
        <v>482</v>
      </c>
      <c r="D64" s="230">
        <f>1/(G$11-G$10)*1000000*(B$41-B$52)</f>
        <v>315.30632768878814</v>
      </c>
      <c r="E64" s="174" t="s">
        <v>535</v>
      </c>
      <c r="F64" s="264" t="s">
        <v>482</v>
      </c>
      <c r="G64" s="265">
        <f>(C11-C10)*1000000*B14*K69</f>
        <v>87583497.781535029</v>
      </c>
      <c r="H64" s="233"/>
      <c r="I64" s="233"/>
      <c r="J64" s="233"/>
      <c r="K64" s="233"/>
      <c r="L64" s="234"/>
      <c r="M64" s="2"/>
      <c r="N64" s="132"/>
    </row>
    <row r="65" spans="1:14" ht="15.75" thickBot="1" x14ac:dyDescent="0.3">
      <c r="E65" s="2" t="s">
        <v>597</v>
      </c>
      <c r="M65" s="132"/>
      <c r="N65" s="132"/>
    </row>
    <row r="66" spans="1:14" x14ac:dyDescent="0.25">
      <c r="A66" t="s">
        <v>515</v>
      </c>
      <c r="E66" s="132"/>
      <c r="H66" s="270"/>
      <c r="I66" s="271"/>
      <c r="J66" s="272" t="s">
        <v>601</v>
      </c>
      <c r="K66" s="273"/>
      <c r="L66" s="274"/>
    </row>
    <row r="67" spans="1:14" ht="45.75" thickBot="1" x14ac:dyDescent="0.3">
      <c r="H67" s="165"/>
      <c r="I67" s="194" t="s">
        <v>602</v>
      </c>
      <c r="J67" s="258" t="s">
        <v>598</v>
      </c>
      <c r="K67" s="258" t="s">
        <v>599</v>
      </c>
      <c r="L67" s="275" t="s">
        <v>600</v>
      </c>
    </row>
    <row r="68" spans="1:14" x14ac:dyDescent="0.25">
      <c r="B68" s="293" t="s">
        <v>536</v>
      </c>
      <c r="C68" s="294"/>
      <c r="D68" s="294"/>
      <c r="E68" s="294"/>
      <c r="F68" s="295"/>
      <c r="H68" s="543" t="s">
        <v>795</v>
      </c>
      <c r="I68" s="257" t="s">
        <v>35</v>
      </c>
      <c r="J68" s="259">
        <f>$C$18*$A$6*$E$6</f>
        <v>0.99300599999999994</v>
      </c>
      <c r="K68" s="259">
        <f>$C$18*$B$6*$F$6</f>
        <v>1.934064</v>
      </c>
      <c r="L68" s="276">
        <f>$C$18*$C$6*$G$6</f>
        <v>2.60406</v>
      </c>
    </row>
    <row r="69" spans="1:14" x14ac:dyDescent="0.25">
      <c r="B69" s="165" t="s">
        <v>538</v>
      </c>
      <c r="C69" s="141"/>
      <c r="D69" s="141"/>
      <c r="E69" s="141"/>
      <c r="F69" s="222"/>
      <c r="H69" s="544"/>
      <c r="I69" s="257" t="s">
        <v>36</v>
      </c>
      <c r="J69" s="259">
        <f>$D$18*$A$6*$E$6</f>
        <v>1.6907939999999997</v>
      </c>
      <c r="K69" s="259">
        <f>$D$18*$B$6*$F$6</f>
        <v>3.2931360000000001</v>
      </c>
      <c r="L69" s="276">
        <f>$D$18*$C$6*$G$6</f>
        <v>4.4339399999999998</v>
      </c>
    </row>
    <row r="70" spans="1:14" ht="15.75" thickBot="1" x14ac:dyDescent="0.3">
      <c r="B70" s="296" t="s">
        <v>537</v>
      </c>
      <c r="C70" s="233"/>
      <c r="D70" s="233"/>
      <c r="E70" s="233"/>
      <c r="F70" s="234"/>
      <c r="H70" s="545"/>
      <c r="I70" s="189" t="s">
        <v>37</v>
      </c>
      <c r="J70" s="260">
        <f>$E$18*$A$6*$E$6</f>
        <v>2.9253419999999997</v>
      </c>
      <c r="K70" s="260">
        <f>$E$18*$B$6*$F$6</f>
        <v>5.6976480000000009</v>
      </c>
      <c r="L70" s="280">
        <f>$E$18*$C$6*$G$6</f>
        <v>7.6714200000000003</v>
      </c>
    </row>
    <row r="71" spans="1:14" ht="15.75" thickBot="1" x14ac:dyDescent="0.3">
      <c r="H71" s="281" t="s">
        <v>603</v>
      </c>
      <c r="I71" s="282" t="s">
        <v>36</v>
      </c>
      <c r="J71" s="283">
        <f>D17*E6</f>
        <v>0.71</v>
      </c>
      <c r="K71" s="283">
        <f>D17*F6</f>
        <v>0.88</v>
      </c>
      <c r="L71" s="284">
        <f>D17*G6</f>
        <v>0.92</v>
      </c>
    </row>
    <row r="72" spans="1:14" x14ac:dyDescent="0.25">
      <c r="G72" s="132"/>
      <c r="H72" s="2"/>
      <c r="I72" s="2"/>
      <c r="J72" s="2"/>
      <c r="K72" s="2"/>
      <c r="L72" s="2"/>
    </row>
    <row r="73" spans="1:14" x14ac:dyDescent="0.25">
      <c r="G73" s="132"/>
      <c r="H73" s="132"/>
      <c r="I73" s="132"/>
      <c r="J73" s="132"/>
      <c r="K73" s="132"/>
      <c r="L73" s="132"/>
    </row>
  </sheetData>
  <mergeCells count="27">
    <mergeCell ref="H68:H70"/>
    <mergeCell ref="F54:G54"/>
    <mergeCell ref="A1:L2"/>
    <mergeCell ref="A4:C4"/>
    <mergeCell ref="E4:G4"/>
    <mergeCell ref="I4:K4"/>
    <mergeCell ref="A9:A10"/>
    <mergeCell ref="L5:L6"/>
    <mergeCell ref="A11:B11"/>
    <mergeCell ref="C11:E11"/>
    <mergeCell ref="A3:L3"/>
    <mergeCell ref="A7:L7"/>
    <mergeCell ref="A55:B55"/>
    <mergeCell ref="G11:I11"/>
    <mergeCell ref="A53:B53"/>
    <mergeCell ref="C54:E54"/>
    <mergeCell ref="E48:G50"/>
    <mergeCell ref="A51:L51"/>
    <mergeCell ref="A38:D38"/>
    <mergeCell ref="E38:G38"/>
    <mergeCell ref="A12:L12"/>
    <mergeCell ref="A15:L15"/>
    <mergeCell ref="A19:L19"/>
    <mergeCell ref="A43:D43"/>
    <mergeCell ref="A47:D47"/>
    <mergeCell ref="E44:G46"/>
    <mergeCell ref="H40:I4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434D-5E27-49A6-8866-38EA42DF7399}">
  <dimension ref="A1:G39"/>
  <sheetViews>
    <sheetView workbookViewId="0">
      <selection activeCell="F11" sqref="F11"/>
    </sheetView>
  </sheetViews>
  <sheetFormatPr baseColWidth="10" defaultRowHeight="15" x14ac:dyDescent="0.25"/>
  <cols>
    <col min="1" max="1" width="18.140625" bestFit="1" customWidth="1"/>
    <col min="3" max="3" width="17.85546875" bestFit="1" customWidth="1"/>
    <col min="4" max="4" width="17.85546875" customWidth="1"/>
    <col min="5" max="7" width="14.28515625" bestFit="1" customWidth="1"/>
  </cols>
  <sheetData>
    <row r="1" spans="1:7" x14ac:dyDescent="0.25">
      <c r="A1" t="s">
        <v>811</v>
      </c>
      <c r="B1" t="s">
        <v>610</v>
      </c>
      <c r="C1" t="s">
        <v>794</v>
      </c>
      <c r="D1" t="s">
        <v>242</v>
      </c>
      <c r="E1" t="s">
        <v>35</v>
      </c>
      <c r="F1" t="s">
        <v>793</v>
      </c>
      <c r="G1" t="s">
        <v>37</v>
      </c>
    </row>
    <row r="2" spans="1:7" x14ac:dyDescent="0.25">
      <c r="A2" t="s">
        <v>807</v>
      </c>
      <c r="B2" t="s">
        <v>8</v>
      </c>
      <c r="C2" t="s">
        <v>795</v>
      </c>
      <c r="E2" s="379">
        <f>'Cost Analysis-HEFA'!E6*'Cost Analysis-HEFA'!A6</f>
        <v>0.29819999999999997</v>
      </c>
      <c r="F2" s="379">
        <f>'Cost Analysis-HEFA'!F6*'Cost Analysis-HEFA'!B6</f>
        <v>0.58079999999999998</v>
      </c>
      <c r="G2" s="379">
        <f>'Cost Analysis-HEFA'!G6*'Cost Analysis-HEFA'!C6</f>
        <v>0.78200000000000003</v>
      </c>
    </row>
    <row r="3" spans="1:7" x14ac:dyDescent="0.25">
      <c r="A3" t="s">
        <v>807</v>
      </c>
      <c r="B3" t="s">
        <v>8</v>
      </c>
      <c r="C3" t="s">
        <v>499</v>
      </c>
      <c r="E3" s="379">
        <f>'Cost Analysis-HEFA'!E6</f>
        <v>0.71</v>
      </c>
      <c r="F3" s="379">
        <f>'Cost Analysis-HEFA'!F6</f>
        <v>0.88</v>
      </c>
      <c r="G3" s="379">
        <f>'Cost Analysis-HEFA'!G6</f>
        <v>0.92</v>
      </c>
    </row>
    <row r="4" spans="1:7" x14ac:dyDescent="0.25">
      <c r="A4" t="s">
        <v>797</v>
      </c>
      <c r="B4" t="s">
        <v>8</v>
      </c>
      <c r="C4" t="s">
        <v>795</v>
      </c>
      <c r="D4" t="s">
        <v>803</v>
      </c>
      <c r="E4" s="379">
        <f>'Cost Analysis-HEFA'!C10</f>
        <v>38.4</v>
      </c>
      <c r="F4" s="379">
        <f>'Cost Analysis-HEFA'!D10</f>
        <v>59</v>
      </c>
      <c r="G4" s="379">
        <f>'Cost Analysis-HEFA'!E10</f>
        <v>97.9</v>
      </c>
    </row>
    <row r="5" spans="1:7" x14ac:dyDescent="0.25">
      <c r="A5" t="s">
        <v>797</v>
      </c>
      <c r="B5" t="s">
        <v>8</v>
      </c>
      <c r="C5" t="s">
        <v>499</v>
      </c>
      <c r="D5" t="s">
        <v>803</v>
      </c>
      <c r="E5" s="379">
        <f>F5</f>
        <v>20.7</v>
      </c>
      <c r="F5" s="379">
        <f>'Cost Analysis-HEFA'!D9</f>
        <v>20.7</v>
      </c>
      <c r="G5" s="379">
        <f>F5</f>
        <v>20.7</v>
      </c>
    </row>
    <row r="6" spans="1:7" x14ac:dyDescent="0.25">
      <c r="A6" t="s">
        <v>797</v>
      </c>
      <c r="B6" t="s">
        <v>798</v>
      </c>
      <c r="C6" t="s">
        <v>798</v>
      </c>
      <c r="D6" t="s">
        <v>803</v>
      </c>
      <c r="E6" s="379">
        <f>'Cost Analysis-HEFA'!$C$11</f>
        <v>86.8</v>
      </c>
      <c r="F6" s="379">
        <f>'Cost Analysis-HEFA'!$C$11</f>
        <v>86.8</v>
      </c>
      <c r="G6" s="379">
        <f>'Cost Analysis-HEFA'!$C$11</f>
        <v>86.8</v>
      </c>
    </row>
    <row r="7" spans="1:7" x14ac:dyDescent="0.25">
      <c r="A7" t="s">
        <v>799</v>
      </c>
      <c r="B7" t="s">
        <v>8</v>
      </c>
      <c r="C7" t="s">
        <v>795</v>
      </c>
      <c r="E7" s="379">
        <f>'Cost Analysis-HEFA'!$B$13</f>
        <v>0.14463276836158195</v>
      </c>
      <c r="F7" s="379">
        <f>(E7+G7)/2</f>
        <v>0.34706610609402788</v>
      </c>
      <c r="G7" s="379">
        <f>'Cost Analysis-HEFA'!$B$14</f>
        <v>0.54949944382647375</v>
      </c>
    </row>
    <row r="8" spans="1:7" x14ac:dyDescent="0.25">
      <c r="A8" t="s">
        <v>799</v>
      </c>
      <c r="B8" t="s">
        <v>8</v>
      </c>
      <c r="C8" t="s">
        <v>499</v>
      </c>
      <c r="E8" s="379">
        <f>'Cost Analysis-HEFA'!$B$13</f>
        <v>0.14463276836158195</v>
      </c>
      <c r="F8" s="379">
        <f>(E8+G8)/2</f>
        <v>0.34706610609402788</v>
      </c>
      <c r="G8" s="379">
        <f>'Cost Analysis-HEFA'!$B$14</f>
        <v>0.54949944382647375</v>
      </c>
    </row>
    <row r="9" spans="1:7" x14ac:dyDescent="0.25">
      <c r="A9" t="s">
        <v>800</v>
      </c>
      <c r="B9" t="s">
        <v>8</v>
      </c>
      <c r="C9" t="s">
        <v>795</v>
      </c>
      <c r="D9" t="s">
        <v>804</v>
      </c>
      <c r="E9" s="379">
        <f>'Cost Analysis-HEFA'!C18</f>
        <v>3.33</v>
      </c>
      <c r="F9" s="379">
        <f>'Cost Analysis-HEFA'!D18</f>
        <v>5.67</v>
      </c>
      <c r="G9" s="379">
        <f>'Cost Analysis-HEFA'!E18</f>
        <v>9.81</v>
      </c>
    </row>
    <row r="10" spans="1:7" x14ac:dyDescent="0.25">
      <c r="A10" t="s">
        <v>800</v>
      </c>
      <c r="B10" t="s">
        <v>8</v>
      </c>
      <c r="C10" t="s">
        <v>499</v>
      </c>
      <c r="D10" t="s">
        <v>804</v>
      </c>
      <c r="E10" s="379">
        <f>F10</f>
        <v>1</v>
      </c>
      <c r="F10" s="379">
        <f>'Cost Analysis-HEFA'!D17</f>
        <v>1</v>
      </c>
      <c r="G10" s="379">
        <f>F10</f>
        <v>1</v>
      </c>
    </row>
    <row r="11" spans="1:7" x14ac:dyDescent="0.25">
      <c r="A11" t="s">
        <v>801</v>
      </c>
      <c r="B11" t="s">
        <v>8</v>
      </c>
      <c r="C11" t="s">
        <v>795</v>
      </c>
      <c r="D11" t="s">
        <v>806</v>
      </c>
      <c r="E11" s="379">
        <f>'Cost Analysis-HEFA'!B41</f>
        <v>0.92700716698284813</v>
      </c>
      <c r="F11" s="379">
        <f>'Cost Analysis-HEFA'!C41</f>
        <v>1.0812467168621958</v>
      </c>
      <c r="G11" s="379">
        <f>'Cost Analysis-HEFA'!D41</f>
        <v>1.5715286289616528</v>
      </c>
    </row>
    <row r="12" spans="1:7" x14ac:dyDescent="0.25">
      <c r="A12" t="s">
        <v>801</v>
      </c>
      <c r="B12" t="s">
        <v>798</v>
      </c>
      <c r="C12" t="s">
        <v>798</v>
      </c>
      <c r="D12" t="s">
        <v>806</v>
      </c>
      <c r="E12" s="379">
        <v>0.31</v>
      </c>
      <c r="F12" s="379">
        <v>0.41</v>
      </c>
      <c r="G12" s="379">
        <v>0.48</v>
      </c>
    </row>
    <row r="13" spans="1:7" x14ac:dyDescent="0.25">
      <c r="A13" t="s">
        <v>801</v>
      </c>
      <c r="B13" t="s">
        <v>8</v>
      </c>
      <c r="C13" t="s">
        <v>499</v>
      </c>
      <c r="D13" t="s">
        <v>806</v>
      </c>
      <c r="E13" s="379">
        <f>'Cost Analysis-HEFA'!B42</f>
        <v>0.75731045351076864</v>
      </c>
      <c r="F13" s="379">
        <f>'Cost Analysis-HEFA'!C42</f>
        <v>0.88812996228874896</v>
      </c>
      <c r="G13" s="379">
        <f>'Cost Analysis-HEFA'!D42</f>
        <v>1.0177727193136052</v>
      </c>
    </row>
    <row r="14" spans="1:7" x14ac:dyDescent="0.25">
      <c r="A14" t="s">
        <v>802</v>
      </c>
      <c r="B14" t="s">
        <v>8</v>
      </c>
      <c r="C14" t="s">
        <v>795</v>
      </c>
      <c r="D14" t="s">
        <v>805</v>
      </c>
      <c r="E14" s="379">
        <f>'Cost Analysis-HEFA'!E41</f>
        <v>276426.90888362238</v>
      </c>
      <c r="F14" s="379">
        <f>'Cost Analysis-HEFA'!F41</f>
        <v>290753.93285760621</v>
      </c>
      <c r="G14" s="379">
        <f>'Cost Analysis-HEFA'!G41</f>
        <v>654132.08380023192</v>
      </c>
    </row>
    <row r="15" spans="1:7" x14ac:dyDescent="0.25">
      <c r="A15" t="s">
        <v>802</v>
      </c>
      <c r="B15" t="s">
        <v>8</v>
      </c>
      <c r="C15" t="s">
        <v>499</v>
      </c>
      <c r="D15" t="s">
        <v>805</v>
      </c>
      <c r="E15" s="379">
        <f>'Cost Analysis-HEFA'!E42</f>
        <v>261051.77591173322</v>
      </c>
      <c r="F15" s="379">
        <f>'Cost Analysis-HEFA'!F42</f>
        <v>327066.04190011555</v>
      </c>
      <c r="G15" s="379">
        <f>'Cost Analysis-HEFA'!G42</f>
        <v>654132.08380023192</v>
      </c>
    </row>
    <row r="16" spans="1:7" x14ac:dyDescent="0.25">
      <c r="A16" t="s">
        <v>807</v>
      </c>
      <c r="B16" t="s">
        <v>10</v>
      </c>
      <c r="C16" t="s">
        <v>10</v>
      </c>
      <c r="E16" s="379">
        <f>'Cost Analysis-AtJ'!A6</f>
        <v>0.31</v>
      </c>
      <c r="F16" s="379">
        <f>'Cost Analysis-AtJ'!B6</f>
        <v>0.48</v>
      </c>
      <c r="G16" s="379">
        <f>'Cost Analysis-AtJ'!C6</f>
        <v>0.57999999999999996</v>
      </c>
    </row>
    <row r="17" spans="1:7" x14ac:dyDescent="0.25">
      <c r="A17" t="s">
        <v>797</v>
      </c>
      <c r="B17" t="s">
        <v>10</v>
      </c>
      <c r="C17" t="s">
        <v>10</v>
      </c>
      <c r="D17" t="s">
        <v>803</v>
      </c>
      <c r="E17" s="379">
        <f>'Cost Analysis-AtJ'!C9</f>
        <v>33.700000000000003</v>
      </c>
      <c r="F17" s="379">
        <f>'Cost Analysis-AtJ'!D9</f>
        <v>52.2</v>
      </c>
      <c r="G17" s="379">
        <f>'Cost Analysis-AtJ'!E9</f>
        <v>68.400000000000006</v>
      </c>
    </row>
    <row r="18" spans="1:7" x14ac:dyDescent="0.25">
      <c r="A18" t="s">
        <v>799</v>
      </c>
      <c r="B18" t="s">
        <v>10</v>
      </c>
      <c r="C18" t="s">
        <v>10</v>
      </c>
      <c r="E18" s="379">
        <f>'Cost Analysis-AtJ'!B12</f>
        <v>0.15</v>
      </c>
      <c r="F18" s="379">
        <f>(E18+G18)/2</f>
        <v>0.45</v>
      </c>
      <c r="G18" s="379">
        <f>'Cost Analysis-AtJ'!B13</f>
        <v>0.75</v>
      </c>
    </row>
    <row r="19" spans="1:7" x14ac:dyDescent="0.25">
      <c r="A19" t="s">
        <v>800</v>
      </c>
      <c r="B19" t="s">
        <v>10</v>
      </c>
      <c r="C19" t="s">
        <v>10</v>
      </c>
      <c r="D19" t="s">
        <v>804</v>
      </c>
      <c r="E19" s="379">
        <f>'Cost Analysis-AtJ'!C16</f>
        <v>10.360000000000001</v>
      </c>
      <c r="F19" s="379">
        <f>'Cost Analysis-AtJ'!D16</f>
        <v>17.64</v>
      </c>
      <c r="G19" s="379">
        <f>'Cost Analysis-AtJ'!E16</f>
        <v>30.520000000000003</v>
      </c>
    </row>
    <row r="20" spans="1:7" x14ac:dyDescent="0.25">
      <c r="A20" t="s">
        <v>801</v>
      </c>
      <c r="B20" t="s">
        <v>10</v>
      </c>
      <c r="C20" t="s">
        <v>10</v>
      </c>
      <c r="D20" t="s">
        <v>806</v>
      </c>
      <c r="E20" s="379">
        <f>'Cost Analysis-AtJ'!B45</f>
        <v>0.92803361933111539</v>
      </c>
      <c r="F20" s="379">
        <f>'Cost Analysis-AtJ'!C45</f>
        <v>1.4183155314305727</v>
      </c>
      <c r="G20" s="379">
        <f>'Cost Analysis-AtJ'!D45</f>
        <v>2.0552442654526351</v>
      </c>
    </row>
    <row r="21" spans="1:7" x14ac:dyDescent="0.25">
      <c r="A21" t="s">
        <v>802</v>
      </c>
      <c r="B21" t="s">
        <v>10</v>
      </c>
      <c r="C21" t="s">
        <v>10</v>
      </c>
      <c r="D21" t="s">
        <v>808</v>
      </c>
      <c r="E21" s="379">
        <f>'Cost Analysis-AtJ'!E45</f>
        <v>867421.58664967155</v>
      </c>
      <c r="F21" s="379">
        <f>'Cost Analysis-AtJ'!F45</f>
        <v>1211572.2928284132</v>
      </c>
      <c r="G21" s="379">
        <f>'Cost Analysis-AtJ'!G45</f>
        <v>1560222.6833102</v>
      </c>
    </row>
    <row r="22" spans="1:7" x14ac:dyDescent="0.25">
      <c r="A22" t="s">
        <v>807</v>
      </c>
      <c r="B22" t="s">
        <v>7</v>
      </c>
      <c r="C22" t="s">
        <v>813</v>
      </c>
      <c r="E22" s="379">
        <f>'Cost Analysis-FT'!A$6</f>
        <v>0.4</v>
      </c>
      <c r="F22" s="379">
        <f>'Cost Analysis-FT'!B$6</f>
        <v>0.46</v>
      </c>
      <c r="G22" s="379">
        <f>'Cost Analysis-FT'!C$6</f>
        <v>0.49</v>
      </c>
    </row>
    <row r="23" spans="1:7" x14ac:dyDescent="0.25">
      <c r="A23" t="s">
        <v>807</v>
      </c>
      <c r="B23" t="s">
        <v>7</v>
      </c>
      <c r="C23" t="s">
        <v>620</v>
      </c>
      <c r="E23" s="379">
        <f>'Cost Analysis-FT'!A$6</f>
        <v>0.4</v>
      </c>
      <c r="F23" s="379">
        <f>'Cost Analysis-FT'!B$6</f>
        <v>0.46</v>
      </c>
      <c r="G23" s="379">
        <f>'Cost Analysis-FT'!C$6</f>
        <v>0.49</v>
      </c>
    </row>
    <row r="24" spans="1:7" x14ac:dyDescent="0.25">
      <c r="A24" t="s">
        <v>807</v>
      </c>
      <c r="B24" t="s">
        <v>7</v>
      </c>
      <c r="C24" t="s">
        <v>809</v>
      </c>
      <c r="E24" s="379">
        <f>'Cost Analysis-FT'!A$6</f>
        <v>0.4</v>
      </c>
      <c r="F24" s="379">
        <f>'Cost Analysis-FT'!B$6</f>
        <v>0.46</v>
      </c>
      <c r="G24" s="379">
        <f>'Cost Analysis-FT'!C$6</f>
        <v>0.49</v>
      </c>
    </row>
    <row r="25" spans="1:7" x14ac:dyDescent="0.25">
      <c r="A25" t="s">
        <v>797</v>
      </c>
      <c r="B25" t="s">
        <v>7</v>
      </c>
      <c r="C25" t="s">
        <v>813</v>
      </c>
      <c r="D25" t="s">
        <v>803</v>
      </c>
      <c r="E25" s="379">
        <f>'Cost Analysis-FT'!C10</f>
        <v>0.3</v>
      </c>
      <c r="F25" s="379">
        <f>'Cost Analysis-FT'!D10</f>
        <v>7.7</v>
      </c>
      <c r="G25" s="379">
        <f>'Cost Analysis-FT'!E10</f>
        <v>12.6</v>
      </c>
    </row>
    <row r="26" spans="1:7" x14ac:dyDescent="0.25">
      <c r="A26" t="s">
        <v>797</v>
      </c>
      <c r="B26" t="s">
        <v>7</v>
      </c>
      <c r="C26" t="s">
        <v>620</v>
      </c>
      <c r="D26" t="s">
        <v>803</v>
      </c>
      <c r="E26" s="379">
        <f>F26</f>
        <v>27.8</v>
      </c>
      <c r="F26" s="379">
        <f>'Cost Analysis-FT'!D9</f>
        <v>27.8</v>
      </c>
      <c r="G26" s="379">
        <f>F26</f>
        <v>27.8</v>
      </c>
    </row>
    <row r="27" spans="1:7" x14ac:dyDescent="0.25">
      <c r="A27" t="s">
        <v>797</v>
      </c>
      <c r="B27" t="s">
        <v>7</v>
      </c>
      <c r="C27" t="s">
        <v>809</v>
      </c>
      <c r="D27" t="s">
        <v>803</v>
      </c>
      <c r="E27" s="379">
        <f t="shared" ref="E27:G27" si="0">E25</f>
        <v>0.3</v>
      </c>
      <c r="F27" s="379">
        <f t="shared" si="0"/>
        <v>7.7</v>
      </c>
      <c r="G27" s="379">
        <f t="shared" si="0"/>
        <v>12.6</v>
      </c>
    </row>
    <row r="28" spans="1:7" x14ac:dyDescent="0.25">
      <c r="A28" t="s">
        <v>799</v>
      </c>
      <c r="B28" t="s">
        <v>7</v>
      </c>
      <c r="C28" t="s">
        <v>813</v>
      </c>
      <c r="E28" s="379">
        <f>'Cost Analysis-FT'!B$13</f>
        <v>0.15</v>
      </c>
      <c r="F28" s="379">
        <f>(E28+G28)/2</f>
        <v>0.32500000000000001</v>
      </c>
      <c r="G28" s="379">
        <f>'Cost Analysis-FT'!B$14</f>
        <v>0.5</v>
      </c>
    </row>
    <row r="29" spans="1:7" x14ac:dyDescent="0.25">
      <c r="A29" t="s">
        <v>799</v>
      </c>
      <c r="B29" t="s">
        <v>7</v>
      </c>
      <c r="C29" t="s">
        <v>620</v>
      </c>
      <c r="E29" s="379">
        <f>'Cost Analysis-FT'!B$13</f>
        <v>0.15</v>
      </c>
      <c r="F29" s="379">
        <f>(E29+G29)/2</f>
        <v>0.32500000000000001</v>
      </c>
      <c r="G29" s="379">
        <f>'Cost Analysis-FT'!B$14</f>
        <v>0.5</v>
      </c>
    </row>
    <row r="30" spans="1:7" x14ac:dyDescent="0.25">
      <c r="A30" t="s">
        <v>799</v>
      </c>
      <c r="B30" t="s">
        <v>7</v>
      </c>
      <c r="C30" t="s">
        <v>809</v>
      </c>
      <c r="E30" s="379">
        <f>'Cost Analysis-FT'!B$13</f>
        <v>0.15</v>
      </c>
      <c r="F30" s="379">
        <f>(E30+G30)/2</f>
        <v>0.32500000000000001</v>
      </c>
      <c r="G30" s="379">
        <f>'Cost Analysis-FT'!B$14</f>
        <v>0.5</v>
      </c>
    </row>
    <row r="31" spans="1:7" x14ac:dyDescent="0.25">
      <c r="A31" t="s">
        <v>800</v>
      </c>
      <c r="B31" t="s">
        <v>7</v>
      </c>
      <c r="C31" t="s">
        <v>813</v>
      </c>
      <c r="D31" t="s">
        <v>804</v>
      </c>
      <c r="E31" s="379">
        <f>'Cost Analysis-FT'!C18+'Cost Analysis-FT'!C19</f>
        <v>44.400000000000006</v>
      </c>
      <c r="F31" s="379">
        <f>'Cost Analysis-FT'!D18+'Cost Analysis-FT'!D19</f>
        <v>73.990000000000009</v>
      </c>
      <c r="G31" s="379">
        <f>'Cost Analysis-FT'!E18+'Cost Analysis-FT'!E19</f>
        <v>142</v>
      </c>
    </row>
    <row r="32" spans="1:7" x14ac:dyDescent="0.25">
      <c r="A32" t="s">
        <v>800</v>
      </c>
      <c r="B32" t="s">
        <v>7</v>
      </c>
      <c r="C32" t="s">
        <v>620</v>
      </c>
      <c r="D32" t="s">
        <v>804</v>
      </c>
      <c r="E32" s="379">
        <f>'Cost Analysis-FT'!C17</f>
        <v>10.199999999999999</v>
      </c>
      <c r="F32" s="379">
        <f>'Cost Analysis-FT'!D17</f>
        <v>11.55</v>
      </c>
      <c r="G32" s="379">
        <f>'Cost Analysis-FT'!E17</f>
        <v>19.8</v>
      </c>
    </row>
    <row r="33" spans="1:7" x14ac:dyDescent="0.25">
      <c r="A33" t="s">
        <v>800</v>
      </c>
      <c r="B33" t="s">
        <v>7</v>
      </c>
      <c r="C33" t="s">
        <v>809</v>
      </c>
      <c r="D33" t="s">
        <v>804</v>
      </c>
      <c r="E33" s="379">
        <f>'Cost Analysis-FT'!C20</f>
        <v>23.31</v>
      </c>
      <c r="F33" s="379">
        <f>'Cost Analysis-FT'!D20</f>
        <v>39.69</v>
      </c>
      <c r="G33" s="379">
        <f>'Cost Analysis-FT'!E20</f>
        <v>68.67</v>
      </c>
    </row>
    <row r="34" spans="1:7" x14ac:dyDescent="0.25">
      <c r="A34" t="s">
        <v>801</v>
      </c>
      <c r="B34" t="s">
        <v>7</v>
      </c>
      <c r="C34" t="s">
        <v>813</v>
      </c>
      <c r="D34" t="s">
        <v>806</v>
      </c>
      <c r="E34" s="379">
        <f>'Cost Analysis-FT'!B50</f>
        <v>0.89886840931744749</v>
      </c>
      <c r="F34" s="379">
        <f>'Cost Analysis-FT'!C50</f>
        <v>1.0171405684381645</v>
      </c>
      <c r="G34" s="379">
        <f>'Cost Analysis-FT'!D50</f>
        <v>1.7641393801435821</v>
      </c>
    </row>
    <row r="35" spans="1:7" x14ac:dyDescent="0.25">
      <c r="A35" t="s">
        <v>801</v>
      </c>
      <c r="B35" t="s">
        <v>7</v>
      </c>
      <c r="C35" t="s">
        <v>620</v>
      </c>
      <c r="D35" t="s">
        <v>806</v>
      </c>
      <c r="E35" s="379">
        <f>'Cost Analysis-FT'!B52</f>
        <v>0.75293293643845194</v>
      </c>
      <c r="F35" s="379">
        <f>'Cost Analysis-FT'!C52</f>
        <v>1.02433899492208</v>
      </c>
      <c r="G35" s="379">
        <f>'Cost Analysis-FT'!D52</f>
        <v>1.369794975454808</v>
      </c>
    </row>
    <row r="36" spans="1:7" x14ac:dyDescent="0.25">
      <c r="A36" t="s">
        <v>801</v>
      </c>
      <c r="B36" t="s">
        <v>7</v>
      </c>
      <c r="C36" t="s">
        <v>809</v>
      </c>
      <c r="D36" t="s">
        <v>806</v>
      </c>
      <c r="E36" s="379">
        <f>'Cost Analysis-FT'!B49</f>
        <v>1.0325751671572523</v>
      </c>
      <c r="F36" s="379">
        <f>'Cost Analysis-FT'!C49</f>
        <v>1.2841211489991846</v>
      </c>
      <c r="G36" s="379">
        <f>'Cost Analysis-FT'!D49</f>
        <v>1.4172270363951474</v>
      </c>
    </row>
    <row r="37" spans="1:7" x14ac:dyDescent="0.25">
      <c r="A37" t="s">
        <v>802</v>
      </c>
      <c r="B37" t="s">
        <v>7</v>
      </c>
      <c r="C37" t="s">
        <v>813</v>
      </c>
      <c r="D37" t="s">
        <v>808</v>
      </c>
      <c r="E37" s="379">
        <f>'Cost Analysis-FT'!E50</f>
        <v>1254872.8058120161</v>
      </c>
      <c r="F37" s="379">
        <f>'Cost Analysis-FT'!F50</f>
        <v>1601895.5606446574</v>
      </c>
      <c r="G37" s="379">
        <f>'Cost Analysis-FT'!G50</f>
        <v>1934451.4161269781</v>
      </c>
    </row>
    <row r="38" spans="1:7" x14ac:dyDescent="0.25">
      <c r="A38" t="s">
        <v>802</v>
      </c>
      <c r="B38" t="s">
        <v>7</v>
      </c>
      <c r="C38" t="s">
        <v>620</v>
      </c>
      <c r="D38" t="s">
        <v>808</v>
      </c>
      <c r="E38" s="379">
        <f>'Cost Analysis-FT'!E52</f>
        <v>1180363.0780797016</v>
      </c>
      <c r="F38" s="379">
        <f>'Cost Analysis-FT'!F52</f>
        <v>2191342.4807307739</v>
      </c>
      <c r="G38" s="379">
        <f>'Cost Analysis-FT'!G52</f>
        <v>3041714.1896710731</v>
      </c>
    </row>
    <row r="39" spans="1:7" x14ac:dyDescent="0.25">
      <c r="A39" t="s">
        <v>802</v>
      </c>
      <c r="B39" t="s">
        <v>7</v>
      </c>
      <c r="C39" t="s">
        <v>809</v>
      </c>
      <c r="D39" t="s">
        <v>808</v>
      </c>
      <c r="E39" s="379">
        <f>'Cost Analysis-FT'!E49</f>
        <v>1169512.0108316932</v>
      </c>
      <c r="F39" s="379">
        <f>'Cost Analysis-FT'!F49</f>
        <v>2256141.3937558876</v>
      </c>
      <c r="G39" s="379">
        <f>'Cost Analysis-FT'!G49</f>
        <v>3310399.7827109178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5D3-E175-49C7-9833-8199C2B6DD97}">
  <dimension ref="A1:N43"/>
  <sheetViews>
    <sheetView topLeftCell="A25" workbookViewId="0">
      <selection activeCell="I31" sqref="I31"/>
    </sheetView>
  </sheetViews>
  <sheetFormatPr baseColWidth="10" defaultRowHeight="15" x14ac:dyDescent="0.25"/>
  <cols>
    <col min="1" max="1" width="16.5703125" bestFit="1" customWidth="1"/>
    <col min="2" max="2" width="20.7109375" bestFit="1" customWidth="1"/>
    <col min="4" max="6" width="14.28515625" bestFit="1" customWidth="1"/>
    <col min="9" max="9" width="19.85546875" bestFit="1" customWidth="1"/>
    <col min="10" max="10" width="14.5703125" bestFit="1" customWidth="1"/>
    <col min="11" max="11" width="8.28515625" bestFit="1" customWidth="1"/>
    <col min="12" max="12" width="17.140625" bestFit="1" customWidth="1"/>
    <col min="13" max="13" width="7.28515625" bestFit="1" customWidth="1"/>
    <col min="14" max="14" width="14.28515625" bestFit="1" customWidth="1"/>
  </cols>
  <sheetData>
    <row r="1" spans="1:14" x14ac:dyDescent="0.25">
      <c r="A1" t="s">
        <v>794</v>
      </c>
      <c r="B1" t="s">
        <v>811</v>
      </c>
      <c r="C1" t="s">
        <v>242</v>
      </c>
      <c r="D1" t="s">
        <v>35</v>
      </c>
      <c r="E1" t="s">
        <v>793</v>
      </c>
      <c r="F1" t="s">
        <v>37</v>
      </c>
    </row>
    <row r="2" spans="1:14" x14ac:dyDescent="0.25">
      <c r="A2" t="s">
        <v>10</v>
      </c>
      <c r="B2" t="s">
        <v>807</v>
      </c>
      <c r="D2" s="379">
        <v>0.31</v>
      </c>
      <c r="E2" s="379">
        <v>0.48</v>
      </c>
      <c r="F2" s="379">
        <v>0.57999999999999996</v>
      </c>
    </row>
    <row r="3" spans="1:14" x14ac:dyDescent="0.25">
      <c r="A3" t="s">
        <v>10</v>
      </c>
      <c r="B3" t="s">
        <v>797</v>
      </c>
      <c r="C3" t="s">
        <v>803</v>
      </c>
      <c r="D3" s="379">
        <v>33.700000000000003</v>
      </c>
      <c r="E3" s="379">
        <v>52.2</v>
      </c>
      <c r="F3" s="379">
        <v>68.400000000000006</v>
      </c>
    </row>
    <row r="4" spans="1:14" x14ac:dyDescent="0.25">
      <c r="A4" t="s">
        <v>10</v>
      </c>
      <c r="B4" t="s">
        <v>799</v>
      </c>
      <c r="D4" s="379">
        <v>0.15</v>
      </c>
      <c r="E4" s="379">
        <v>0.45</v>
      </c>
      <c r="F4" s="379">
        <v>0.75</v>
      </c>
    </row>
    <row r="5" spans="1:14" x14ac:dyDescent="0.25">
      <c r="A5" t="s">
        <v>10</v>
      </c>
      <c r="B5" t="s">
        <v>800</v>
      </c>
      <c r="C5" t="s">
        <v>804</v>
      </c>
      <c r="D5" s="379">
        <v>10.360000000000001</v>
      </c>
      <c r="E5" s="379">
        <v>17.64</v>
      </c>
      <c r="F5" s="379">
        <v>30.520000000000003</v>
      </c>
      <c r="I5" t="s">
        <v>814</v>
      </c>
      <c r="J5" t="s">
        <v>815</v>
      </c>
      <c r="K5" t="s">
        <v>816</v>
      </c>
      <c r="L5" t="s">
        <v>817</v>
      </c>
      <c r="M5" t="s">
        <v>818</v>
      </c>
      <c r="N5" t="s">
        <v>819</v>
      </c>
    </row>
    <row r="6" spans="1:14" x14ac:dyDescent="0.25">
      <c r="A6" t="s">
        <v>10</v>
      </c>
      <c r="B6" t="s">
        <v>801</v>
      </c>
      <c r="C6" t="s">
        <v>806</v>
      </c>
      <c r="D6" s="379">
        <v>0.92803361933111539</v>
      </c>
      <c r="E6" s="379">
        <v>1.4183155314305727</v>
      </c>
      <c r="F6" s="379">
        <v>2.0552442654526351</v>
      </c>
      <c r="J6" t="s">
        <v>803</v>
      </c>
      <c r="L6" t="s">
        <v>804</v>
      </c>
      <c r="M6" t="s">
        <v>806</v>
      </c>
      <c r="N6" t="s">
        <v>808</v>
      </c>
    </row>
    <row r="7" spans="1:14" x14ac:dyDescent="0.25">
      <c r="A7" t="s">
        <v>10</v>
      </c>
      <c r="B7" t="s">
        <v>802</v>
      </c>
      <c r="C7" t="s">
        <v>808</v>
      </c>
      <c r="D7" s="379">
        <v>855360.10671631375</v>
      </c>
      <c r="E7" s="379">
        <v>1211572.2928284132</v>
      </c>
      <c r="F7" s="379">
        <v>1560222.6833102</v>
      </c>
      <c r="G7" t="s">
        <v>10</v>
      </c>
      <c r="H7" t="s">
        <v>820</v>
      </c>
      <c r="I7" s="379">
        <v>0.31</v>
      </c>
      <c r="J7" s="379">
        <v>33.700000000000003</v>
      </c>
      <c r="K7" s="379">
        <v>0.15</v>
      </c>
      <c r="L7" s="379">
        <v>10.360000000000001</v>
      </c>
      <c r="M7" s="379">
        <v>0.92803361933111539</v>
      </c>
      <c r="N7" s="297">
        <v>855360.10671631375</v>
      </c>
    </row>
    <row r="8" spans="1:14" x14ac:dyDescent="0.25">
      <c r="A8" t="s">
        <v>813</v>
      </c>
      <c r="B8" t="s">
        <v>807</v>
      </c>
      <c r="D8" s="379">
        <v>0.4</v>
      </c>
      <c r="E8" s="379">
        <v>0.46</v>
      </c>
      <c r="F8" s="379">
        <v>0.49</v>
      </c>
      <c r="G8" t="s">
        <v>10</v>
      </c>
      <c r="H8" t="s">
        <v>821</v>
      </c>
      <c r="I8" s="379">
        <v>0.48</v>
      </c>
      <c r="J8" s="379">
        <v>52.2</v>
      </c>
      <c r="K8" s="379">
        <v>0.45</v>
      </c>
      <c r="L8" s="379">
        <v>17.64</v>
      </c>
      <c r="M8" s="379">
        <v>1.4183155314305727</v>
      </c>
      <c r="N8" s="297">
        <v>1211572.2928284132</v>
      </c>
    </row>
    <row r="9" spans="1:14" x14ac:dyDescent="0.25">
      <c r="A9" t="s">
        <v>813</v>
      </c>
      <c r="B9" t="s">
        <v>797</v>
      </c>
      <c r="C9" t="s">
        <v>803</v>
      </c>
      <c r="D9" s="379">
        <v>0.3</v>
      </c>
      <c r="E9" s="379">
        <v>7.7</v>
      </c>
      <c r="F9" s="379">
        <v>12.6</v>
      </c>
      <c r="G9" t="s">
        <v>10</v>
      </c>
      <c r="H9" t="s">
        <v>822</v>
      </c>
      <c r="I9" s="379">
        <v>0.57999999999999996</v>
      </c>
      <c r="J9" s="379">
        <v>68.400000000000006</v>
      </c>
      <c r="K9" s="379">
        <v>0.75</v>
      </c>
      <c r="L9" s="379">
        <v>30.520000000000003</v>
      </c>
      <c r="M9" s="379">
        <v>2.0552442654526351</v>
      </c>
      <c r="N9" s="297">
        <v>1560222.6833102</v>
      </c>
    </row>
    <row r="10" spans="1:14" x14ac:dyDescent="0.25">
      <c r="A10" t="s">
        <v>813</v>
      </c>
      <c r="B10" t="s">
        <v>799</v>
      </c>
      <c r="D10" s="379">
        <v>0.15</v>
      </c>
      <c r="E10" s="379">
        <v>0.32500000000000001</v>
      </c>
      <c r="F10" s="379">
        <v>0.5</v>
      </c>
      <c r="G10" t="s">
        <v>813</v>
      </c>
      <c r="H10" t="s">
        <v>820</v>
      </c>
      <c r="I10" s="379">
        <v>0.4</v>
      </c>
      <c r="J10" s="379">
        <v>0.3</v>
      </c>
      <c r="K10" s="379">
        <v>0.15</v>
      </c>
      <c r="L10" s="379">
        <v>44.400000000000006</v>
      </c>
      <c r="M10" s="379">
        <v>0.89886840931744749</v>
      </c>
      <c r="N10" s="297">
        <v>1254872.8058120161</v>
      </c>
    </row>
    <row r="11" spans="1:14" x14ac:dyDescent="0.25">
      <c r="A11" t="s">
        <v>813</v>
      </c>
      <c r="B11" t="s">
        <v>800</v>
      </c>
      <c r="C11" t="s">
        <v>804</v>
      </c>
      <c r="D11" s="379">
        <v>44.400000000000006</v>
      </c>
      <c r="E11" s="379">
        <v>73.990000000000009</v>
      </c>
      <c r="F11" s="379">
        <v>142</v>
      </c>
      <c r="G11" t="s">
        <v>813</v>
      </c>
      <c r="H11" t="s">
        <v>821</v>
      </c>
      <c r="I11" s="379">
        <v>0.46</v>
      </c>
      <c r="J11" s="379">
        <v>7.7</v>
      </c>
      <c r="K11" s="379">
        <v>0.32500000000000001</v>
      </c>
      <c r="L11" s="379">
        <v>73.990000000000009</v>
      </c>
      <c r="M11" s="379">
        <v>1.0171405684381645</v>
      </c>
      <c r="N11" s="297">
        <v>1601895.5606446574</v>
      </c>
    </row>
    <row r="12" spans="1:14" x14ac:dyDescent="0.25">
      <c r="A12" t="s">
        <v>813</v>
      </c>
      <c r="B12" t="s">
        <v>801</v>
      </c>
      <c r="C12" t="s">
        <v>806</v>
      </c>
      <c r="D12" s="379">
        <v>0.89886840931744749</v>
      </c>
      <c r="E12" s="379">
        <v>1.0171405684381645</v>
      </c>
      <c r="F12" s="379">
        <v>1.7641393801435821</v>
      </c>
      <c r="G12" t="s">
        <v>813</v>
      </c>
      <c r="H12" t="s">
        <v>822</v>
      </c>
      <c r="I12" s="379">
        <v>0.49</v>
      </c>
      <c r="J12" s="379">
        <v>12.6</v>
      </c>
      <c r="K12" s="379">
        <v>0.5</v>
      </c>
      <c r="L12" s="379">
        <v>142</v>
      </c>
      <c r="M12" s="379">
        <v>1.7641393801435821</v>
      </c>
      <c r="N12" s="297">
        <v>1866360.0632918112</v>
      </c>
    </row>
    <row r="13" spans="1:14" x14ac:dyDescent="0.25">
      <c r="A13" t="s">
        <v>813</v>
      </c>
      <c r="B13" t="s">
        <v>802</v>
      </c>
      <c r="C13" t="s">
        <v>808</v>
      </c>
      <c r="D13" s="379">
        <v>1254872.8058120161</v>
      </c>
      <c r="E13" s="379">
        <v>1601895.5606446574</v>
      </c>
      <c r="F13" s="379">
        <v>1866360.0632918112</v>
      </c>
      <c r="G13" t="s">
        <v>809</v>
      </c>
      <c r="H13" t="s">
        <v>820</v>
      </c>
      <c r="I13" s="379">
        <v>0.4</v>
      </c>
      <c r="J13" s="379">
        <v>0.3</v>
      </c>
      <c r="K13" s="379">
        <v>0.15</v>
      </c>
      <c r="L13" s="379">
        <v>23.31</v>
      </c>
      <c r="M13" s="379">
        <v>1.0325751671572523</v>
      </c>
      <c r="N13" s="297">
        <v>1169512.0108316932</v>
      </c>
    </row>
    <row r="14" spans="1:14" x14ac:dyDescent="0.25">
      <c r="A14" t="s">
        <v>809</v>
      </c>
      <c r="B14" t="s">
        <v>807</v>
      </c>
      <c r="D14" s="379">
        <v>0.4</v>
      </c>
      <c r="E14" s="379">
        <v>0.46</v>
      </c>
      <c r="F14" s="379">
        <v>0.49</v>
      </c>
      <c r="G14" t="s">
        <v>809</v>
      </c>
      <c r="H14" t="s">
        <v>821</v>
      </c>
      <c r="I14" s="379">
        <v>0.46</v>
      </c>
      <c r="J14" s="379">
        <v>7.7</v>
      </c>
      <c r="K14" s="379">
        <v>0.32500000000000001</v>
      </c>
      <c r="L14" s="379">
        <v>39.69</v>
      </c>
      <c r="M14" s="379">
        <v>1.2841211489991846</v>
      </c>
      <c r="N14" s="297">
        <v>2191813.5007779789</v>
      </c>
    </row>
    <row r="15" spans="1:14" x14ac:dyDescent="0.25">
      <c r="A15" t="s">
        <v>809</v>
      </c>
      <c r="B15" t="s">
        <v>797</v>
      </c>
      <c r="C15" t="s">
        <v>803</v>
      </c>
      <c r="D15" s="379">
        <v>0.3</v>
      </c>
      <c r="E15" s="379">
        <v>7.7</v>
      </c>
      <c r="F15" s="379">
        <v>12.6</v>
      </c>
      <c r="G15" t="s">
        <v>809</v>
      </c>
      <c r="H15" t="s">
        <v>822</v>
      </c>
      <c r="I15" s="379">
        <v>0.49</v>
      </c>
      <c r="J15" s="379">
        <v>12.6</v>
      </c>
      <c r="K15" s="379">
        <v>0.5</v>
      </c>
      <c r="L15" s="379">
        <v>68.67</v>
      </c>
      <c r="M15" s="379">
        <v>1.4172270363951474</v>
      </c>
      <c r="N15" s="297">
        <v>3155108.2285689358</v>
      </c>
    </row>
    <row r="16" spans="1:14" x14ac:dyDescent="0.25">
      <c r="A16" t="s">
        <v>809</v>
      </c>
      <c r="B16" t="s">
        <v>799</v>
      </c>
      <c r="D16" s="379">
        <v>0.15</v>
      </c>
      <c r="E16" s="379">
        <v>0.32500000000000001</v>
      </c>
      <c r="F16" s="379">
        <v>0.5</v>
      </c>
      <c r="G16" t="s">
        <v>588</v>
      </c>
      <c r="H16" t="s">
        <v>820</v>
      </c>
      <c r="I16" s="379">
        <v>0.4</v>
      </c>
      <c r="J16" s="379">
        <v>27.8</v>
      </c>
      <c r="K16" s="379">
        <v>0.15</v>
      </c>
      <c r="L16" s="379">
        <v>10.199999999999999</v>
      </c>
      <c r="M16" s="379">
        <v>0.75293293643845194</v>
      </c>
      <c r="N16" s="297">
        <v>1180363.0780797016</v>
      </c>
    </row>
    <row r="17" spans="1:14" x14ac:dyDescent="0.25">
      <c r="A17" t="s">
        <v>809</v>
      </c>
      <c r="B17" t="s">
        <v>800</v>
      </c>
      <c r="C17" t="s">
        <v>804</v>
      </c>
      <c r="D17" s="379">
        <v>23.31</v>
      </c>
      <c r="E17" s="379">
        <v>39.69</v>
      </c>
      <c r="F17" s="379">
        <v>68.67</v>
      </c>
      <c r="G17" t="s">
        <v>588</v>
      </c>
      <c r="H17" t="s">
        <v>821</v>
      </c>
      <c r="I17" s="379">
        <v>0.46</v>
      </c>
      <c r="J17" s="379">
        <v>27.8</v>
      </c>
      <c r="K17" s="379">
        <v>0.32500000000000001</v>
      </c>
      <c r="L17" s="379">
        <v>11.55</v>
      </c>
      <c r="M17" s="379">
        <v>1.02433899492208</v>
      </c>
      <c r="N17" s="297">
        <v>2056655.954808278</v>
      </c>
    </row>
    <row r="18" spans="1:14" x14ac:dyDescent="0.25">
      <c r="A18" t="s">
        <v>809</v>
      </c>
      <c r="B18" t="s">
        <v>801</v>
      </c>
      <c r="C18" t="s">
        <v>806</v>
      </c>
      <c r="D18" s="379">
        <v>1.0325751671572523</v>
      </c>
      <c r="E18" s="379">
        <v>1.2841211489991846</v>
      </c>
      <c r="F18" s="379">
        <v>1.4172270363951474</v>
      </c>
      <c r="G18" t="s">
        <v>588</v>
      </c>
      <c r="H18" t="s">
        <v>822</v>
      </c>
      <c r="I18" s="379">
        <v>0.49</v>
      </c>
      <c r="J18" s="379">
        <v>27.8</v>
      </c>
      <c r="K18" s="379">
        <v>0.5</v>
      </c>
      <c r="L18" s="379">
        <v>19.8</v>
      </c>
      <c r="M18" s="379">
        <v>1.369794975454808</v>
      </c>
      <c r="N18" s="297">
        <v>2854761.2507040268</v>
      </c>
    </row>
    <row r="19" spans="1:14" x14ac:dyDescent="0.25">
      <c r="A19" t="s">
        <v>809</v>
      </c>
      <c r="B19" t="s">
        <v>802</v>
      </c>
      <c r="C19" t="s">
        <v>808</v>
      </c>
      <c r="D19" s="379">
        <v>1169512.0108316932</v>
      </c>
      <c r="E19" s="379">
        <v>2191813.5007779789</v>
      </c>
      <c r="F19" s="379">
        <v>3155108.2285689358</v>
      </c>
      <c r="G19" t="s">
        <v>823</v>
      </c>
      <c r="H19" t="s">
        <v>820</v>
      </c>
      <c r="I19" s="379">
        <v>0.29819999999999997</v>
      </c>
      <c r="J19" s="379">
        <v>38.4</v>
      </c>
      <c r="K19" s="379">
        <v>0.14463276836158195</v>
      </c>
      <c r="L19" s="379">
        <v>3.33</v>
      </c>
      <c r="M19" s="379">
        <v>0.92700716698284813</v>
      </c>
      <c r="N19" s="297">
        <v>276267.21781006735</v>
      </c>
    </row>
    <row r="20" spans="1:14" x14ac:dyDescent="0.25">
      <c r="A20" t="s">
        <v>620</v>
      </c>
      <c r="B20" t="s">
        <v>807</v>
      </c>
      <c r="D20" s="379">
        <v>0.4</v>
      </c>
      <c r="E20" s="379">
        <v>0.46</v>
      </c>
      <c r="F20" s="379">
        <v>0.49</v>
      </c>
      <c r="G20" t="s">
        <v>823</v>
      </c>
      <c r="H20" t="s">
        <v>821</v>
      </c>
      <c r="I20" s="379">
        <v>0.58079999999999998</v>
      </c>
      <c r="J20" s="379">
        <v>59</v>
      </c>
      <c r="K20" s="379">
        <v>0.34706610609402788</v>
      </c>
      <c r="L20" s="379">
        <v>5.67</v>
      </c>
      <c r="M20" s="379">
        <v>1.0812467168621958</v>
      </c>
      <c r="N20" s="297">
        <v>276426.90888362238</v>
      </c>
    </row>
    <row r="21" spans="1:14" x14ac:dyDescent="0.25">
      <c r="A21" t="s">
        <v>620</v>
      </c>
      <c r="B21" t="s">
        <v>797</v>
      </c>
      <c r="C21" t="s">
        <v>803</v>
      </c>
      <c r="D21" s="379">
        <v>27.8</v>
      </c>
      <c r="E21" s="379">
        <v>27.8</v>
      </c>
      <c r="F21" s="379">
        <v>27.8</v>
      </c>
      <c r="G21" t="s">
        <v>823</v>
      </c>
      <c r="H21" t="s">
        <v>822</v>
      </c>
      <c r="I21" s="379">
        <v>0.78200000000000003</v>
      </c>
      <c r="J21" s="379">
        <v>97.9</v>
      </c>
      <c r="K21" s="379">
        <v>0.54949944382647375</v>
      </c>
      <c r="L21" s="379">
        <v>9.81</v>
      </c>
      <c r="M21" s="379">
        <v>1.5715286289616528</v>
      </c>
      <c r="N21" s="297">
        <v>613927.15068903915</v>
      </c>
    </row>
    <row r="22" spans="1:14" x14ac:dyDescent="0.25">
      <c r="A22" t="s">
        <v>620</v>
      </c>
      <c r="B22" t="s">
        <v>799</v>
      </c>
      <c r="D22" s="379">
        <v>0.15</v>
      </c>
      <c r="E22" s="379">
        <v>0.32500000000000001</v>
      </c>
      <c r="F22" s="379">
        <v>0.5</v>
      </c>
      <c r="G22" t="s">
        <v>499</v>
      </c>
      <c r="H22" t="s">
        <v>820</v>
      </c>
      <c r="I22" s="379">
        <v>0.71</v>
      </c>
      <c r="J22" s="379">
        <v>20.7</v>
      </c>
      <c r="K22" s="379">
        <v>0.14463276836158195</v>
      </c>
      <c r="L22" s="379">
        <v>1</v>
      </c>
      <c r="M22" s="379">
        <v>0.75731045351076864</v>
      </c>
      <c r="N22" s="297">
        <v>261051.77591173322</v>
      </c>
    </row>
    <row r="23" spans="1:14" x14ac:dyDescent="0.25">
      <c r="A23" t="s">
        <v>620</v>
      </c>
      <c r="B23" t="s">
        <v>800</v>
      </c>
      <c r="C23" t="s">
        <v>804</v>
      </c>
      <c r="D23" s="379">
        <v>10.199999999999999</v>
      </c>
      <c r="E23" s="379">
        <v>11.55</v>
      </c>
      <c r="F23" s="379">
        <v>19.8</v>
      </c>
      <c r="G23" t="s">
        <v>499</v>
      </c>
      <c r="H23" t="s">
        <v>821</v>
      </c>
      <c r="I23" s="379">
        <v>0.88</v>
      </c>
      <c r="J23" s="379">
        <v>20.7</v>
      </c>
      <c r="K23" s="379">
        <v>0.34706610609402788</v>
      </c>
      <c r="L23" s="379">
        <v>1</v>
      </c>
      <c r="M23" s="379">
        <v>0.88812996228874896</v>
      </c>
      <c r="N23" s="297">
        <v>306963.57534451911</v>
      </c>
    </row>
    <row r="24" spans="1:14" x14ac:dyDescent="0.25">
      <c r="A24" t="s">
        <v>620</v>
      </c>
      <c r="B24" t="s">
        <v>801</v>
      </c>
      <c r="C24" t="s">
        <v>806</v>
      </c>
      <c r="D24" s="379">
        <v>0.75293293643845194</v>
      </c>
      <c r="E24" s="379">
        <v>1.02433899492208</v>
      </c>
      <c r="F24" s="379">
        <v>1.369794975454808</v>
      </c>
      <c r="G24" t="s">
        <v>499</v>
      </c>
      <c r="H24" t="s">
        <v>822</v>
      </c>
      <c r="I24" s="379">
        <v>0.92</v>
      </c>
      <c r="J24" s="379">
        <v>20.7</v>
      </c>
      <c r="K24" s="379">
        <v>0.54949944382647375</v>
      </c>
      <c r="L24" s="379">
        <v>1</v>
      </c>
      <c r="M24" s="379">
        <v>1.0177727193136052</v>
      </c>
      <c r="N24" s="297">
        <v>613927.15068903915</v>
      </c>
    </row>
    <row r="25" spans="1:14" x14ac:dyDescent="0.25">
      <c r="A25" t="s">
        <v>620</v>
      </c>
      <c r="B25" t="s">
        <v>802</v>
      </c>
      <c r="C25" t="s">
        <v>808</v>
      </c>
      <c r="D25" s="379">
        <v>1180363.0780797016</v>
      </c>
      <c r="E25" s="379">
        <v>2056655.954808278</v>
      </c>
      <c r="F25" s="379">
        <v>2854761.2507040268</v>
      </c>
    </row>
    <row r="26" spans="1:14" x14ac:dyDescent="0.25">
      <c r="A26" t="s">
        <v>795</v>
      </c>
      <c r="B26" t="s">
        <v>807</v>
      </c>
      <c r="D26" s="379">
        <v>0.29819999999999997</v>
      </c>
      <c r="E26" s="379">
        <v>0.58079999999999998</v>
      </c>
      <c r="F26" s="379">
        <v>0.78200000000000003</v>
      </c>
    </row>
    <row r="27" spans="1:14" x14ac:dyDescent="0.25">
      <c r="A27" t="s">
        <v>795</v>
      </c>
      <c r="B27" t="s">
        <v>797</v>
      </c>
      <c r="C27" t="s">
        <v>803</v>
      </c>
      <c r="D27" s="379">
        <v>38.4</v>
      </c>
      <c r="E27" s="379">
        <v>59</v>
      </c>
      <c r="F27" s="379">
        <v>97.9</v>
      </c>
    </row>
    <row r="28" spans="1:14" x14ac:dyDescent="0.25">
      <c r="A28" t="s">
        <v>795</v>
      </c>
      <c r="B28" t="s">
        <v>799</v>
      </c>
      <c r="D28" s="379">
        <v>0.14463276836158195</v>
      </c>
      <c r="E28" s="379">
        <v>0.34706610609402788</v>
      </c>
      <c r="F28" s="379">
        <v>0.54949944382647375</v>
      </c>
    </row>
    <row r="29" spans="1:14" x14ac:dyDescent="0.25">
      <c r="A29" t="s">
        <v>795</v>
      </c>
      <c r="B29" t="s">
        <v>800</v>
      </c>
      <c r="C29" t="s">
        <v>804</v>
      </c>
      <c r="D29" s="379">
        <v>3.33</v>
      </c>
      <c r="E29" s="379">
        <v>5.67</v>
      </c>
      <c r="F29" s="379">
        <v>9.81</v>
      </c>
    </row>
    <row r="30" spans="1:14" x14ac:dyDescent="0.25">
      <c r="A30" t="s">
        <v>795</v>
      </c>
      <c r="B30" t="s">
        <v>801</v>
      </c>
      <c r="C30" t="s">
        <v>806</v>
      </c>
      <c r="D30" s="379">
        <v>0.92700716698284813</v>
      </c>
      <c r="E30" s="379">
        <v>1.0812467168621958</v>
      </c>
      <c r="F30" s="379">
        <v>1.5715286289616528</v>
      </c>
    </row>
    <row r="31" spans="1:14" x14ac:dyDescent="0.25">
      <c r="A31" t="s">
        <v>795</v>
      </c>
      <c r="B31" t="s">
        <v>802</v>
      </c>
      <c r="C31" t="s">
        <v>805</v>
      </c>
      <c r="D31" s="379">
        <v>276267.21781006735</v>
      </c>
      <c r="E31" s="379">
        <v>276426.90888362238</v>
      </c>
      <c r="F31" s="379">
        <v>613927.15068903915</v>
      </c>
    </row>
    <row r="32" spans="1:14" x14ac:dyDescent="0.25">
      <c r="A32" t="s">
        <v>499</v>
      </c>
      <c r="B32" t="s">
        <v>807</v>
      </c>
      <c r="D32" s="379">
        <v>0.71</v>
      </c>
      <c r="E32" s="379">
        <v>0.88</v>
      </c>
      <c r="F32" s="379">
        <v>0.92</v>
      </c>
    </row>
    <row r="33" spans="1:6" x14ac:dyDescent="0.25">
      <c r="A33" t="s">
        <v>499</v>
      </c>
      <c r="B33" t="s">
        <v>797</v>
      </c>
      <c r="C33" t="s">
        <v>803</v>
      </c>
      <c r="D33" s="379">
        <v>20.7</v>
      </c>
      <c r="E33" s="379">
        <v>20.7</v>
      </c>
      <c r="F33" s="379">
        <v>20.7</v>
      </c>
    </row>
    <row r="34" spans="1:6" x14ac:dyDescent="0.25">
      <c r="A34" t="s">
        <v>499</v>
      </c>
      <c r="B34" t="s">
        <v>799</v>
      </c>
      <c r="D34" s="379">
        <v>0.14463276836158195</v>
      </c>
      <c r="E34" s="379">
        <v>0.34706610609402788</v>
      </c>
      <c r="F34" s="379">
        <v>0.54949944382647375</v>
      </c>
    </row>
    <row r="35" spans="1:6" x14ac:dyDescent="0.25">
      <c r="A35" t="s">
        <v>499</v>
      </c>
      <c r="B35" t="s">
        <v>800</v>
      </c>
      <c r="C35" t="s">
        <v>804</v>
      </c>
      <c r="D35" s="379">
        <v>1</v>
      </c>
      <c r="E35" s="379">
        <v>1</v>
      </c>
      <c r="F35" s="379">
        <v>1</v>
      </c>
    </row>
    <row r="36" spans="1:6" x14ac:dyDescent="0.25">
      <c r="A36" t="s">
        <v>499</v>
      </c>
      <c r="B36" t="s">
        <v>801</v>
      </c>
      <c r="C36" t="s">
        <v>806</v>
      </c>
      <c r="D36" s="379">
        <v>0.75731045351076864</v>
      </c>
      <c r="E36" s="379">
        <v>0.88812996228874896</v>
      </c>
      <c r="F36" s="379">
        <v>1.0177727193136052</v>
      </c>
    </row>
    <row r="37" spans="1:6" x14ac:dyDescent="0.25">
      <c r="A37" t="s">
        <v>499</v>
      </c>
      <c r="B37" t="s">
        <v>802</v>
      </c>
      <c r="C37" t="s">
        <v>805</v>
      </c>
      <c r="D37" s="379">
        <v>261051.77591173322</v>
      </c>
      <c r="E37" s="379">
        <v>306963.57534451911</v>
      </c>
      <c r="F37" s="379">
        <v>613927.15068903915</v>
      </c>
    </row>
    <row r="42" spans="1:6" x14ac:dyDescent="0.25">
      <c r="A42" t="s">
        <v>798</v>
      </c>
      <c r="B42" t="s">
        <v>797</v>
      </c>
      <c r="C42" t="s">
        <v>803</v>
      </c>
      <c r="D42" s="379">
        <f>'Cost Analysis-HEFA'!$C$11</f>
        <v>86.8</v>
      </c>
      <c r="E42" s="379">
        <f>'Cost Analysis-HEFA'!$C$11</f>
        <v>86.8</v>
      </c>
      <c r="F42" s="379">
        <f>'Cost Analysis-HEFA'!$C$11</f>
        <v>86.8</v>
      </c>
    </row>
    <row r="43" spans="1:6" x14ac:dyDescent="0.25">
      <c r="A43" t="s">
        <v>798</v>
      </c>
      <c r="B43" t="s">
        <v>801</v>
      </c>
      <c r="C43" t="s">
        <v>806</v>
      </c>
      <c r="D43" s="379">
        <v>0.31</v>
      </c>
      <c r="E43" s="379">
        <v>0.41</v>
      </c>
      <c r="F43" s="379">
        <v>0.48</v>
      </c>
    </row>
  </sheetData>
  <autoFilter ref="A1:F37" xr:uid="{2A3A65D3-E175-49C7-9833-8199C2B6DD97}">
    <sortState xmlns:xlrd2="http://schemas.microsoft.com/office/spreadsheetml/2017/richdata2" ref="A2:F37">
      <sortCondition ref="A1:A3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393-3404-49D3-ABE5-F3B12510D25D}">
  <sheetPr>
    <tabColor theme="4" tint="-0.249977111117893"/>
  </sheetPr>
  <dimension ref="A1:L73"/>
  <sheetViews>
    <sheetView tabSelected="1" zoomScale="85" zoomScaleNormal="85" workbookViewId="0">
      <selection activeCell="I20" sqref="I20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21.42578125" customWidth="1"/>
    <col min="5" max="5" width="15.85546875" customWidth="1"/>
    <col min="6" max="6" width="19.7109375" customWidth="1"/>
    <col min="7" max="7" width="12.5703125" customWidth="1"/>
    <col min="8" max="8" width="14.28515625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82" t="s">
        <v>539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4"/>
    </row>
    <row r="2" spans="1:12" ht="14.45" customHeight="1" thickBot="1" x14ac:dyDescent="0.3">
      <c r="A2" s="585"/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7"/>
    </row>
    <row r="3" spans="1:12" x14ac:dyDescent="0.25">
      <c r="A3" s="588" t="s">
        <v>314</v>
      </c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90"/>
    </row>
    <row r="4" spans="1:12" x14ac:dyDescent="0.25">
      <c r="A4" s="521" t="s">
        <v>421</v>
      </c>
      <c r="B4" s="418"/>
      <c r="C4" s="419"/>
      <c r="D4" s="141"/>
      <c r="E4" s="511"/>
      <c r="F4" s="511"/>
      <c r="G4" s="511"/>
      <c r="H4" s="141"/>
      <c r="I4" s="511"/>
      <c r="J4" s="511"/>
      <c r="K4" s="511"/>
      <c r="L4" s="23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497" t="s">
        <v>542</v>
      </c>
    </row>
    <row r="6" spans="1:12" x14ac:dyDescent="0.25">
      <c r="A6" s="242">
        <v>0.31</v>
      </c>
      <c r="B6" s="243">
        <v>0.48</v>
      </c>
      <c r="C6" s="243">
        <v>0.57999999999999996</v>
      </c>
      <c r="D6" s="141"/>
      <c r="E6" s="212"/>
      <c r="F6" s="212"/>
      <c r="G6" s="212"/>
      <c r="H6" s="141"/>
      <c r="I6" s="212"/>
      <c r="J6" s="212"/>
      <c r="K6" s="212"/>
      <c r="L6" s="498"/>
    </row>
    <row r="7" spans="1:12" x14ac:dyDescent="0.25">
      <c r="A7" s="574" t="s">
        <v>461</v>
      </c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6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ht="18" customHeight="1" x14ac:dyDescent="0.25">
      <c r="A9" s="149" t="s">
        <v>10</v>
      </c>
      <c r="B9" s="149" t="s">
        <v>564</v>
      </c>
      <c r="C9" s="139">
        <v>33.700000000000003</v>
      </c>
      <c r="D9" s="139">
        <v>52.2</v>
      </c>
      <c r="E9" s="139">
        <v>68.400000000000006</v>
      </c>
      <c r="F9" s="202" t="s">
        <v>514</v>
      </c>
      <c r="G9" s="139">
        <f>C9*35.3</f>
        <v>1189.6099999999999</v>
      </c>
      <c r="H9" s="139">
        <f>D9*35.3</f>
        <v>1842.6599999999999</v>
      </c>
      <c r="I9" s="139">
        <f>E9*35.3</f>
        <v>2414.52</v>
      </c>
      <c r="J9" s="142"/>
      <c r="K9" s="142"/>
      <c r="L9" s="167" t="s">
        <v>541</v>
      </c>
    </row>
    <row r="10" spans="1:12" ht="18" customHeight="1" x14ac:dyDescent="0.25">
      <c r="A10" s="499" t="s">
        <v>489</v>
      </c>
      <c r="B10" s="500"/>
      <c r="C10" s="501">
        <v>86.8</v>
      </c>
      <c r="D10" s="502"/>
      <c r="E10" s="503"/>
      <c r="F10" s="145"/>
      <c r="G10" s="501">
        <f>C10*35.3</f>
        <v>3064.0399999999995</v>
      </c>
      <c r="H10" s="502"/>
      <c r="I10" s="503"/>
      <c r="J10" s="141"/>
      <c r="K10" s="141"/>
      <c r="L10" s="167" t="s">
        <v>490</v>
      </c>
    </row>
    <row r="11" spans="1:12" x14ac:dyDescent="0.25">
      <c r="A11" s="574" t="s">
        <v>468</v>
      </c>
      <c r="B11" s="575"/>
      <c r="C11" s="575"/>
      <c r="D11" s="575"/>
      <c r="E11" s="575"/>
      <c r="F11" s="575"/>
      <c r="G11" s="575"/>
      <c r="H11" s="575"/>
      <c r="I11" s="575"/>
      <c r="J11" s="575"/>
      <c r="K11" s="575"/>
      <c r="L11" s="576"/>
    </row>
    <row r="12" spans="1:12" x14ac:dyDescent="0.25">
      <c r="A12" s="246" t="s">
        <v>466</v>
      </c>
      <c r="B12" s="247">
        <v>0.15</v>
      </c>
      <c r="C12" s="141"/>
      <c r="D12" s="141"/>
      <c r="E12" s="141"/>
      <c r="F12" s="141"/>
      <c r="G12" s="141"/>
      <c r="H12" s="141"/>
      <c r="I12" s="141"/>
      <c r="J12" s="141"/>
      <c r="K12" s="141"/>
      <c r="L12" s="245" t="s">
        <v>462</v>
      </c>
    </row>
    <row r="13" spans="1:12" x14ac:dyDescent="0.25">
      <c r="A13" s="168" t="s">
        <v>467</v>
      </c>
      <c r="B13" s="143">
        <v>0.75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67" t="s">
        <v>540</v>
      </c>
    </row>
    <row r="14" spans="1:12" x14ac:dyDescent="0.25">
      <c r="A14" s="577" t="s">
        <v>469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9"/>
    </row>
    <row r="15" spans="1:12" x14ac:dyDescent="0.25">
      <c r="A15" s="168" t="s">
        <v>471</v>
      </c>
      <c r="B15" s="144" t="s">
        <v>45</v>
      </c>
      <c r="C15" s="144" t="s">
        <v>35</v>
      </c>
      <c r="D15" s="144" t="s">
        <v>470</v>
      </c>
      <c r="E15" s="144" t="s">
        <v>37</v>
      </c>
      <c r="F15" s="144" t="s">
        <v>48</v>
      </c>
      <c r="G15" s="141"/>
      <c r="H15" s="141"/>
      <c r="I15" s="141"/>
      <c r="J15" s="141"/>
      <c r="K15" s="141"/>
      <c r="L15" s="166" t="s">
        <v>462</v>
      </c>
    </row>
    <row r="16" spans="1:12" x14ac:dyDescent="0.25">
      <c r="A16" s="170" t="s">
        <v>34</v>
      </c>
      <c r="B16" s="14">
        <f>8*0.28</f>
        <v>2.2400000000000002</v>
      </c>
      <c r="C16" s="14">
        <f>0.28*37</f>
        <v>10.360000000000001</v>
      </c>
      <c r="D16" s="14">
        <f>0.28*63</f>
        <v>17.64</v>
      </c>
      <c r="E16" s="14">
        <f>0.28*109</f>
        <v>30.520000000000003</v>
      </c>
      <c r="F16" s="14">
        <f>0.28*217</f>
        <v>60.760000000000005</v>
      </c>
      <c r="G16" s="142"/>
      <c r="H16" s="142"/>
      <c r="I16" s="142"/>
      <c r="J16" s="142"/>
      <c r="K16" s="142"/>
      <c r="L16" s="167" t="s">
        <v>472</v>
      </c>
    </row>
    <row r="17" spans="1:12" x14ac:dyDescent="0.25">
      <c r="A17" s="580" t="s">
        <v>473</v>
      </c>
      <c r="B17" s="575"/>
      <c r="C17" s="575"/>
      <c r="D17" s="575"/>
      <c r="E17" s="575"/>
      <c r="F17" s="575"/>
      <c r="G17" s="575"/>
      <c r="H17" s="575"/>
      <c r="I17" s="575"/>
      <c r="J17" s="575"/>
      <c r="K17" s="575"/>
      <c r="L17" s="581"/>
    </row>
    <row r="18" spans="1:12" ht="75" x14ac:dyDescent="0.25">
      <c r="A18" s="168" t="s">
        <v>227</v>
      </c>
      <c r="B18" s="160" t="s">
        <v>496</v>
      </c>
      <c r="C18" s="160" t="s">
        <v>493</v>
      </c>
      <c r="D18" s="160" t="s">
        <v>494</v>
      </c>
      <c r="E18" s="160" t="s">
        <v>495</v>
      </c>
      <c r="F18" s="161" t="s">
        <v>488</v>
      </c>
      <c r="G18" s="161" t="s">
        <v>487</v>
      </c>
      <c r="H18" s="180" t="s">
        <v>500</v>
      </c>
      <c r="I18" s="404" t="s">
        <v>847</v>
      </c>
      <c r="J18" s="201"/>
      <c r="K18" s="201"/>
      <c r="L18" s="166" t="s">
        <v>462</v>
      </c>
    </row>
    <row r="19" spans="1:12" x14ac:dyDescent="0.25">
      <c r="A19" s="171" t="str">
        <f>Biomass_Cost!B20</f>
        <v>Forest residues/ wheat straw (mixed alcohols)</v>
      </c>
      <c r="B19" s="181">
        <f>Biomass_Cost!F20</f>
        <v>0.50779198038872342</v>
      </c>
      <c r="C19" s="182">
        <f>Biomass_Cost!H20</f>
        <v>0.84048327788478361</v>
      </c>
      <c r="D19" s="182">
        <f>Biomass_Cost!J20</f>
        <v>0.97180879005428122</v>
      </c>
      <c r="E19" s="182">
        <f>Biomass_Cost!Q20</f>
        <v>2.333216599544738</v>
      </c>
      <c r="F19" s="182">
        <f>Biomass_Cost!Z20</f>
        <v>1896983.0430206705</v>
      </c>
      <c r="G19" s="205">
        <f>Biomass_Cost!AA20</f>
        <v>269.92</v>
      </c>
      <c r="H19" s="214" t="s">
        <v>561</v>
      </c>
      <c r="I19" s="606">
        <f>D19*$B$6/35.3</f>
        <v>1.3214397145214022E-2</v>
      </c>
      <c r="J19" s="141"/>
      <c r="K19" s="141"/>
      <c r="L19" s="172" t="str">
        <f>Biomass_Cost!R20</f>
        <v>[1]</v>
      </c>
    </row>
    <row r="20" spans="1:12" x14ac:dyDescent="0.25">
      <c r="A20" s="171" t="str">
        <f>Biomass_Cost!B21</f>
        <v>Ethanol</v>
      </c>
      <c r="B20" s="184">
        <f>Biomass_Cost!F21</f>
        <v>8.7550341446331642E-2</v>
      </c>
      <c r="C20" s="175">
        <f>Biomass_Cost!H21</f>
        <v>0.20136578532656277</v>
      </c>
      <c r="D20" s="175">
        <f>Biomass_Cost!J21</f>
        <v>1.0768691997898792</v>
      </c>
      <c r="E20" s="175" t="str">
        <f>Biomass_Cost!Q21</f>
        <v>N/A</v>
      </c>
      <c r="F20" s="175" t="s">
        <v>482</v>
      </c>
      <c r="G20" s="206">
        <f>Biomass_Cost!AA21</f>
        <v>119.19000000000001</v>
      </c>
      <c r="H20" s="215" t="s">
        <v>561</v>
      </c>
      <c r="I20" s="607">
        <f>D20*$B$6/35.3</f>
        <v>1.4642980620372295E-2</v>
      </c>
      <c r="J20" s="141"/>
      <c r="K20" s="141"/>
      <c r="L20" s="172" t="str">
        <f>Biomass_Cost!R21</f>
        <v>[7]</v>
      </c>
    </row>
    <row r="21" spans="1:12" x14ac:dyDescent="0.25">
      <c r="A21" s="171" t="str">
        <f>Biomass_Cost!B22</f>
        <v>Isobutanol</v>
      </c>
      <c r="B21" s="184">
        <f>Biomass_Cost!F22</f>
        <v>4.3775170723165821E-2</v>
      </c>
      <c r="C21" s="175">
        <f>Biomass_Cost!H22</f>
        <v>0.14008054631413061</v>
      </c>
      <c r="D21" s="175">
        <f>Biomass_Cost!J22</f>
        <v>1.2081947119593763</v>
      </c>
      <c r="E21" s="175" t="str">
        <f>Biomass_Cost!Q22</f>
        <v>N/A</v>
      </c>
      <c r="F21" s="175" t="s">
        <v>482</v>
      </c>
      <c r="G21" s="206">
        <f>Biomass_Cost!AA22</f>
        <v>120.495</v>
      </c>
      <c r="H21" s="215" t="s">
        <v>561</v>
      </c>
      <c r="I21" s="607">
        <f t="shared" ref="I21:I26" si="0">D21*$B$6/35.3</f>
        <v>1.6428709964320134E-2</v>
      </c>
      <c r="J21" s="141"/>
      <c r="K21" s="141"/>
      <c r="L21" s="172" t="str">
        <f>Biomass_Cost!R22</f>
        <v>[7]</v>
      </c>
    </row>
    <row r="22" spans="1:12" x14ac:dyDescent="0.25">
      <c r="A22" s="171" t="str">
        <f>Biomass_Cost!B23</f>
        <v>Isobutanol</v>
      </c>
      <c r="B22" s="184">
        <f>Biomass_Cost!F23</f>
        <v>4.3775170723165821E-2</v>
      </c>
      <c r="C22" s="175">
        <f>Biomass_Cost!H23</f>
        <v>0.14008054631413061</v>
      </c>
      <c r="D22" s="175">
        <f>Biomass_Cost!J23</f>
        <v>1.2081947119593763</v>
      </c>
      <c r="E22" s="175" t="str">
        <f>Biomass_Cost!Q23</f>
        <v>N/A</v>
      </c>
      <c r="F22" s="175" t="s">
        <v>482</v>
      </c>
      <c r="G22" s="206">
        <f>Biomass_Cost!AA23</f>
        <v>121.04900000000001</v>
      </c>
      <c r="H22" s="215" t="s">
        <v>561</v>
      </c>
      <c r="I22" s="607">
        <f t="shared" si="0"/>
        <v>1.6428709964320134E-2</v>
      </c>
      <c r="J22" s="141"/>
      <c r="K22" s="141"/>
      <c r="L22" s="172" t="str">
        <f>Biomass_Cost!R23</f>
        <v>[7]</v>
      </c>
    </row>
    <row r="23" spans="1:12" x14ac:dyDescent="0.25">
      <c r="A23" s="171" t="str">
        <f>Biomass_Cost!B24</f>
        <v>Wheat straw/ isobutanol</v>
      </c>
      <c r="B23" s="184">
        <f>Biomass_Cost!F24</f>
        <v>0.2101208194711959</v>
      </c>
      <c r="C23" s="175">
        <f>Biomass_Cost!H24</f>
        <v>0.33269129749606019</v>
      </c>
      <c r="D23" s="175">
        <f>Biomass_Cost!J24</f>
        <v>0.90176851689721582</v>
      </c>
      <c r="E23" s="175">
        <f>Biomass_Cost!Q24</f>
        <v>1.0506040973559796</v>
      </c>
      <c r="F23" s="175">
        <f>Biomass_Cost!Z24</f>
        <v>784958.50056027831</v>
      </c>
      <c r="G23" s="206">
        <f>Biomass_Cost!AA24</f>
        <v>2540</v>
      </c>
      <c r="H23" s="215" t="s">
        <v>561</v>
      </c>
      <c r="I23" s="607">
        <f t="shared" si="0"/>
        <v>1.2262008161775173E-2</v>
      </c>
      <c r="J23" s="141"/>
      <c r="K23" s="141"/>
      <c r="L23" s="172" t="str">
        <f>Biomass_Cost!R24</f>
        <v>[3]</v>
      </c>
    </row>
    <row r="24" spans="1:12" x14ac:dyDescent="0.25">
      <c r="A24" s="171" t="str">
        <f>Biomass_Cost!B25</f>
        <v>Wheat grain/ isobutanol</v>
      </c>
      <c r="B24" s="184">
        <f>Biomass_Cost!F25</f>
        <v>7.8795307301698467E-2</v>
      </c>
      <c r="C24" s="175">
        <f>Biomass_Cost!H25</f>
        <v>0.28016109262826122</v>
      </c>
      <c r="D24" s="175">
        <f>Biomass_Cost!J25</f>
        <v>0.74417790229381886</v>
      </c>
      <c r="E24" s="175">
        <f>Biomass_Cost!Q25</f>
        <v>0.65662756084748719</v>
      </c>
      <c r="F24" s="175">
        <f>Biomass_Cost!Z25</f>
        <v>294359.43771010416</v>
      </c>
      <c r="G24" s="206">
        <f>Biomass_Cost!AA25</f>
        <v>2560</v>
      </c>
      <c r="H24" s="215" t="s">
        <v>561</v>
      </c>
      <c r="I24" s="607">
        <f t="shared" si="0"/>
        <v>1.0119132949037764E-2</v>
      </c>
      <c r="J24" s="141"/>
      <c r="K24" s="141"/>
      <c r="L24" s="172" t="str">
        <f>Biomass_Cost!R25</f>
        <v>[3]</v>
      </c>
    </row>
    <row r="25" spans="1:12" x14ac:dyDescent="0.25">
      <c r="A25" s="171" t="str">
        <f>Biomass_Cost!B26</f>
        <v>Corn grain/ ethanol-nth plant</v>
      </c>
      <c r="B25" s="184">
        <f>Biomass_Cost!F26</f>
        <v>0.41148660479775867</v>
      </c>
      <c r="C25" s="175">
        <f>Biomass_Cost!H26</f>
        <v>0.27140605848362803</v>
      </c>
      <c r="D25" s="175">
        <f>Biomass_Cost!J26</f>
        <v>0.71791279985991929</v>
      </c>
      <c r="E25" s="175">
        <f>Biomass_Cost!Q26</f>
        <v>0.97180879005428122</v>
      </c>
      <c r="F25" s="175">
        <f>Biomass_Cost!Z26</f>
        <v>1537210.3969305374</v>
      </c>
      <c r="G25" s="206">
        <f>Biomass_Cost!AA26</f>
        <v>436</v>
      </c>
      <c r="H25" s="215" t="s">
        <v>561</v>
      </c>
      <c r="I25" s="607">
        <f t="shared" si="0"/>
        <v>9.761987080248195E-3</v>
      </c>
      <c r="J25" s="141"/>
      <c r="K25" s="141"/>
      <c r="L25" s="172" t="str">
        <f>Biomass_Cost!R26</f>
        <v>[8]</v>
      </c>
    </row>
    <row r="26" spans="1:12" x14ac:dyDescent="0.25">
      <c r="A26" s="171" t="str">
        <f>Biomass_Cost!B27</f>
        <v>Corn stover/ ethanol-nth plant</v>
      </c>
      <c r="B26" s="184">
        <f>Biomass_Cost!F27</f>
        <v>0.63911749255822092</v>
      </c>
      <c r="C26" s="175">
        <f>Biomass_Cost!H27</f>
        <v>0.43775170723165818</v>
      </c>
      <c r="D26" s="175">
        <f>Biomass_Cost!J27</f>
        <v>0.48152687795482402</v>
      </c>
      <c r="E26" s="175">
        <f>Biomass_Cost!Q27</f>
        <v>1.4183155314305727</v>
      </c>
      <c r="F26" s="175">
        <f>Biomass_Cost!Z27</f>
        <v>2387582.1058708457</v>
      </c>
      <c r="G26" s="206">
        <f>Biomass_Cost!AA27</f>
        <v>307</v>
      </c>
      <c r="H26" s="215" t="s">
        <v>561</v>
      </c>
      <c r="I26" s="607">
        <f t="shared" si="0"/>
        <v>6.5476742611420835E-3</v>
      </c>
      <c r="J26" s="141"/>
      <c r="K26" s="141"/>
      <c r="L26" s="172" t="str">
        <f>Biomass_Cost!R27</f>
        <v>[8]</v>
      </c>
    </row>
    <row r="27" spans="1:12" x14ac:dyDescent="0.25">
      <c r="A27" s="171" t="str">
        <f>Biomass_Cost!B28</f>
        <v>Sugarcane</v>
      </c>
      <c r="B27" s="184" t="str">
        <f>Biomass_Cost!F28</f>
        <v>N/A</v>
      </c>
      <c r="C27" s="175" t="str">
        <f>Biomass_Cost!H28</f>
        <v>N/A</v>
      </c>
      <c r="D27" s="175" t="str">
        <f>Biomass_Cost!J28</f>
        <v>N/A</v>
      </c>
      <c r="E27" s="175">
        <f>Biomass_Cost!Q28</f>
        <v>0.84048327788478361</v>
      </c>
      <c r="F27" s="175" t="str">
        <f>Biomass_Cost!Z28</f>
        <v>N/A</v>
      </c>
      <c r="G27" s="206">
        <f>Biomass_Cost!AA28</f>
        <v>500</v>
      </c>
      <c r="H27" s="215" t="s">
        <v>561</v>
      </c>
      <c r="I27" s="607" t="s">
        <v>482</v>
      </c>
      <c r="J27" s="141"/>
      <c r="K27" s="141"/>
      <c r="L27" s="172" t="str">
        <f>Biomass_Cost!R28</f>
        <v>[9]</v>
      </c>
    </row>
    <row r="28" spans="1:12" x14ac:dyDescent="0.25">
      <c r="A28" s="171" t="str">
        <f>Biomass_Cost!B29</f>
        <v>Corn grain</v>
      </c>
      <c r="B28" s="184" t="str">
        <f>Biomass_Cost!F29</f>
        <v>N/A</v>
      </c>
      <c r="C28" s="175" t="str">
        <f>Biomass_Cost!H29</f>
        <v>N/A</v>
      </c>
      <c r="D28" s="175" t="str">
        <f>Biomass_Cost!J29</f>
        <v>N/A</v>
      </c>
      <c r="E28" s="175">
        <f>Biomass_Cost!Q29</f>
        <v>0.88425844860794944</v>
      </c>
      <c r="F28" s="175" t="str">
        <f>Biomass_Cost!Z29</f>
        <v>N/A</v>
      </c>
      <c r="G28" s="206">
        <f>Biomass_Cost!AA29</f>
        <v>500</v>
      </c>
      <c r="H28" s="215" t="s">
        <v>561</v>
      </c>
      <c r="I28" s="607" t="s">
        <v>482</v>
      </c>
      <c r="J28" s="141"/>
      <c r="K28" s="141"/>
      <c r="L28" s="172" t="str">
        <f>Biomass_Cost!R29</f>
        <v>[9]</v>
      </c>
    </row>
    <row r="29" spans="1:12" x14ac:dyDescent="0.25">
      <c r="A29" s="171" t="str">
        <f>Biomass_Cost!B30</f>
        <v>Switch grass</v>
      </c>
      <c r="B29" s="184" t="str">
        <f>Biomass_Cost!F30</f>
        <v>N/A</v>
      </c>
      <c r="C29" s="175" t="str">
        <f>Biomass_Cost!H30</f>
        <v>N/A</v>
      </c>
      <c r="D29" s="175" t="str">
        <f>Biomass_Cost!J30</f>
        <v>N/A</v>
      </c>
      <c r="E29" s="175">
        <f>Biomass_Cost!Q30</f>
        <v>1.2081947119593763</v>
      </c>
      <c r="F29" s="175" t="str">
        <f>Biomass_Cost!Z30</f>
        <v>N/A</v>
      </c>
      <c r="G29" s="206">
        <f>Biomass_Cost!AA30</f>
        <v>500</v>
      </c>
      <c r="H29" s="215" t="s">
        <v>561</v>
      </c>
      <c r="I29" s="607" t="s">
        <v>482</v>
      </c>
      <c r="J29" s="141"/>
      <c r="K29" s="141"/>
      <c r="L29" s="172" t="str">
        <f>Biomass_Cost!R30</f>
        <v>[9]</v>
      </c>
    </row>
    <row r="30" spans="1:12" x14ac:dyDescent="0.25">
      <c r="A30" s="171" t="str">
        <f>Biomass_Cost!B31</f>
        <v>sugarcane fermentation</v>
      </c>
      <c r="B30" s="184">
        <f>Biomass_Cost!F31</f>
        <v>0.65662756084748719</v>
      </c>
      <c r="C30" s="175">
        <f>Biomass_Cost!H31</f>
        <v>0.72666783400455248</v>
      </c>
      <c r="D30" s="175">
        <f>Biomass_Cost!J31</f>
        <v>0.82297320959551734</v>
      </c>
      <c r="E30" s="175">
        <f>Biomass_Cost!Q31</f>
        <v>1.7772719313605321</v>
      </c>
      <c r="F30" s="175">
        <f>Biomass_Cost!Z31</f>
        <v>2452995.3142508664</v>
      </c>
      <c r="G30" s="206">
        <f>Biomass_Cost!AA31</f>
        <v>210</v>
      </c>
      <c r="H30" s="215" t="s">
        <v>561</v>
      </c>
      <c r="I30" s="607">
        <f>D30*$B$6/35.3</f>
        <v>1.1190570555406469E-2</v>
      </c>
      <c r="J30" s="141"/>
      <c r="K30" s="141"/>
      <c r="L30" s="172" t="str">
        <f>Biomass_Cost!R31</f>
        <v>[4]</v>
      </c>
    </row>
    <row r="31" spans="1:12" x14ac:dyDescent="0.25">
      <c r="A31" s="171" t="str">
        <f>Biomass_Cost!B57</f>
        <v>Corn Grain</v>
      </c>
      <c r="B31" s="184">
        <f>Biomass_Cost!F57</f>
        <v>0.95644765169557611</v>
      </c>
      <c r="C31" s="175">
        <f>Biomass_Cost!H57</f>
        <v>0.18218050508487374</v>
      </c>
      <c r="D31" s="175">
        <f>Biomass_Cost!J57</f>
        <v>0.56931407839022208</v>
      </c>
      <c r="E31" s="175">
        <f>Biomass_Cost!Q57</f>
        <v>1.7079422351706719</v>
      </c>
      <c r="F31" s="175">
        <f>Biomass_Cost!Z57</f>
        <v>716288.70550135733</v>
      </c>
      <c r="G31" s="206">
        <f>Biomass_Cost!AA57</f>
        <v>504.10958904109594</v>
      </c>
      <c r="H31" s="215" t="s">
        <v>561</v>
      </c>
      <c r="I31" s="607">
        <f t="shared" ref="I31:I34" si="1">D31*$B$6/35.3</f>
        <v>7.7413812359010369E-3</v>
      </c>
      <c r="J31" s="141"/>
      <c r="K31" s="141"/>
      <c r="L31" s="172" t="str">
        <f>Biomass_Cost!R57</f>
        <v>[12]</v>
      </c>
    </row>
    <row r="32" spans="1:12" x14ac:dyDescent="0.25">
      <c r="A32" s="171" t="str">
        <f>Biomass_Cost!B58</f>
        <v>Sugar Cane</v>
      </c>
      <c r="B32" s="184">
        <f>Biomass_Cost!F58</f>
        <v>0.72872202033948608</v>
      </c>
      <c r="C32" s="175">
        <f>Biomass_Cost!H58</f>
        <v>0.20495306822048023</v>
      </c>
      <c r="D32" s="175">
        <f>Biomass_Cost!J58</f>
        <v>0.7514945834750888</v>
      </c>
      <c r="E32" s="175">
        <f>Biomass_Cost!Q58</f>
        <v>1.6851696720350551</v>
      </c>
      <c r="F32" s="175">
        <f>Biomass_Cost!Z58</f>
        <v>716288.70550135733</v>
      </c>
      <c r="G32" s="206">
        <f>Biomass_Cost!AA58</f>
        <v>504.10958904109594</v>
      </c>
      <c r="H32" s="215" t="s">
        <v>561</v>
      </c>
      <c r="I32" s="607">
        <f t="shared" si="1"/>
        <v>1.021862323138931E-2</v>
      </c>
      <c r="J32" s="141"/>
      <c r="K32" s="141"/>
      <c r="L32" s="172" t="str">
        <f>Biomass_Cost!R58</f>
        <v>[12]</v>
      </c>
    </row>
    <row r="33" spans="1:12" x14ac:dyDescent="0.25">
      <c r="A33" s="171" t="str">
        <f>Biomass_Cost!B59</f>
        <v>Agricultural residue</v>
      </c>
      <c r="B33" s="184">
        <f>Biomass_Cost!F59</f>
        <v>2.0039855559335891</v>
      </c>
      <c r="C33" s="175">
        <f>Biomass_Cost!H59</f>
        <v>2.2772563135616933E-2</v>
      </c>
      <c r="D33" s="175">
        <f>Biomass_Cost!J59</f>
        <v>0.38713357330534354</v>
      </c>
      <c r="E33" s="175">
        <f>Biomass_Cost!Q59</f>
        <v>2.4138916923745493</v>
      </c>
      <c r="F33" s="175">
        <f>Biomass_Cost!Z59</f>
        <v>1105707.6355344895</v>
      </c>
      <c r="G33" s="206">
        <f>Biomass_Cost!AA59</f>
        <v>504.10958904109594</v>
      </c>
      <c r="H33" s="215" t="s">
        <v>561</v>
      </c>
      <c r="I33" s="607">
        <f t="shared" si="1"/>
        <v>5.2641392404126032E-3</v>
      </c>
      <c r="J33" s="141"/>
      <c r="K33" s="141"/>
      <c r="L33" s="172" t="str">
        <f>Biomass_Cost!R59</f>
        <v>[12]</v>
      </c>
    </row>
    <row r="34" spans="1:12" x14ac:dyDescent="0.25">
      <c r="A34" s="171" t="str">
        <f>Biomass_Cost!B60</f>
        <v>Energy Crops</v>
      </c>
      <c r="B34" s="184">
        <f>Biomass_Cost!F60</f>
        <v>2.0039855559335891</v>
      </c>
      <c r="C34" s="175">
        <f>Biomass_Cost!H60</f>
        <v>2.2772563135616933E-2</v>
      </c>
      <c r="D34" s="175">
        <f>Biomass_Cost!J60</f>
        <v>0.47822382584778039</v>
      </c>
      <c r="E34" s="175">
        <f>Biomass_Cost!Q60</f>
        <v>2.5049819449169863</v>
      </c>
      <c r="F34" s="175">
        <f>Biomass_Cost!Z60</f>
        <v>1105707.6355344895</v>
      </c>
      <c r="G34" s="206">
        <f>Biomass_Cost!AA60</f>
        <v>504.10958904109594</v>
      </c>
      <c r="H34" s="215" t="s">
        <v>561</v>
      </c>
      <c r="I34" s="607">
        <f t="shared" si="1"/>
        <v>6.5027602381567875E-3</v>
      </c>
      <c r="J34" s="141"/>
      <c r="K34" s="141"/>
      <c r="L34" s="172" t="str">
        <f>Biomass_Cost!R60</f>
        <v>[12]</v>
      </c>
    </row>
    <row r="35" spans="1:12" x14ac:dyDescent="0.25">
      <c r="A35" s="171" t="str">
        <f>Biomass_Cost!B82</f>
        <v>Corn Stover</v>
      </c>
      <c r="B35" s="184" t="s">
        <v>482</v>
      </c>
      <c r="C35" s="175" t="s">
        <v>482</v>
      </c>
      <c r="D35" s="175" t="s">
        <v>482</v>
      </c>
      <c r="E35" s="175" t="str">
        <f>Biomass_Cost!Q82</f>
        <v>N/A</v>
      </c>
      <c r="F35" s="175">
        <f>Biomass_Cost!Z82</f>
        <v>1484001.1151161315</v>
      </c>
      <c r="G35" s="206">
        <f>Biomass_Cost!AA82</f>
        <v>443.78250000000003</v>
      </c>
      <c r="H35" s="215" t="s">
        <v>561</v>
      </c>
      <c r="I35" s="389" t="s">
        <v>482</v>
      </c>
      <c r="J35" s="141"/>
      <c r="K35" s="141"/>
      <c r="L35" s="172" t="str">
        <f>Biomass_Cost!R82</f>
        <v>[19]+[27]</v>
      </c>
    </row>
    <row r="36" spans="1:12" x14ac:dyDescent="0.25">
      <c r="A36" s="171" t="str">
        <f>Biomass_Cost!B83</f>
        <v>Corn Stover</v>
      </c>
      <c r="B36" s="184" t="s">
        <v>482</v>
      </c>
      <c r="C36" s="175" t="s">
        <v>482</v>
      </c>
      <c r="D36" s="175" t="s">
        <v>482</v>
      </c>
      <c r="E36" s="175" t="str">
        <f>Biomass_Cost!Q83</f>
        <v>N/A</v>
      </c>
      <c r="F36" s="175">
        <f>Biomass_Cost!Z83</f>
        <v>1566538.7141073442</v>
      </c>
      <c r="G36" s="206">
        <f>Biomass_Cost!AA83</f>
        <v>429.5625</v>
      </c>
      <c r="H36" s="215" t="s">
        <v>561</v>
      </c>
      <c r="I36" s="389" t="s">
        <v>482</v>
      </c>
      <c r="J36" s="141"/>
      <c r="K36" s="141"/>
      <c r="L36" s="172" t="str">
        <f>Biomass_Cost!R83</f>
        <v>[28]+[27]</v>
      </c>
    </row>
    <row r="37" spans="1:12" x14ac:dyDescent="0.25">
      <c r="A37" s="171" t="str">
        <f>Biomass_Cost!B84</f>
        <v>Corn Stover</v>
      </c>
      <c r="B37" s="184" t="s">
        <v>482</v>
      </c>
      <c r="C37" s="175" t="s">
        <v>482</v>
      </c>
      <c r="D37" s="175" t="s">
        <v>482</v>
      </c>
      <c r="E37" s="175" t="str">
        <f>Biomass_Cost!Q84</f>
        <v>N/A</v>
      </c>
      <c r="F37" s="175">
        <f>Biomass_Cost!Z84</f>
        <v>1558117.3397111518</v>
      </c>
      <c r="G37" s="206">
        <f>Biomass_Cost!AA84</f>
        <v>468.07499999999999</v>
      </c>
      <c r="H37" s="215" t="s">
        <v>561</v>
      </c>
      <c r="I37" s="389" t="s">
        <v>482</v>
      </c>
      <c r="J37" s="141"/>
      <c r="K37" s="141"/>
      <c r="L37" s="172" t="str">
        <f>Biomass_Cost!R84</f>
        <v>[29]+[27]</v>
      </c>
    </row>
    <row r="38" spans="1:12" x14ac:dyDescent="0.25">
      <c r="A38" s="171" t="str">
        <f>Biomass_Cost!B85</f>
        <v>Forestry Residue</v>
      </c>
      <c r="B38" s="184" t="s">
        <v>482</v>
      </c>
      <c r="C38" s="175" t="s">
        <v>482</v>
      </c>
      <c r="D38" s="175" t="s">
        <v>482</v>
      </c>
      <c r="E38" s="175" t="str">
        <f>Biomass_Cost!Q85</f>
        <v>N/A</v>
      </c>
      <c r="F38" s="175">
        <f>Biomass_Cost!Z85</f>
        <v>894909.28201280267</v>
      </c>
      <c r="G38" s="206">
        <f>Biomass_Cost!AA85</f>
        <v>798.64636209813875</v>
      </c>
      <c r="H38" s="215" t="s">
        <v>561</v>
      </c>
      <c r="I38" s="389" t="s">
        <v>482</v>
      </c>
      <c r="J38" s="141"/>
      <c r="K38" s="141"/>
      <c r="L38" s="172" t="str">
        <f>Biomass_Cost!R85</f>
        <v>[30]+[27]</v>
      </c>
    </row>
    <row r="39" spans="1:12" x14ac:dyDescent="0.25">
      <c r="A39" s="171" t="str">
        <f>Biomass_Cost!B86</f>
        <v>Straw</v>
      </c>
      <c r="B39" s="184" t="s">
        <v>482</v>
      </c>
      <c r="C39" s="175" t="s">
        <v>482</v>
      </c>
      <c r="D39" s="175" t="s">
        <v>482</v>
      </c>
      <c r="E39" s="175" t="str">
        <f>Biomass_Cost!Q86</f>
        <v>N/A</v>
      </c>
      <c r="F39" s="175">
        <f>Biomass_Cost!Z86</f>
        <v>1212798.9056743106</v>
      </c>
      <c r="G39" s="206">
        <f>Biomass_Cost!AA86</f>
        <v>450.01404000000002</v>
      </c>
      <c r="H39" s="215" t="s">
        <v>561</v>
      </c>
      <c r="I39" s="389" t="s">
        <v>482</v>
      </c>
      <c r="J39" s="141"/>
      <c r="K39" s="141"/>
      <c r="L39" s="172" t="str">
        <f>Biomass_Cost!R86</f>
        <v>[31]+[27]</v>
      </c>
    </row>
    <row r="40" spans="1:12" x14ac:dyDescent="0.25">
      <c r="A40" s="171" t="str">
        <f>Biomass_Cost!B87</f>
        <v>Eucalyptus</v>
      </c>
      <c r="B40" s="184" t="s">
        <v>482</v>
      </c>
      <c r="C40" s="175" t="s">
        <v>482</v>
      </c>
      <c r="D40" s="175" t="s">
        <v>482</v>
      </c>
      <c r="E40" s="175" t="str">
        <f>Biomass_Cost!Q87</f>
        <v>N/A</v>
      </c>
      <c r="F40" s="175">
        <f>Biomass_Cost!Z87</f>
        <v>1211506.9975770181</v>
      </c>
      <c r="G40" s="206">
        <f>Biomass_Cost!AA87</f>
        <v>422.84088000000003</v>
      </c>
      <c r="H40" s="215" t="s">
        <v>561</v>
      </c>
      <c r="I40" s="389" t="s">
        <v>482</v>
      </c>
      <c r="J40" s="141"/>
      <c r="K40" s="141"/>
      <c r="L40" s="172" t="str">
        <f>Biomass_Cost!R87</f>
        <v>[31]+[27]</v>
      </c>
    </row>
    <row r="41" spans="1:12" x14ac:dyDescent="0.25">
      <c r="A41" s="171" t="str">
        <f>Biomass_Cost!B88</f>
        <v>Poplar</v>
      </c>
      <c r="B41" s="184" t="s">
        <v>482</v>
      </c>
      <c r="C41" s="175" t="s">
        <v>482</v>
      </c>
      <c r="D41" s="175" t="s">
        <v>482</v>
      </c>
      <c r="E41" s="175" t="str">
        <f>Biomass_Cost!Q88</f>
        <v>N/A</v>
      </c>
      <c r="F41" s="175">
        <f>Biomass_Cost!Z88</f>
        <v>1211637.5880798083</v>
      </c>
      <c r="G41" s="206">
        <f>Biomass_Cost!AA88</f>
        <v>409.66944166990294</v>
      </c>
      <c r="H41" s="215" t="s">
        <v>561</v>
      </c>
      <c r="I41" s="389" t="s">
        <v>482</v>
      </c>
      <c r="J41" s="141"/>
      <c r="K41" s="141"/>
      <c r="L41" s="172" t="str">
        <f>Biomass_Cost!R88</f>
        <v>[31]+[27]</v>
      </c>
    </row>
    <row r="42" spans="1:12" x14ac:dyDescent="0.25">
      <c r="A42" s="177" t="str">
        <f>Biomass_Cost!B89</f>
        <v>Switch grass</v>
      </c>
      <c r="B42" s="175" t="s">
        <v>482</v>
      </c>
      <c r="C42" s="178" t="s">
        <v>482</v>
      </c>
      <c r="D42" s="175" t="s">
        <v>482</v>
      </c>
      <c r="E42" s="175" t="str">
        <f>Biomass_Cost!Q89</f>
        <v>N/A</v>
      </c>
      <c r="F42" s="178">
        <f>Biomass_Cost!Z89</f>
        <v>1210457.259187178</v>
      </c>
      <c r="G42" s="207">
        <f>Biomass_Cost!AA89</f>
        <v>432.00288894757279</v>
      </c>
      <c r="H42" s="216" t="s">
        <v>561</v>
      </c>
      <c r="I42" s="405" t="s">
        <v>482</v>
      </c>
      <c r="J42" s="142"/>
      <c r="K42" s="142"/>
      <c r="L42" s="179" t="str">
        <f>Biomass_Cost!R89</f>
        <v>[31]+[27]</v>
      </c>
    </row>
    <row r="43" spans="1:12" x14ac:dyDescent="0.25">
      <c r="A43" s="521" t="s">
        <v>501</v>
      </c>
      <c r="B43" s="418"/>
      <c r="C43" s="418"/>
      <c r="D43" s="419"/>
      <c r="E43" s="444" t="s">
        <v>502</v>
      </c>
      <c r="F43" s="445"/>
      <c r="G43" s="537"/>
      <c r="H43" s="141"/>
      <c r="I43" s="141"/>
      <c r="J43" s="141"/>
      <c r="K43" s="141"/>
      <c r="L43" s="222"/>
    </row>
    <row r="44" spans="1:12" ht="30" x14ac:dyDescent="0.25">
      <c r="A44" s="240" t="s">
        <v>227</v>
      </c>
      <c r="B44" s="221" t="s">
        <v>492</v>
      </c>
      <c r="C44" s="218" t="s">
        <v>497</v>
      </c>
      <c r="D44" s="219" t="s">
        <v>498</v>
      </c>
      <c r="E44" s="198" t="s">
        <v>503</v>
      </c>
      <c r="F44" s="199" t="s">
        <v>504</v>
      </c>
      <c r="G44" s="200" t="s">
        <v>505</v>
      </c>
      <c r="I44" s="141"/>
      <c r="J44" s="141"/>
      <c r="K44" s="141"/>
      <c r="L44" s="222"/>
    </row>
    <row r="45" spans="1:12" x14ac:dyDescent="0.25">
      <c r="A45" s="224" t="s">
        <v>10</v>
      </c>
      <c r="B45" s="159">
        <f>_xlfn.QUARTILE.EXC($E19:$E42,1)</f>
        <v>0.92803361933111539</v>
      </c>
      <c r="C45" s="159">
        <f>_xlfn.QUARTILE.EXC($E19:$E42,2)</f>
        <v>1.4183155314305727</v>
      </c>
      <c r="D45" s="159">
        <f>_xlfn.QUARTILE.EXC($E19:$E42,3)</f>
        <v>2.0552442654526351</v>
      </c>
      <c r="E45" s="406">
        <f>_xlfn.QUARTILE.EXC($F19:$F42,1)</f>
        <v>867421.58664967155</v>
      </c>
      <c r="F45" s="406">
        <f>_xlfn.QUARTILE.EXC($F19:$F42,2)</f>
        <v>1211572.2928284132</v>
      </c>
      <c r="G45" s="144">
        <f>_xlfn.QUARTILE.EXC($F19:$F42,3)</f>
        <v>1560222.6833102</v>
      </c>
      <c r="H45" s="562" t="s">
        <v>844</v>
      </c>
      <c r="I45" s="563"/>
      <c r="J45" s="141"/>
      <c r="K45" s="141"/>
      <c r="L45" s="222"/>
    </row>
    <row r="46" spans="1:12" x14ac:dyDescent="0.25">
      <c r="A46" s="527" t="s">
        <v>841</v>
      </c>
      <c r="B46" s="528"/>
      <c r="C46" s="528"/>
      <c r="D46" s="529"/>
      <c r="E46" s="559"/>
      <c r="F46" s="560"/>
      <c r="G46" s="561"/>
      <c r="H46" s="141"/>
      <c r="I46" s="141"/>
      <c r="J46" s="141"/>
      <c r="K46" s="141"/>
      <c r="L46" s="222"/>
    </row>
    <row r="47" spans="1:12" x14ac:dyDescent="0.25">
      <c r="A47" s="220" t="s">
        <v>227</v>
      </c>
      <c r="B47" s="221" t="s">
        <v>492</v>
      </c>
      <c r="C47" s="218" t="s">
        <v>497</v>
      </c>
      <c r="D47" s="219" t="s">
        <v>498</v>
      </c>
      <c r="E47" s="408"/>
      <c r="F47" s="407"/>
      <c r="G47" s="409"/>
      <c r="H47" s="141"/>
      <c r="I47" s="141"/>
      <c r="J47" s="141"/>
      <c r="K47" s="141"/>
      <c r="L47" s="222"/>
    </row>
    <row r="48" spans="1:12" x14ac:dyDescent="0.25">
      <c r="A48" s="189" t="s">
        <v>10</v>
      </c>
      <c r="B48" s="159">
        <f>_xlfn.QUARTILE.EXC($C19:$C42,1)</f>
        <v>0.14008054631413061</v>
      </c>
      <c r="C48" s="159">
        <f>_xlfn.QUARTILE.EXC($C19:$C42,2)</f>
        <v>0.20495306822048023</v>
      </c>
      <c r="D48" s="14">
        <f>_xlfn.QUARTILE.EXC($C19:$C42,3)</f>
        <v>0.38522150236385921</v>
      </c>
      <c r="E48" s="567" t="s">
        <v>842</v>
      </c>
      <c r="F48" s="568"/>
      <c r="G48" s="569"/>
      <c r="H48" s="141"/>
      <c r="I48" s="141"/>
      <c r="J48" s="141"/>
      <c r="K48" s="141"/>
      <c r="L48" s="222"/>
    </row>
    <row r="49" spans="1:12" x14ac:dyDescent="0.25">
      <c r="A49" s="477" t="s">
        <v>849</v>
      </c>
      <c r="B49" s="478"/>
      <c r="C49" s="478"/>
      <c r="D49" s="479"/>
      <c r="E49" s="559"/>
      <c r="F49" s="560"/>
      <c r="G49" s="561"/>
      <c r="H49" s="141"/>
      <c r="I49" s="141"/>
      <c r="J49" s="141"/>
      <c r="K49" s="141"/>
      <c r="L49" s="222"/>
    </row>
    <row r="50" spans="1:12" x14ac:dyDescent="0.25">
      <c r="A50" s="220" t="s">
        <v>227</v>
      </c>
      <c r="B50" s="221" t="s">
        <v>492</v>
      </c>
      <c r="C50" s="218" t="s">
        <v>497</v>
      </c>
      <c r="D50" s="219" t="s">
        <v>498</v>
      </c>
      <c r="E50" s="381"/>
      <c r="F50" s="410"/>
      <c r="G50" s="411"/>
      <c r="H50" s="141"/>
      <c r="I50" s="141"/>
      <c r="J50" s="141"/>
      <c r="K50" s="141"/>
      <c r="L50" s="222"/>
    </row>
    <row r="51" spans="1:12" x14ac:dyDescent="0.25">
      <c r="A51" s="189" t="s">
        <v>10</v>
      </c>
      <c r="B51" s="159">
        <f>_xlfn.QUARTILE.EXC($I19:$I42,1)</f>
        <v>7.1445277485215602E-3</v>
      </c>
      <c r="C51" s="159">
        <f>_xlfn.QUARTILE.EXC($I19:$I42,2)</f>
        <v>1.021862323138931E-2</v>
      </c>
      <c r="D51" s="14">
        <f>_xlfn.QUARTILE.EXC($I19:$I42,3)</f>
        <v>1.392868888279316E-2</v>
      </c>
      <c r="E51" s="564" t="s">
        <v>843</v>
      </c>
      <c r="F51" s="565"/>
      <c r="G51" s="566"/>
      <c r="H51" s="141"/>
      <c r="I51" s="141"/>
      <c r="J51" s="141"/>
      <c r="K51" s="141"/>
      <c r="L51" s="222"/>
    </row>
    <row r="52" spans="1:12" x14ac:dyDescent="0.25">
      <c r="A52" s="570" t="s">
        <v>491</v>
      </c>
      <c r="B52" s="571"/>
      <c r="C52" s="571"/>
      <c r="D52" s="571"/>
      <c r="E52" s="571"/>
      <c r="F52" s="571"/>
      <c r="G52" s="571"/>
      <c r="H52" s="571"/>
      <c r="I52" s="571"/>
      <c r="J52" s="571"/>
      <c r="K52" s="571"/>
      <c r="L52" s="572"/>
    </row>
    <row r="53" spans="1:12" x14ac:dyDescent="0.25">
      <c r="A53" s="225" t="s">
        <v>530</v>
      </c>
      <c r="B53" s="217">
        <f>11/1000*35.3</f>
        <v>0.38829999999999992</v>
      </c>
      <c r="C53" s="201"/>
      <c r="D53" s="201"/>
      <c r="E53" s="201"/>
      <c r="F53" s="201"/>
      <c r="G53" s="201"/>
      <c r="H53" s="201"/>
      <c r="I53" s="201"/>
      <c r="J53" s="201"/>
      <c r="K53" s="201"/>
      <c r="L53" s="231"/>
    </row>
    <row r="54" spans="1:12" x14ac:dyDescent="0.25">
      <c r="A54" s="525" t="s">
        <v>531</v>
      </c>
      <c r="B54" s="526"/>
      <c r="C54" s="141"/>
      <c r="D54" s="141"/>
      <c r="E54" s="141"/>
      <c r="F54" s="141"/>
      <c r="G54" s="141"/>
      <c r="H54" s="141"/>
      <c r="I54" s="141"/>
      <c r="J54" s="141"/>
      <c r="K54" s="141"/>
      <c r="L54" s="222"/>
    </row>
    <row r="55" spans="1:12" ht="45" x14ac:dyDescent="0.25">
      <c r="A55" s="226"/>
      <c r="B55" s="154"/>
      <c r="C55" s="237" t="s">
        <v>529</v>
      </c>
      <c r="D55" s="266" t="s">
        <v>609</v>
      </c>
      <c r="E55" s="235"/>
      <c r="F55" s="141"/>
      <c r="G55" s="141"/>
      <c r="H55" s="141"/>
      <c r="I55" s="141"/>
      <c r="J55" s="141"/>
      <c r="K55" s="141"/>
      <c r="L55" s="222"/>
    </row>
    <row r="56" spans="1:12" x14ac:dyDescent="0.25">
      <c r="A56" s="521" t="s">
        <v>251</v>
      </c>
      <c r="B56" s="419"/>
      <c r="C56" s="14" t="s">
        <v>10</v>
      </c>
      <c r="D56" s="250" t="s">
        <v>10</v>
      </c>
      <c r="E56" s="141"/>
      <c r="F56" s="141"/>
      <c r="G56" s="141"/>
      <c r="H56" s="141"/>
      <c r="I56" s="141"/>
      <c r="J56" s="141"/>
      <c r="K56" s="141"/>
      <c r="L56" s="222"/>
    </row>
    <row r="57" spans="1:12" x14ac:dyDescent="0.25">
      <c r="A57" s="227" t="s">
        <v>523</v>
      </c>
      <c r="B57" s="210" t="s">
        <v>506</v>
      </c>
      <c r="C57" s="238">
        <f>1/(G10-I9)*1000000*(D45-B53)</f>
        <v>2566.4248451974322</v>
      </c>
      <c r="D57" s="267">
        <f>(C10-E9)*1000000*B13*J72</f>
        <v>116847359.99999996</v>
      </c>
      <c r="E57" s="141"/>
      <c r="F57" s="141"/>
      <c r="G57" s="141"/>
      <c r="H57" s="141"/>
      <c r="I57" s="141"/>
      <c r="J57" s="141"/>
      <c r="K57" s="141"/>
      <c r="L57" s="222"/>
    </row>
    <row r="58" spans="1:12" x14ac:dyDescent="0.25">
      <c r="A58" s="169" t="s">
        <v>524</v>
      </c>
      <c r="B58" s="147" t="s">
        <v>525</v>
      </c>
      <c r="C58" s="238">
        <f>1/(G10-H9)*1000000*(D45-B53)</f>
        <v>1364.8039639200213</v>
      </c>
      <c r="D58" s="268">
        <f>(C10-D9)*1000000*B13*J72</f>
        <v>219723839.99999994</v>
      </c>
      <c r="E58" s="141"/>
      <c r="F58" s="141"/>
      <c r="G58" s="236"/>
      <c r="H58" s="141"/>
      <c r="I58" s="141"/>
      <c r="J58" s="141"/>
      <c r="K58" s="141"/>
      <c r="L58" s="222"/>
    </row>
    <row r="59" spans="1:12" x14ac:dyDescent="0.25">
      <c r="A59" s="169" t="s">
        <v>509</v>
      </c>
      <c r="B59" s="147" t="s">
        <v>508</v>
      </c>
      <c r="C59" s="238">
        <f>1/(G10-G9)*1000000*(D45-B53)</f>
        <v>889.30729099120038</v>
      </c>
      <c r="D59" s="268">
        <f>(C10-C9)*1000000*B13*J72</f>
        <v>337206239.99999994</v>
      </c>
      <c r="E59" s="141"/>
      <c r="F59" s="141"/>
      <c r="G59" s="141"/>
      <c r="H59" s="141"/>
      <c r="I59" s="141"/>
      <c r="J59" s="141"/>
      <c r="K59" s="141"/>
      <c r="L59" s="222"/>
    </row>
    <row r="60" spans="1:12" x14ac:dyDescent="0.25">
      <c r="A60" s="169" t="s">
        <v>510</v>
      </c>
      <c r="B60" s="147" t="s">
        <v>518</v>
      </c>
      <c r="C60" s="238">
        <f>1/(G10-I9)*1000000*(C45-B53)</f>
        <v>1585.8103390666545</v>
      </c>
      <c r="D60" s="268">
        <f>(C10-E9)*1000000*B13*J72</f>
        <v>116847359.99999996</v>
      </c>
      <c r="E60" s="141"/>
      <c r="F60" s="141"/>
      <c r="G60" s="141"/>
      <c r="H60" s="141"/>
      <c r="I60" s="141"/>
      <c r="J60" s="141"/>
      <c r="K60" s="141"/>
      <c r="L60" s="222"/>
    </row>
    <row r="61" spans="1:12" x14ac:dyDescent="0.25">
      <c r="A61" s="169" t="s">
        <v>516</v>
      </c>
      <c r="B61" s="147" t="s">
        <v>521</v>
      </c>
      <c r="C61" s="238">
        <f>1/(G10-H9)*1000000*(C45-B53)</f>
        <v>843.32110516839396</v>
      </c>
      <c r="D61" s="268">
        <f>(C10-D9)*1000000*B13*J72</f>
        <v>219723839.99999994</v>
      </c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169" t="s">
        <v>517</v>
      </c>
      <c r="B62" s="147" t="s">
        <v>519</v>
      </c>
      <c r="C62" s="238">
        <f>1/(G10-G9)*1000000*(C45-B53)</f>
        <v>549.50866739786125</v>
      </c>
      <c r="D62" s="268">
        <f>(C10-C9)*1000000*B13*J72</f>
        <v>337206239.99999994</v>
      </c>
      <c r="E62" s="141"/>
      <c r="F62" s="141"/>
      <c r="G62" s="141"/>
      <c r="H62" s="141"/>
      <c r="I62" s="141"/>
      <c r="J62" s="141"/>
      <c r="K62" s="141"/>
      <c r="L62" s="222"/>
    </row>
    <row r="63" spans="1:12" x14ac:dyDescent="0.25">
      <c r="A63" s="169" t="s">
        <v>520</v>
      </c>
      <c r="B63" s="147" t="s">
        <v>507</v>
      </c>
      <c r="C63" s="238">
        <f>1/(G10-I9)*1000000*(B45-B53)</f>
        <v>830.97305599691447</v>
      </c>
      <c r="D63" s="268">
        <f>(C10-E9)*1000000*B13*J72</f>
        <v>116847359.99999996</v>
      </c>
      <c r="E63" s="141"/>
      <c r="F63" s="141"/>
      <c r="G63" s="141"/>
      <c r="H63" s="141"/>
      <c r="I63" s="141"/>
      <c r="J63" s="141"/>
      <c r="K63" s="141"/>
      <c r="L63" s="222"/>
    </row>
    <row r="64" spans="1:12" x14ac:dyDescent="0.25">
      <c r="A64" s="169" t="s">
        <v>527</v>
      </c>
      <c r="B64" s="147" t="s">
        <v>528</v>
      </c>
      <c r="C64" s="238">
        <f>1/(G10-H9)*1000000*(B45-B53)</f>
        <v>441.90474654171157</v>
      </c>
      <c r="D64" s="268">
        <f>(C10-D9)*1000000*B13*J72</f>
        <v>219723839.99999994</v>
      </c>
      <c r="E64" s="141"/>
      <c r="F64" s="141"/>
      <c r="G64" s="141"/>
      <c r="H64" s="141"/>
      <c r="I64" s="141"/>
      <c r="J64" s="141"/>
      <c r="K64" s="141"/>
      <c r="L64" s="222"/>
    </row>
    <row r="65" spans="1:12" ht="15.75" thickBot="1" x14ac:dyDescent="0.3">
      <c r="A65" s="228" t="s">
        <v>526</v>
      </c>
      <c r="B65" s="229" t="s">
        <v>522</v>
      </c>
      <c r="C65" s="241">
        <f>1/(G10-G9)*1000000*(B45-B53)</f>
        <v>287.94546573151075</v>
      </c>
      <c r="D65" s="269">
        <f>(C10-C9)*1000000*B13*J72</f>
        <v>337206239.99999994</v>
      </c>
      <c r="E65" s="233"/>
      <c r="F65" s="233"/>
      <c r="G65" s="233"/>
      <c r="H65" s="233"/>
      <c r="I65" s="233"/>
      <c r="J65" s="233"/>
      <c r="K65" s="233"/>
      <c r="L65" s="234"/>
    </row>
    <row r="67" spans="1:12" x14ac:dyDescent="0.25">
      <c r="A67" t="s">
        <v>515</v>
      </c>
    </row>
    <row r="68" spans="1:12" ht="15.75" thickBot="1" x14ac:dyDescent="0.3"/>
    <row r="69" spans="1:12" x14ac:dyDescent="0.25">
      <c r="G69" s="270"/>
      <c r="H69" s="271"/>
      <c r="I69" s="272" t="s">
        <v>601</v>
      </c>
      <c r="J69" s="273"/>
      <c r="K69" s="274"/>
    </row>
    <row r="70" spans="1:12" ht="45" x14ac:dyDescent="0.25">
      <c r="G70" s="165"/>
      <c r="H70" s="194" t="s">
        <v>602</v>
      </c>
      <c r="I70" s="258" t="s">
        <v>606</v>
      </c>
      <c r="J70" s="258" t="s">
        <v>607</v>
      </c>
      <c r="K70" s="275" t="s">
        <v>608</v>
      </c>
    </row>
    <row r="71" spans="1:12" x14ac:dyDescent="0.25">
      <c r="G71" s="543" t="s">
        <v>10</v>
      </c>
      <c r="H71" s="257" t="s">
        <v>35</v>
      </c>
      <c r="I71" s="259">
        <f>$A$6*$C$16</f>
        <v>3.2116000000000002</v>
      </c>
      <c r="J71" s="259">
        <f>$B$6*$C$16</f>
        <v>4.9728000000000003</v>
      </c>
      <c r="K71" s="276">
        <f>$C$6*$C$16</f>
        <v>6.0087999999999999</v>
      </c>
    </row>
    <row r="72" spans="1:12" x14ac:dyDescent="0.25">
      <c r="G72" s="544"/>
      <c r="H72" s="257" t="s">
        <v>36</v>
      </c>
      <c r="I72" s="259">
        <f>$A$6*$D$16</f>
        <v>5.4683999999999999</v>
      </c>
      <c r="J72" s="259">
        <f>$B$6*$D$16</f>
        <v>8.4672000000000001</v>
      </c>
      <c r="K72" s="276">
        <f>$C$6*$D$16</f>
        <v>10.231199999999999</v>
      </c>
    </row>
    <row r="73" spans="1:12" ht="15.75" thickBot="1" x14ac:dyDescent="0.3">
      <c r="C73" s="385">
        <f>AVERAGE(B19,B23:B26,B30:B34)</f>
        <v>0.8197080549267326</v>
      </c>
      <c r="G73" s="573"/>
      <c r="H73" s="277" t="s">
        <v>37</v>
      </c>
      <c r="I73" s="278">
        <f>$A$6*$E$16</f>
        <v>9.4612000000000016</v>
      </c>
      <c r="J73" s="278">
        <f>$B$6*$E$16</f>
        <v>14.649600000000001</v>
      </c>
      <c r="K73" s="279">
        <f>$C$6*$E$16</f>
        <v>17.701599999999999</v>
      </c>
    </row>
  </sheetData>
  <mergeCells count="26">
    <mergeCell ref="A1:L2"/>
    <mergeCell ref="A3:L3"/>
    <mergeCell ref="A4:C4"/>
    <mergeCell ref="E4:G4"/>
    <mergeCell ref="I4:K4"/>
    <mergeCell ref="E43:G43"/>
    <mergeCell ref="A52:L52"/>
    <mergeCell ref="A54:B54"/>
    <mergeCell ref="L5:L6"/>
    <mergeCell ref="G71:G73"/>
    <mergeCell ref="A7:L7"/>
    <mergeCell ref="A10:B10"/>
    <mergeCell ref="C10:E10"/>
    <mergeCell ref="G10:I10"/>
    <mergeCell ref="A11:L11"/>
    <mergeCell ref="A56:B56"/>
    <mergeCell ref="A14:L14"/>
    <mergeCell ref="A17:L17"/>
    <mergeCell ref="A43:D43"/>
    <mergeCell ref="A46:D46"/>
    <mergeCell ref="E46:G46"/>
    <mergeCell ref="A49:D49"/>
    <mergeCell ref="E49:G49"/>
    <mergeCell ref="H45:I45"/>
    <mergeCell ref="E51:G51"/>
    <mergeCell ref="E48:G4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7"/>
  <sheetViews>
    <sheetView workbookViewId="0">
      <selection activeCell="B4" sqref="B4"/>
    </sheetView>
  </sheetViews>
  <sheetFormatPr baseColWidth="10" defaultRowHeight="15" x14ac:dyDescent="0.25"/>
  <cols>
    <col min="1" max="1" width="21.42578125" customWidth="1"/>
    <col min="2" max="2" width="36.7109375" customWidth="1"/>
    <col min="3" max="3" width="16.5703125" customWidth="1"/>
    <col min="4" max="4" width="20.5703125" customWidth="1"/>
    <col min="5" max="5" width="17.42578125" customWidth="1"/>
    <col min="6" max="6" width="7.5703125" customWidth="1"/>
    <col min="8" max="8" width="31.7109375" customWidth="1"/>
    <col min="9" max="9" width="16.7109375" customWidth="1"/>
    <col min="10" max="10" width="21.7109375" customWidth="1"/>
    <col min="11" max="11" width="17.28515625" customWidth="1"/>
  </cols>
  <sheetData>
    <row r="1" spans="1:11" ht="15.75" thickBot="1" x14ac:dyDescent="0.3">
      <c r="A1" s="425" t="s">
        <v>201</v>
      </c>
      <c r="B1" s="425"/>
      <c r="C1" s="425"/>
      <c r="D1" s="425"/>
      <c r="E1" s="425"/>
    </row>
    <row r="2" spans="1:11" ht="30" x14ac:dyDescent="0.25">
      <c r="A2" s="59" t="s">
        <v>19</v>
      </c>
      <c r="B2" s="59" t="s">
        <v>177</v>
      </c>
      <c r="C2" s="63" t="s">
        <v>197</v>
      </c>
      <c r="D2" s="63" t="s">
        <v>198</v>
      </c>
      <c r="E2" s="63" t="s">
        <v>199</v>
      </c>
      <c r="G2" s="591" t="s">
        <v>206</v>
      </c>
      <c r="H2" s="592"/>
      <c r="I2" s="592"/>
      <c r="J2" s="592"/>
      <c r="K2" s="593"/>
    </row>
    <row r="3" spans="1:11" x14ac:dyDescent="0.25">
      <c r="A3" s="457" t="s">
        <v>7</v>
      </c>
      <c r="B3" s="45" t="s">
        <v>202</v>
      </c>
      <c r="C3" s="64" t="s">
        <v>9</v>
      </c>
      <c r="D3" s="64">
        <v>27.6</v>
      </c>
      <c r="E3" s="64" t="s">
        <v>9</v>
      </c>
      <c r="G3" s="594" t="s">
        <v>207</v>
      </c>
      <c r="H3" s="595"/>
      <c r="I3" s="595"/>
      <c r="J3" s="595"/>
      <c r="K3" s="596"/>
    </row>
    <row r="4" spans="1:11" ht="30.75" thickBot="1" x14ac:dyDescent="0.3">
      <c r="A4" s="457"/>
      <c r="B4" s="61" t="s">
        <v>203</v>
      </c>
      <c r="C4" s="64">
        <v>0.3</v>
      </c>
      <c r="D4" s="64">
        <v>7.7</v>
      </c>
      <c r="E4" s="64">
        <v>12.6</v>
      </c>
      <c r="G4" s="597" t="s">
        <v>200</v>
      </c>
      <c r="H4" s="598"/>
      <c r="I4" s="598"/>
      <c r="J4" s="598"/>
      <c r="K4" s="599"/>
    </row>
    <row r="5" spans="1:11" x14ac:dyDescent="0.25">
      <c r="A5" s="457" t="s">
        <v>8</v>
      </c>
      <c r="B5" s="45" t="s">
        <v>204</v>
      </c>
      <c r="C5" s="64" t="s">
        <v>9</v>
      </c>
      <c r="D5" s="64">
        <v>20.7</v>
      </c>
      <c r="E5" s="64" t="s">
        <v>9</v>
      </c>
    </row>
    <row r="6" spans="1:11" x14ac:dyDescent="0.25">
      <c r="A6" s="457"/>
      <c r="B6" s="45" t="s">
        <v>205</v>
      </c>
      <c r="C6" s="64">
        <v>38.4</v>
      </c>
      <c r="D6" s="64">
        <v>59</v>
      </c>
      <c r="E6" s="64">
        <v>97.9</v>
      </c>
    </row>
    <row r="7" spans="1:11" x14ac:dyDescent="0.25">
      <c r="A7" s="6" t="s">
        <v>10</v>
      </c>
      <c r="B7" s="45" t="s">
        <v>178</v>
      </c>
      <c r="C7" s="64">
        <v>33.700000000000003</v>
      </c>
      <c r="D7" s="64">
        <v>52.2</v>
      </c>
      <c r="E7" s="64">
        <v>68.400000000000006</v>
      </c>
    </row>
    <row r="8" spans="1:11" x14ac:dyDescent="0.25">
      <c r="A8" s="3"/>
      <c r="B8" s="134"/>
      <c r="C8" s="135"/>
      <c r="D8" s="135"/>
      <c r="E8" s="135"/>
    </row>
    <row r="9" spans="1:11" x14ac:dyDescent="0.25">
      <c r="C9" s="132"/>
      <c r="D9" s="132"/>
      <c r="E9" s="132"/>
    </row>
    <row r="10" spans="1:11" x14ac:dyDescent="0.25">
      <c r="A10" s="429" t="s">
        <v>176</v>
      </c>
      <c r="B10" s="429"/>
      <c r="C10" s="429"/>
      <c r="D10" s="429"/>
      <c r="E10" s="429"/>
    </row>
    <row r="11" spans="1:11" ht="30" x14ac:dyDescent="0.25">
      <c r="A11" s="42" t="s">
        <v>173</v>
      </c>
      <c r="B11" s="16" t="s">
        <v>177</v>
      </c>
      <c r="C11" s="16" t="s">
        <v>172</v>
      </c>
      <c r="D11" s="16" t="s">
        <v>293</v>
      </c>
      <c r="E11" s="16" t="s">
        <v>108</v>
      </c>
    </row>
    <row r="12" spans="1:11" x14ac:dyDescent="0.25">
      <c r="A12" s="457" t="s">
        <v>174</v>
      </c>
      <c r="B12" s="18" t="s">
        <v>123</v>
      </c>
      <c r="C12" s="18" t="s">
        <v>8</v>
      </c>
      <c r="D12" s="18">
        <v>22.5</v>
      </c>
      <c r="E12" s="17" t="s">
        <v>56</v>
      </c>
    </row>
    <row r="13" spans="1:11" x14ac:dyDescent="0.25">
      <c r="A13" s="457"/>
      <c r="B13" s="18" t="s">
        <v>123</v>
      </c>
      <c r="C13" s="18" t="s">
        <v>8</v>
      </c>
      <c r="D13" s="18">
        <v>29.8</v>
      </c>
      <c r="E13" s="18" t="s">
        <v>62</v>
      </c>
    </row>
    <row r="14" spans="1:11" x14ac:dyDescent="0.25">
      <c r="A14" s="457"/>
      <c r="B14" s="18" t="s">
        <v>124</v>
      </c>
      <c r="C14" s="18" t="s">
        <v>8</v>
      </c>
      <c r="D14" s="18">
        <v>13.9</v>
      </c>
      <c r="E14" s="18" t="s">
        <v>56</v>
      </c>
    </row>
    <row r="15" spans="1:11" x14ac:dyDescent="0.25">
      <c r="A15" s="457"/>
      <c r="B15" s="18" t="s">
        <v>179</v>
      </c>
      <c r="C15" s="18" t="s">
        <v>8</v>
      </c>
      <c r="D15" s="18">
        <v>19.399999999999999</v>
      </c>
      <c r="E15" s="18" t="s">
        <v>62</v>
      </c>
    </row>
    <row r="16" spans="1:11" x14ac:dyDescent="0.25">
      <c r="A16" s="457"/>
      <c r="B16" s="18" t="s">
        <v>174</v>
      </c>
      <c r="C16" s="18" t="s">
        <v>8</v>
      </c>
      <c r="D16" s="18">
        <v>24.6</v>
      </c>
      <c r="E16" s="18" t="s">
        <v>62</v>
      </c>
    </row>
    <row r="17" spans="1:15" x14ac:dyDescent="0.25">
      <c r="A17" s="457"/>
      <c r="B17" s="18" t="s">
        <v>125</v>
      </c>
      <c r="C17" s="18" t="s">
        <v>8</v>
      </c>
      <c r="D17" s="18">
        <v>20.7</v>
      </c>
      <c r="E17" s="18" t="s">
        <v>56</v>
      </c>
    </row>
    <row r="18" spans="1:15" x14ac:dyDescent="0.25">
      <c r="A18" s="457" t="s">
        <v>175</v>
      </c>
      <c r="B18" s="600" t="s">
        <v>126</v>
      </c>
      <c r="C18" s="600" t="s">
        <v>7</v>
      </c>
      <c r="D18" s="600">
        <v>5.2</v>
      </c>
      <c r="E18" s="600" t="s">
        <v>56</v>
      </c>
    </row>
    <row r="19" spans="1:15" x14ac:dyDescent="0.25">
      <c r="A19" s="457"/>
      <c r="B19" s="600"/>
      <c r="C19" s="600"/>
      <c r="D19" s="600"/>
      <c r="E19" s="600"/>
    </row>
    <row r="20" spans="1:15" x14ac:dyDescent="0.25">
      <c r="A20" s="457"/>
      <c r="B20" s="600" t="s">
        <v>127</v>
      </c>
      <c r="C20" s="600" t="s">
        <v>7</v>
      </c>
      <c r="D20" s="600">
        <v>73.400000000000006</v>
      </c>
      <c r="E20" s="600" t="s">
        <v>56</v>
      </c>
    </row>
    <row r="21" spans="1:15" x14ac:dyDescent="0.25">
      <c r="A21" s="457"/>
      <c r="B21" s="600"/>
      <c r="C21" s="600"/>
      <c r="D21" s="600"/>
      <c r="E21" s="600"/>
    </row>
    <row r="22" spans="1:15" x14ac:dyDescent="0.25">
      <c r="A22" s="457"/>
      <c r="B22" s="18" t="s">
        <v>32</v>
      </c>
      <c r="C22" s="18" t="s">
        <v>7</v>
      </c>
      <c r="D22" s="18">
        <v>27.6</v>
      </c>
      <c r="E22" s="18" t="s">
        <v>62</v>
      </c>
    </row>
    <row r="23" spans="1:15" ht="15.75" customHeight="1" x14ac:dyDescent="0.25">
      <c r="A23" s="601" t="s">
        <v>128</v>
      </c>
      <c r="B23" s="18" t="s">
        <v>129</v>
      </c>
      <c r="C23" s="18" t="s">
        <v>8</v>
      </c>
      <c r="D23" s="18">
        <v>17.2</v>
      </c>
      <c r="E23" s="18" t="s">
        <v>56</v>
      </c>
    </row>
    <row r="24" spans="1:15" x14ac:dyDescent="0.25">
      <c r="A24" s="602"/>
      <c r="B24" s="600" t="s">
        <v>130</v>
      </c>
      <c r="C24" s="600" t="s">
        <v>8</v>
      </c>
      <c r="D24" s="600">
        <v>67.400000000000006</v>
      </c>
      <c r="E24" s="600" t="s">
        <v>56</v>
      </c>
    </row>
    <row r="25" spans="1:15" x14ac:dyDescent="0.25">
      <c r="A25" s="602"/>
      <c r="B25" s="600"/>
      <c r="C25" s="600"/>
      <c r="D25" s="600"/>
      <c r="E25" s="600"/>
    </row>
    <row r="26" spans="1:15" x14ac:dyDescent="0.25">
      <c r="A26" s="602"/>
      <c r="B26" s="600" t="s">
        <v>131</v>
      </c>
      <c r="C26" s="600" t="s">
        <v>8</v>
      </c>
      <c r="D26" s="600">
        <v>71.400000000000006</v>
      </c>
      <c r="E26" s="600" t="s">
        <v>56</v>
      </c>
    </row>
    <row r="27" spans="1:15" x14ac:dyDescent="0.25">
      <c r="A27" s="602"/>
      <c r="B27" s="600"/>
      <c r="C27" s="600"/>
      <c r="D27" s="600"/>
      <c r="E27" s="600"/>
    </row>
    <row r="28" spans="1:15" x14ac:dyDescent="0.25">
      <c r="A28" s="602"/>
      <c r="B28" s="18" t="s">
        <v>132</v>
      </c>
      <c r="C28" s="18" t="s">
        <v>8</v>
      </c>
      <c r="D28" s="18">
        <v>42</v>
      </c>
      <c r="E28" s="18" t="s">
        <v>56</v>
      </c>
    </row>
    <row r="29" spans="1:15" x14ac:dyDescent="0.25">
      <c r="A29" s="602"/>
      <c r="B29" s="600" t="s">
        <v>133</v>
      </c>
      <c r="C29" s="600" t="s">
        <v>8</v>
      </c>
      <c r="D29" s="600">
        <v>76.400000000000006</v>
      </c>
      <c r="E29" s="600" t="s">
        <v>56</v>
      </c>
    </row>
    <row r="30" spans="1:15" x14ac:dyDescent="0.25">
      <c r="A30" s="602"/>
      <c r="B30" s="600"/>
      <c r="C30" s="600"/>
      <c r="D30" s="600"/>
      <c r="E30" s="600"/>
      <c r="H30" s="3"/>
      <c r="I30" s="3"/>
      <c r="J30" s="3"/>
      <c r="K30" s="4"/>
      <c r="L30" s="3"/>
      <c r="M30" s="3"/>
      <c r="N30" s="3"/>
      <c r="O30" s="3"/>
    </row>
    <row r="31" spans="1:15" x14ac:dyDescent="0.25">
      <c r="A31" s="602"/>
      <c r="B31" s="600"/>
      <c r="C31" s="600"/>
      <c r="D31" s="600"/>
      <c r="E31" s="600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602"/>
      <c r="B32" s="18" t="s">
        <v>134</v>
      </c>
      <c r="C32" s="18" t="s">
        <v>8</v>
      </c>
      <c r="D32" s="18">
        <v>99</v>
      </c>
      <c r="E32" s="18" t="s">
        <v>56</v>
      </c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602"/>
      <c r="B33" s="18" t="s">
        <v>135</v>
      </c>
      <c r="C33" s="18" t="s">
        <v>8</v>
      </c>
      <c r="D33" s="18">
        <v>34.4</v>
      </c>
      <c r="E33" s="18" t="s">
        <v>56</v>
      </c>
      <c r="H33" s="62"/>
      <c r="I33" s="62"/>
      <c r="J33" s="62"/>
      <c r="K33" s="62"/>
      <c r="L33" s="62"/>
      <c r="M33" s="62"/>
      <c r="N33" s="62"/>
      <c r="O33" s="62"/>
    </row>
    <row r="34" spans="1:15" x14ac:dyDescent="0.25">
      <c r="A34" s="602"/>
      <c r="B34" s="18" t="s">
        <v>136</v>
      </c>
      <c r="C34" s="18" t="s">
        <v>8</v>
      </c>
      <c r="D34" s="18">
        <v>59</v>
      </c>
      <c r="E34" s="18" t="s">
        <v>59</v>
      </c>
      <c r="H34" s="62"/>
      <c r="I34" s="62"/>
      <c r="J34" s="62"/>
      <c r="K34" s="62"/>
      <c r="L34" s="62"/>
      <c r="M34" s="62"/>
      <c r="N34" s="62"/>
      <c r="O34" s="62"/>
    </row>
    <row r="35" spans="1:15" x14ac:dyDescent="0.25">
      <c r="A35" s="602"/>
      <c r="B35" s="600" t="s">
        <v>137</v>
      </c>
      <c r="C35" s="600" t="s">
        <v>8</v>
      </c>
      <c r="D35" s="600">
        <v>61</v>
      </c>
      <c r="E35" s="600" t="s">
        <v>59</v>
      </c>
      <c r="H35" s="62"/>
      <c r="I35" s="62"/>
      <c r="J35" s="62"/>
      <c r="K35" s="62"/>
      <c r="L35" s="62"/>
      <c r="M35" s="62"/>
      <c r="N35" s="62"/>
      <c r="O35" s="62"/>
    </row>
    <row r="36" spans="1:15" x14ac:dyDescent="0.25">
      <c r="A36" s="602"/>
      <c r="B36" s="600"/>
      <c r="C36" s="600"/>
      <c r="D36" s="600"/>
      <c r="E36" s="600"/>
      <c r="O36" s="2"/>
    </row>
    <row r="37" spans="1:15" x14ac:dyDescent="0.25">
      <c r="A37" s="602"/>
      <c r="B37" s="600" t="s">
        <v>138</v>
      </c>
      <c r="C37" s="600" t="s">
        <v>8</v>
      </c>
      <c r="D37" s="600">
        <v>66</v>
      </c>
      <c r="E37" s="600" t="s">
        <v>59</v>
      </c>
    </row>
    <row r="38" spans="1:15" x14ac:dyDescent="0.25">
      <c r="A38" s="602"/>
      <c r="B38" s="600"/>
      <c r="C38" s="600"/>
      <c r="D38" s="600"/>
      <c r="E38" s="600"/>
    </row>
    <row r="39" spans="1:15" x14ac:dyDescent="0.25">
      <c r="A39" s="602"/>
      <c r="B39" s="600" t="s">
        <v>139</v>
      </c>
      <c r="C39" s="600" t="s">
        <v>8</v>
      </c>
      <c r="D39" s="600">
        <v>94</v>
      </c>
      <c r="E39" s="600" t="s">
        <v>59</v>
      </c>
    </row>
    <row r="40" spans="1:15" x14ac:dyDescent="0.25">
      <c r="A40" s="602"/>
      <c r="B40" s="600"/>
      <c r="C40" s="600"/>
      <c r="D40" s="600"/>
      <c r="E40" s="600"/>
    </row>
    <row r="41" spans="1:15" x14ac:dyDescent="0.25">
      <c r="A41" s="602"/>
      <c r="B41" s="18" t="s">
        <v>140</v>
      </c>
      <c r="C41" s="18" t="s">
        <v>8</v>
      </c>
      <c r="D41" s="18">
        <v>42.2</v>
      </c>
      <c r="E41" s="18" t="s">
        <v>62</v>
      </c>
    </row>
    <row r="42" spans="1:15" x14ac:dyDescent="0.25">
      <c r="A42" s="602"/>
      <c r="B42" s="18" t="s">
        <v>141</v>
      </c>
      <c r="C42" s="18" t="s">
        <v>8</v>
      </c>
      <c r="D42" s="18">
        <v>58.3</v>
      </c>
      <c r="E42" s="18" t="s">
        <v>62</v>
      </c>
    </row>
    <row r="43" spans="1:15" x14ac:dyDescent="0.25">
      <c r="A43" s="602"/>
      <c r="B43" s="18" t="s">
        <v>142</v>
      </c>
      <c r="C43" s="18" t="s">
        <v>8</v>
      </c>
      <c r="D43" s="18">
        <v>58.3</v>
      </c>
      <c r="E43" s="18" t="s">
        <v>62</v>
      </c>
    </row>
    <row r="44" spans="1:15" x14ac:dyDescent="0.25">
      <c r="A44" s="602"/>
      <c r="B44" s="18" t="s">
        <v>143</v>
      </c>
      <c r="C44" s="18" t="s">
        <v>8</v>
      </c>
      <c r="D44" s="18">
        <v>39.1</v>
      </c>
      <c r="E44" s="18" t="s">
        <v>62</v>
      </c>
    </row>
    <row r="45" spans="1:15" x14ac:dyDescent="0.25">
      <c r="A45" s="602"/>
      <c r="B45" s="18" t="s">
        <v>130</v>
      </c>
      <c r="C45" s="18" t="s">
        <v>8</v>
      </c>
      <c r="D45" s="18">
        <v>27.3</v>
      </c>
      <c r="E45" s="18" t="s">
        <v>74</v>
      </c>
    </row>
    <row r="46" spans="1:15" x14ac:dyDescent="0.25">
      <c r="A46" s="602"/>
      <c r="B46" s="18" t="s">
        <v>130</v>
      </c>
      <c r="C46" s="18" t="s">
        <v>8</v>
      </c>
      <c r="D46" s="18">
        <v>37</v>
      </c>
      <c r="E46" s="18" t="s">
        <v>74</v>
      </c>
    </row>
    <row r="47" spans="1:15" x14ac:dyDescent="0.25">
      <c r="A47" s="602"/>
      <c r="B47" s="18" t="s">
        <v>130</v>
      </c>
      <c r="C47" s="18" t="s">
        <v>8</v>
      </c>
      <c r="D47" s="18">
        <v>59.2</v>
      </c>
      <c r="E47" s="18" t="s">
        <v>74</v>
      </c>
    </row>
    <row r="48" spans="1:15" x14ac:dyDescent="0.25">
      <c r="A48" s="602"/>
      <c r="B48" s="18" t="s">
        <v>130</v>
      </c>
      <c r="C48" s="18" t="s">
        <v>8</v>
      </c>
      <c r="D48" s="18">
        <v>81.7</v>
      </c>
      <c r="E48" s="18" t="s">
        <v>74</v>
      </c>
    </row>
    <row r="49" spans="1:5" ht="15" customHeight="1" x14ac:dyDescent="0.25">
      <c r="A49" s="602"/>
      <c r="B49" s="18" t="s">
        <v>130</v>
      </c>
      <c r="C49" s="18" t="s">
        <v>8</v>
      </c>
      <c r="D49" s="18">
        <v>97.8</v>
      </c>
      <c r="E49" s="18" t="s">
        <v>74</v>
      </c>
    </row>
    <row r="50" spans="1:5" x14ac:dyDescent="0.25">
      <c r="A50" s="602"/>
      <c r="B50" s="18" t="s">
        <v>130</v>
      </c>
      <c r="C50" s="18" t="s">
        <v>8</v>
      </c>
      <c r="D50" s="18">
        <v>141.69999999999999</v>
      </c>
      <c r="E50" s="18" t="s">
        <v>74</v>
      </c>
    </row>
    <row r="51" spans="1:5" x14ac:dyDescent="0.25">
      <c r="A51" s="602"/>
      <c r="B51" s="18" t="s">
        <v>130</v>
      </c>
      <c r="C51" s="18" t="s">
        <v>8</v>
      </c>
      <c r="D51" s="18">
        <v>498.8</v>
      </c>
      <c r="E51" s="18" t="s">
        <v>74</v>
      </c>
    </row>
    <row r="52" spans="1:5" x14ac:dyDescent="0.25">
      <c r="A52" s="602"/>
      <c r="B52" s="18" t="s">
        <v>130</v>
      </c>
      <c r="C52" s="18" t="s">
        <v>8</v>
      </c>
      <c r="D52" s="18">
        <v>564.20000000000005</v>
      </c>
      <c r="E52" s="18" t="s">
        <v>74</v>
      </c>
    </row>
    <row r="53" spans="1:5" x14ac:dyDescent="0.25">
      <c r="A53" s="602"/>
      <c r="B53" s="18" t="s">
        <v>130</v>
      </c>
      <c r="C53" s="18" t="s">
        <v>8</v>
      </c>
      <c r="D53" s="18">
        <v>774.7</v>
      </c>
      <c r="E53" s="18" t="s">
        <v>74</v>
      </c>
    </row>
    <row r="54" spans="1:5" x14ac:dyDescent="0.25">
      <c r="A54" s="602"/>
      <c r="B54" s="18" t="s">
        <v>169</v>
      </c>
      <c r="C54" s="18" t="s">
        <v>8</v>
      </c>
      <c r="D54" s="18">
        <v>22.5</v>
      </c>
      <c r="E54" s="18" t="s">
        <v>74</v>
      </c>
    </row>
    <row r="55" spans="1:5" x14ac:dyDescent="0.25">
      <c r="A55" s="602"/>
      <c r="B55" s="18" t="s">
        <v>169</v>
      </c>
      <c r="C55" s="18" t="s">
        <v>8</v>
      </c>
      <c r="D55" s="18">
        <v>30.1</v>
      </c>
      <c r="E55" s="18" t="s">
        <v>74</v>
      </c>
    </row>
    <row r="56" spans="1:5" x14ac:dyDescent="0.25">
      <c r="A56" s="602"/>
      <c r="B56" s="18" t="s">
        <v>169</v>
      </c>
      <c r="C56" s="18" t="s">
        <v>8</v>
      </c>
      <c r="D56" s="18">
        <v>38.1</v>
      </c>
      <c r="E56" s="18" t="s">
        <v>74</v>
      </c>
    </row>
    <row r="57" spans="1:5" x14ac:dyDescent="0.25">
      <c r="A57" s="602"/>
      <c r="B57" s="18" t="s">
        <v>169</v>
      </c>
      <c r="C57" s="18" t="s">
        <v>8</v>
      </c>
      <c r="D57" s="18">
        <v>32.6</v>
      </c>
      <c r="E57" s="18" t="s">
        <v>74</v>
      </c>
    </row>
    <row r="58" spans="1:5" x14ac:dyDescent="0.25">
      <c r="A58" s="602"/>
      <c r="B58" s="18" t="s">
        <v>169</v>
      </c>
      <c r="C58" s="18" t="s">
        <v>8</v>
      </c>
      <c r="D58" s="18">
        <v>39.799999999999997</v>
      </c>
      <c r="E58" s="18" t="s">
        <v>74</v>
      </c>
    </row>
    <row r="59" spans="1:5" x14ac:dyDescent="0.25">
      <c r="A59" s="602"/>
      <c r="B59" s="18" t="s">
        <v>169</v>
      </c>
      <c r="C59" s="18" t="s">
        <v>8</v>
      </c>
      <c r="D59" s="18">
        <v>47.6</v>
      </c>
      <c r="E59" s="18" t="s">
        <v>74</v>
      </c>
    </row>
    <row r="60" spans="1:5" x14ac:dyDescent="0.25">
      <c r="A60" s="602"/>
      <c r="B60" s="18" t="s">
        <v>169</v>
      </c>
      <c r="C60" s="18" t="s">
        <v>8</v>
      </c>
      <c r="D60" s="18">
        <v>153.19999999999999</v>
      </c>
      <c r="E60" s="18" t="s">
        <v>74</v>
      </c>
    </row>
    <row r="61" spans="1:5" x14ac:dyDescent="0.25">
      <c r="A61" s="602"/>
      <c r="B61" s="18" t="s">
        <v>169</v>
      </c>
      <c r="C61" s="18" t="s">
        <v>8</v>
      </c>
      <c r="D61" s="18">
        <v>166</v>
      </c>
      <c r="E61" s="18" t="s">
        <v>74</v>
      </c>
    </row>
    <row r="62" spans="1:5" x14ac:dyDescent="0.25">
      <c r="A62" s="602"/>
      <c r="B62" s="18" t="s">
        <v>169</v>
      </c>
      <c r="C62" s="18" t="s">
        <v>8</v>
      </c>
      <c r="D62" s="18">
        <v>193.3</v>
      </c>
      <c r="E62" s="18" t="s">
        <v>74</v>
      </c>
    </row>
    <row r="63" spans="1:5" x14ac:dyDescent="0.25">
      <c r="A63" s="602"/>
      <c r="B63" s="18" t="s">
        <v>169</v>
      </c>
      <c r="C63" s="18" t="s">
        <v>8</v>
      </c>
      <c r="D63" s="18">
        <v>665.3</v>
      </c>
      <c r="E63" s="18" t="s">
        <v>74</v>
      </c>
    </row>
    <row r="64" spans="1:5" x14ac:dyDescent="0.25">
      <c r="A64" s="602"/>
      <c r="B64" s="18" t="s">
        <v>169</v>
      </c>
      <c r="C64" s="18" t="s">
        <v>8</v>
      </c>
      <c r="D64" s="18">
        <v>698</v>
      </c>
      <c r="E64" s="18" t="s">
        <v>74</v>
      </c>
    </row>
    <row r="65" spans="1:5" x14ac:dyDescent="0.25">
      <c r="A65" s="602"/>
      <c r="B65" s="18" t="s">
        <v>169</v>
      </c>
      <c r="C65" s="18" t="s">
        <v>8</v>
      </c>
      <c r="D65" s="18">
        <v>801.2</v>
      </c>
      <c r="E65" s="18" t="s">
        <v>74</v>
      </c>
    </row>
    <row r="66" spans="1:5" x14ac:dyDescent="0.25">
      <c r="A66" s="602"/>
      <c r="B66" s="18" t="s">
        <v>131</v>
      </c>
      <c r="C66" s="18" t="s">
        <v>8</v>
      </c>
      <c r="D66" s="18">
        <v>39.799999999999997</v>
      </c>
      <c r="E66" s="18" t="s">
        <v>74</v>
      </c>
    </row>
    <row r="67" spans="1:5" x14ac:dyDescent="0.25">
      <c r="A67" s="602"/>
      <c r="B67" s="18" t="s">
        <v>131</v>
      </c>
      <c r="C67" s="18" t="s">
        <v>8</v>
      </c>
      <c r="D67" s="18">
        <v>54.9</v>
      </c>
      <c r="E67" s="18" t="s">
        <v>74</v>
      </c>
    </row>
    <row r="68" spans="1:5" x14ac:dyDescent="0.25">
      <c r="A68" s="602"/>
      <c r="B68" s="18" t="s">
        <v>131</v>
      </c>
      <c r="C68" s="18" t="s">
        <v>8</v>
      </c>
      <c r="D68" s="18">
        <v>75.900000000000006</v>
      </c>
      <c r="E68" s="18" t="s">
        <v>74</v>
      </c>
    </row>
    <row r="69" spans="1:5" x14ac:dyDescent="0.25">
      <c r="A69" s="602"/>
      <c r="B69" s="18" t="s">
        <v>131</v>
      </c>
      <c r="C69" s="18" t="s">
        <v>8</v>
      </c>
      <c r="D69" s="18">
        <v>78.2</v>
      </c>
      <c r="E69" s="18" t="s">
        <v>74</v>
      </c>
    </row>
    <row r="70" spans="1:5" x14ac:dyDescent="0.25">
      <c r="A70" s="602"/>
      <c r="B70" s="18" t="s">
        <v>131</v>
      </c>
      <c r="C70" s="18" t="s">
        <v>8</v>
      </c>
      <c r="D70" s="18">
        <v>97.9</v>
      </c>
      <c r="E70" s="18" t="s">
        <v>74</v>
      </c>
    </row>
    <row r="71" spans="1:5" x14ac:dyDescent="0.25">
      <c r="A71" s="602"/>
      <c r="B71" s="18" t="s">
        <v>131</v>
      </c>
      <c r="C71" s="18" t="s">
        <v>8</v>
      </c>
      <c r="D71" s="18">
        <v>128.5</v>
      </c>
      <c r="E71" s="18" t="s">
        <v>74</v>
      </c>
    </row>
    <row r="72" spans="1:5" x14ac:dyDescent="0.25">
      <c r="A72" s="602"/>
      <c r="B72" s="18" t="s">
        <v>142</v>
      </c>
      <c r="C72" s="18" t="s">
        <v>8</v>
      </c>
      <c r="D72" s="18">
        <v>31.8</v>
      </c>
      <c r="E72" s="18" t="s">
        <v>74</v>
      </c>
    </row>
    <row r="73" spans="1:5" x14ac:dyDescent="0.25">
      <c r="A73" s="602"/>
      <c r="B73" s="18" t="s">
        <v>142</v>
      </c>
      <c r="C73" s="18" t="s">
        <v>8</v>
      </c>
      <c r="D73" s="18">
        <v>39.4</v>
      </c>
      <c r="E73" s="18" t="s">
        <v>74</v>
      </c>
    </row>
    <row r="74" spans="1:5" x14ac:dyDescent="0.25">
      <c r="A74" s="602"/>
      <c r="B74" s="18" t="s">
        <v>142</v>
      </c>
      <c r="C74" s="18" t="s">
        <v>8</v>
      </c>
      <c r="D74" s="18">
        <v>45.1</v>
      </c>
      <c r="E74" s="18" t="s">
        <v>74</v>
      </c>
    </row>
    <row r="75" spans="1:5" x14ac:dyDescent="0.25">
      <c r="A75" s="602"/>
      <c r="B75" s="6" t="s">
        <v>171</v>
      </c>
      <c r="C75" s="6" t="s">
        <v>8</v>
      </c>
      <c r="D75" s="6">
        <v>30.5</v>
      </c>
      <c r="E75" s="6" t="s">
        <v>74</v>
      </c>
    </row>
    <row r="76" spans="1:5" x14ac:dyDescent="0.25">
      <c r="A76" s="602"/>
      <c r="B76" s="18" t="s">
        <v>171</v>
      </c>
      <c r="C76" s="18" t="s">
        <v>8</v>
      </c>
      <c r="D76" s="18">
        <v>47.7</v>
      </c>
      <c r="E76" s="18" t="s">
        <v>74</v>
      </c>
    </row>
    <row r="77" spans="1:5" x14ac:dyDescent="0.25">
      <c r="A77" s="602"/>
      <c r="B77" s="18" t="s">
        <v>171</v>
      </c>
      <c r="C77" s="18" t="s">
        <v>8</v>
      </c>
      <c r="D77" s="18">
        <v>66.099999999999994</v>
      </c>
      <c r="E77" s="18" t="s">
        <v>74</v>
      </c>
    </row>
    <row r="78" spans="1:5" x14ac:dyDescent="0.25">
      <c r="A78" s="602"/>
      <c r="B78" s="18" t="s">
        <v>171</v>
      </c>
      <c r="C78" s="18" t="s">
        <v>8</v>
      </c>
      <c r="D78" s="18">
        <v>-19.2</v>
      </c>
      <c r="E78" s="18" t="s">
        <v>74</v>
      </c>
    </row>
    <row r="79" spans="1:5" x14ac:dyDescent="0.25">
      <c r="A79" s="602"/>
      <c r="B79" s="18" t="s">
        <v>171</v>
      </c>
      <c r="C79" s="18" t="s">
        <v>8</v>
      </c>
      <c r="D79" s="18">
        <v>5.8</v>
      </c>
      <c r="E79" s="18" t="s">
        <v>74</v>
      </c>
    </row>
    <row r="80" spans="1:5" x14ac:dyDescent="0.25">
      <c r="A80" s="603"/>
      <c r="B80" s="18" t="s">
        <v>171</v>
      </c>
      <c r="C80" s="18" t="s">
        <v>8</v>
      </c>
      <c r="D80" s="18">
        <v>32.200000000000003</v>
      </c>
      <c r="E80" s="18" t="s">
        <v>74</v>
      </c>
    </row>
    <row r="81" spans="1:5" x14ac:dyDescent="0.25">
      <c r="A81" s="493" t="s">
        <v>1</v>
      </c>
      <c r="B81" s="18" t="s">
        <v>145</v>
      </c>
      <c r="C81" s="18" t="s">
        <v>7</v>
      </c>
      <c r="D81" s="18">
        <v>13.8</v>
      </c>
      <c r="E81" s="18" t="s">
        <v>62</v>
      </c>
    </row>
    <row r="82" spans="1:5" x14ac:dyDescent="0.25">
      <c r="A82" s="494"/>
      <c r="B82" s="18" t="s">
        <v>146</v>
      </c>
      <c r="C82" s="18" t="s">
        <v>7</v>
      </c>
      <c r="D82" s="18">
        <v>7.7</v>
      </c>
      <c r="E82" s="18" t="s">
        <v>56</v>
      </c>
    </row>
    <row r="83" spans="1:5" x14ac:dyDescent="0.25">
      <c r="A83" s="493" t="s">
        <v>0</v>
      </c>
      <c r="B83" s="18" t="s">
        <v>0</v>
      </c>
      <c r="C83" s="18" t="s">
        <v>7</v>
      </c>
      <c r="D83" s="18">
        <v>7.7</v>
      </c>
      <c r="E83" s="18" t="s">
        <v>62</v>
      </c>
    </row>
    <row r="84" spans="1:5" x14ac:dyDescent="0.25">
      <c r="A84" s="605"/>
      <c r="B84" s="18" t="s">
        <v>0</v>
      </c>
      <c r="C84" s="18" t="s">
        <v>7</v>
      </c>
      <c r="D84" s="18">
        <v>8.3000000000000007</v>
      </c>
      <c r="E84" s="18" t="s">
        <v>56</v>
      </c>
    </row>
    <row r="85" spans="1:5" x14ac:dyDescent="0.25">
      <c r="A85" s="605"/>
      <c r="B85" s="6" t="s">
        <v>0</v>
      </c>
      <c r="C85" s="6" t="s">
        <v>7</v>
      </c>
      <c r="D85" s="6">
        <v>12.2</v>
      </c>
      <c r="E85" s="6" t="s">
        <v>74</v>
      </c>
    </row>
    <row r="86" spans="1:5" x14ac:dyDescent="0.25">
      <c r="A86" s="494"/>
      <c r="B86" s="54" t="s">
        <v>0</v>
      </c>
      <c r="C86" s="54" t="s">
        <v>147</v>
      </c>
      <c r="D86" s="54">
        <v>10.4</v>
      </c>
      <c r="E86" s="54" t="s">
        <v>70</v>
      </c>
    </row>
    <row r="87" spans="1:5" ht="15" customHeight="1" x14ac:dyDescent="0.25">
      <c r="A87" s="601" t="s">
        <v>148</v>
      </c>
      <c r="B87" s="18" t="s">
        <v>149</v>
      </c>
      <c r="C87" s="18" t="s">
        <v>7</v>
      </c>
      <c r="D87" s="18">
        <v>19.399999999999999</v>
      </c>
      <c r="E87" s="18" t="s">
        <v>62</v>
      </c>
    </row>
    <row r="88" spans="1:5" x14ac:dyDescent="0.25">
      <c r="A88" s="602"/>
      <c r="B88" s="600" t="s">
        <v>150</v>
      </c>
      <c r="C88" s="600" t="s">
        <v>7</v>
      </c>
      <c r="D88" s="600">
        <v>7.2</v>
      </c>
      <c r="E88" s="600" t="s">
        <v>56</v>
      </c>
    </row>
    <row r="89" spans="1:5" x14ac:dyDescent="0.25">
      <c r="A89" s="602"/>
      <c r="B89" s="600"/>
      <c r="C89" s="600"/>
      <c r="D89" s="600"/>
      <c r="E89" s="600"/>
    </row>
    <row r="90" spans="1:5" x14ac:dyDescent="0.25">
      <c r="A90" s="602"/>
      <c r="B90" s="600" t="s">
        <v>151</v>
      </c>
      <c r="C90" s="600" t="s">
        <v>7</v>
      </c>
      <c r="D90" s="600">
        <v>6.4</v>
      </c>
      <c r="E90" s="600" t="s">
        <v>56</v>
      </c>
    </row>
    <row r="91" spans="1:5" x14ac:dyDescent="0.25">
      <c r="A91" s="602"/>
      <c r="B91" s="600"/>
      <c r="C91" s="600"/>
      <c r="D91" s="600"/>
      <c r="E91" s="600"/>
    </row>
    <row r="92" spans="1:5" x14ac:dyDescent="0.25">
      <c r="A92" s="602"/>
      <c r="B92" s="600" t="s">
        <v>152</v>
      </c>
      <c r="C92" s="600" t="s">
        <v>7</v>
      </c>
      <c r="D92" s="600">
        <v>-22.6</v>
      </c>
      <c r="E92" s="600" t="s">
        <v>56</v>
      </c>
    </row>
    <row r="93" spans="1:5" x14ac:dyDescent="0.25">
      <c r="A93" s="602"/>
      <c r="B93" s="600"/>
      <c r="C93" s="600"/>
      <c r="D93" s="600"/>
      <c r="E93" s="600"/>
    </row>
    <row r="94" spans="1:5" x14ac:dyDescent="0.25">
      <c r="A94" s="602"/>
      <c r="B94" s="600" t="s">
        <v>152</v>
      </c>
      <c r="C94" s="600" t="s">
        <v>7</v>
      </c>
      <c r="D94" s="600">
        <v>-27</v>
      </c>
      <c r="E94" s="600" t="s">
        <v>59</v>
      </c>
    </row>
    <row r="95" spans="1:5" x14ac:dyDescent="0.25">
      <c r="A95" s="602"/>
      <c r="B95" s="600"/>
      <c r="C95" s="600"/>
      <c r="D95" s="600"/>
      <c r="E95" s="600"/>
    </row>
    <row r="96" spans="1:5" x14ac:dyDescent="0.25">
      <c r="A96" s="602"/>
      <c r="B96" s="18" t="s">
        <v>153</v>
      </c>
      <c r="C96" s="18" t="s">
        <v>7</v>
      </c>
      <c r="D96" s="18">
        <v>1</v>
      </c>
      <c r="E96" s="18" t="s">
        <v>59</v>
      </c>
    </row>
    <row r="97" spans="1:5" x14ac:dyDescent="0.25">
      <c r="A97" s="602"/>
      <c r="B97" s="600" t="s">
        <v>151</v>
      </c>
      <c r="C97" s="600" t="s">
        <v>7</v>
      </c>
      <c r="D97" s="600">
        <v>1</v>
      </c>
      <c r="E97" s="600" t="s">
        <v>59</v>
      </c>
    </row>
    <row r="98" spans="1:5" x14ac:dyDescent="0.25">
      <c r="A98" s="602"/>
      <c r="B98" s="600"/>
      <c r="C98" s="600"/>
      <c r="D98" s="600"/>
      <c r="E98" s="600"/>
    </row>
    <row r="99" spans="1:5" x14ac:dyDescent="0.25">
      <c r="A99" s="602"/>
      <c r="B99" s="600" t="s">
        <v>150</v>
      </c>
      <c r="C99" s="600" t="s">
        <v>7</v>
      </c>
      <c r="D99" s="600">
        <v>2</v>
      </c>
      <c r="E99" s="600" t="s">
        <v>59</v>
      </c>
    </row>
    <row r="100" spans="1:5" x14ac:dyDescent="0.25">
      <c r="A100" s="602"/>
      <c r="B100" s="600"/>
      <c r="C100" s="600"/>
      <c r="D100" s="600"/>
      <c r="E100" s="600"/>
    </row>
    <row r="101" spans="1:5" x14ac:dyDescent="0.25">
      <c r="A101" s="602"/>
      <c r="B101" s="18" t="s">
        <v>149</v>
      </c>
      <c r="C101" s="18" t="s">
        <v>7</v>
      </c>
      <c r="D101" s="18">
        <v>11.9</v>
      </c>
      <c r="E101" s="18" t="s">
        <v>74</v>
      </c>
    </row>
    <row r="102" spans="1:5" x14ac:dyDescent="0.25">
      <c r="A102" s="602"/>
      <c r="B102" s="18" t="s">
        <v>149</v>
      </c>
      <c r="C102" s="18" t="s">
        <v>7</v>
      </c>
      <c r="D102" s="18">
        <v>17.7</v>
      </c>
      <c r="E102" s="18" t="s">
        <v>74</v>
      </c>
    </row>
    <row r="103" spans="1:5" x14ac:dyDescent="0.25">
      <c r="A103" s="602"/>
      <c r="B103" s="18" t="s">
        <v>149</v>
      </c>
      <c r="C103" s="18" t="s">
        <v>7</v>
      </c>
      <c r="D103" s="18">
        <v>26</v>
      </c>
      <c r="E103" s="18" t="s">
        <v>74</v>
      </c>
    </row>
    <row r="104" spans="1:5" x14ac:dyDescent="0.25">
      <c r="A104" s="602"/>
      <c r="B104" s="18" t="s">
        <v>149</v>
      </c>
      <c r="C104" s="18" t="s">
        <v>7</v>
      </c>
      <c r="D104" s="18">
        <v>-1.7</v>
      </c>
      <c r="E104" s="18" t="s">
        <v>74</v>
      </c>
    </row>
    <row r="105" spans="1:5" x14ac:dyDescent="0.25">
      <c r="A105" s="602"/>
      <c r="B105" s="18" t="s">
        <v>149</v>
      </c>
      <c r="C105" s="18" t="s">
        <v>7</v>
      </c>
      <c r="D105" s="18">
        <v>-2</v>
      </c>
      <c r="E105" s="18" t="s">
        <v>74</v>
      </c>
    </row>
    <row r="106" spans="1:5" x14ac:dyDescent="0.25">
      <c r="A106" s="602"/>
      <c r="B106" s="18" t="s">
        <v>149</v>
      </c>
      <c r="C106" s="18" t="s">
        <v>7</v>
      </c>
      <c r="D106" s="18">
        <v>-4.4000000000000004</v>
      </c>
      <c r="E106" s="18" t="s">
        <v>74</v>
      </c>
    </row>
    <row r="107" spans="1:5" x14ac:dyDescent="0.25">
      <c r="A107" s="602"/>
      <c r="B107" s="54" t="s">
        <v>217</v>
      </c>
      <c r="C107" s="54" t="s">
        <v>7</v>
      </c>
      <c r="D107" s="54">
        <v>9</v>
      </c>
      <c r="E107" s="54" t="s">
        <v>74</v>
      </c>
    </row>
    <row r="108" spans="1:5" x14ac:dyDescent="0.25">
      <c r="A108" s="602"/>
      <c r="B108" s="54" t="s">
        <v>217</v>
      </c>
      <c r="C108" s="54" t="s">
        <v>7</v>
      </c>
      <c r="D108" s="54">
        <v>13.6</v>
      </c>
      <c r="E108" s="54" t="s">
        <v>74</v>
      </c>
    </row>
    <row r="109" spans="1:5" x14ac:dyDescent="0.25">
      <c r="A109" s="604" t="s">
        <v>148</v>
      </c>
      <c r="B109" s="18" t="s">
        <v>164</v>
      </c>
      <c r="C109" s="18" t="s">
        <v>155</v>
      </c>
      <c r="D109" s="6">
        <v>37.4</v>
      </c>
      <c r="E109" s="18" t="s">
        <v>62</v>
      </c>
    </row>
    <row r="110" spans="1:5" x14ac:dyDescent="0.25">
      <c r="A110" s="604"/>
      <c r="B110" s="18" t="s">
        <v>165</v>
      </c>
      <c r="C110" s="18" t="s">
        <v>160</v>
      </c>
      <c r="D110" s="6">
        <v>24.74</v>
      </c>
      <c r="E110" s="18" t="s">
        <v>59</v>
      </c>
    </row>
    <row r="111" spans="1:5" x14ac:dyDescent="0.25">
      <c r="A111" s="604"/>
      <c r="B111" s="18" t="s">
        <v>165</v>
      </c>
      <c r="C111" s="18" t="s">
        <v>147</v>
      </c>
      <c r="D111" s="6">
        <v>14.164999999999999</v>
      </c>
      <c r="E111" s="18" t="s">
        <v>70</v>
      </c>
    </row>
    <row r="112" spans="1:5" x14ac:dyDescent="0.25">
      <c r="A112" s="604"/>
      <c r="B112" s="18" t="s">
        <v>166</v>
      </c>
      <c r="C112" s="18" t="s">
        <v>160</v>
      </c>
      <c r="D112" s="6">
        <v>-15.16</v>
      </c>
      <c r="E112" s="18" t="s">
        <v>59</v>
      </c>
    </row>
    <row r="113" spans="1:5" x14ac:dyDescent="0.25">
      <c r="A113" s="604"/>
      <c r="B113" s="18" t="s">
        <v>167</v>
      </c>
      <c r="C113" s="18" t="s">
        <v>160</v>
      </c>
      <c r="D113" s="6">
        <v>26.83</v>
      </c>
      <c r="E113" s="18" t="s">
        <v>59</v>
      </c>
    </row>
    <row r="114" spans="1:5" x14ac:dyDescent="0.25">
      <c r="A114" s="604"/>
      <c r="B114" s="18" t="s">
        <v>166</v>
      </c>
      <c r="C114" s="18" t="s">
        <v>147</v>
      </c>
      <c r="D114" s="6">
        <v>-4.1688000000000001</v>
      </c>
      <c r="E114" s="18" t="s">
        <v>70</v>
      </c>
    </row>
    <row r="115" spans="1:5" x14ac:dyDescent="0.25">
      <c r="A115" s="604"/>
      <c r="B115" s="18" t="s">
        <v>168</v>
      </c>
      <c r="C115" s="18" t="s">
        <v>147</v>
      </c>
      <c r="D115" s="6">
        <v>13.173999999999999</v>
      </c>
      <c r="E115" s="18" t="s">
        <v>70</v>
      </c>
    </row>
    <row r="116" spans="1:5" x14ac:dyDescent="0.25">
      <c r="A116" s="601" t="s">
        <v>178</v>
      </c>
      <c r="B116" s="18" t="s">
        <v>154</v>
      </c>
      <c r="C116" s="18" t="s">
        <v>155</v>
      </c>
      <c r="D116" s="18">
        <v>27</v>
      </c>
      <c r="E116" s="18" t="s">
        <v>85</v>
      </c>
    </row>
    <row r="117" spans="1:5" x14ac:dyDescent="0.25">
      <c r="A117" s="602"/>
      <c r="B117" s="18" t="s">
        <v>154</v>
      </c>
      <c r="C117" s="18" t="s">
        <v>155</v>
      </c>
      <c r="D117" s="18">
        <v>48.1</v>
      </c>
      <c r="E117" s="18" t="s">
        <v>85</v>
      </c>
    </row>
    <row r="118" spans="1:5" x14ac:dyDescent="0.25">
      <c r="A118" s="602"/>
      <c r="B118" s="18" t="s">
        <v>154</v>
      </c>
      <c r="C118" s="18" t="s">
        <v>155</v>
      </c>
      <c r="D118" s="18">
        <v>66.400000000000006</v>
      </c>
      <c r="E118" s="18" t="s">
        <v>85</v>
      </c>
    </row>
    <row r="119" spans="1:5" x14ac:dyDescent="0.25">
      <c r="A119" s="602"/>
      <c r="B119" s="18" t="s">
        <v>156</v>
      </c>
      <c r="C119" s="18" t="s">
        <v>155</v>
      </c>
      <c r="D119" s="18">
        <v>86</v>
      </c>
      <c r="E119" s="18" t="s">
        <v>85</v>
      </c>
    </row>
    <row r="120" spans="1:5" x14ac:dyDescent="0.25">
      <c r="A120" s="602"/>
      <c r="B120" s="18" t="s">
        <v>156</v>
      </c>
      <c r="C120" s="18" t="s">
        <v>155</v>
      </c>
      <c r="D120" s="18">
        <v>113.8</v>
      </c>
      <c r="E120" s="18" t="s">
        <v>85</v>
      </c>
    </row>
    <row r="121" spans="1:5" x14ac:dyDescent="0.25">
      <c r="A121" s="602"/>
      <c r="B121" s="18" t="s">
        <v>156</v>
      </c>
      <c r="C121" s="18" t="s">
        <v>155</v>
      </c>
      <c r="D121" s="18">
        <v>218.2</v>
      </c>
      <c r="E121" s="18" t="s">
        <v>85</v>
      </c>
    </row>
    <row r="122" spans="1:5" x14ac:dyDescent="0.25">
      <c r="A122" s="602"/>
      <c r="B122" s="18" t="s">
        <v>149</v>
      </c>
      <c r="C122" s="18" t="s">
        <v>155</v>
      </c>
      <c r="D122" s="18">
        <v>18.600000000000001</v>
      </c>
      <c r="E122" s="18" t="s">
        <v>85</v>
      </c>
    </row>
    <row r="123" spans="1:5" x14ac:dyDescent="0.25">
      <c r="A123" s="602"/>
      <c r="B123" s="18" t="s">
        <v>149</v>
      </c>
      <c r="C123" s="18" t="s">
        <v>155</v>
      </c>
      <c r="D123" s="18">
        <v>40.299999999999997</v>
      </c>
      <c r="E123" s="18" t="s">
        <v>85</v>
      </c>
    </row>
    <row r="124" spans="1:5" x14ac:dyDescent="0.25">
      <c r="A124" s="602"/>
      <c r="B124" s="18" t="s">
        <v>149</v>
      </c>
      <c r="C124" s="18" t="s">
        <v>155</v>
      </c>
      <c r="D124" s="18">
        <v>102</v>
      </c>
      <c r="E124" s="18" t="s">
        <v>85</v>
      </c>
    </row>
    <row r="125" spans="1:5" x14ac:dyDescent="0.25">
      <c r="A125" s="602"/>
      <c r="B125" s="18" t="s">
        <v>157</v>
      </c>
      <c r="C125" s="18" t="s">
        <v>155</v>
      </c>
      <c r="D125" s="18">
        <v>52.2</v>
      </c>
      <c r="E125" s="18" t="s">
        <v>62</v>
      </c>
    </row>
    <row r="126" spans="1:5" x14ac:dyDescent="0.25">
      <c r="A126" s="602"/>
      <c r="B126" s="18" t="s">
        <v>158</v>
      </c>
      <c r="C126" s="18" t="s">
        <v>155</v>
      </c>
      <c r="D126" s="18">
        <v>52.2</v>
      </c>
      <c r="E126" s="18" t="s">
        <v>62</v>
      </c>
    </row>
    <row r="127" spans="1:5" x14ac:dyDescent="0.25">
      <c r="A127" s="602"/>
      <c r="B127" s="18" t="s">
        <v>159</v>
      </c>
      <c r="C127" s="18" t="s">
        <v>160</v>
      </c>
      <c r="D127" s="18">
        <v>79.17</v>
      </c>
      <c r="E127" s="18" t="s">
        <v>59</v>
      </c>
    </row>
    <row r="128" spans="1:5" x14ac:dyDescent="0.25">
      <c r="A128" s="602"/>
      <c r="B128" s="18" t="s">
        <v>161</v>
      </c>
      <c r="C128" s="18" t="s">
        <v>160</v>
      </c>
      <c r="D128" s="18">
        <v>31.64</v>
      </c>
      <c r="E128" s="18" t="s">
        <v>59</v>
      </c>
    </row>
    <row r="129" spans="1:5" x14ac:dyDescent="0.25">
      <c r="A129" s="602"/>
      <c r="B129" s="18" t="s">
        <v>162</v>
      </c>
      <c r="C129" s="18" t="s">
        <v>147</v>
      </c>
      <c r="D129" s="18">
        <v>10.148</v>
      </c>
      <c r="E129" s="18" t="s">
        <v>70</v>
      </c>
    </row>
    <row r="130" spans="1:5" x14ac:dyDescent="0.25">
      <c r="A130" s="602"/>
      <c r="B130" s="18" t="s">
        <v>159</v>
      </c>
      <c r="C130" s="18" t="s">
        <v>147</v>
      </c>
      <c r="D130" s="18">
        <v>54.207999999999998</v>
      </c>
      <c r="E130" s="18" t="s">
        <v>70</v>
      </c>
    </row>
    <row r="131" spans="1:5" x14ac:dyDescent="0.25">
      <c r="A131" s="602"/>
      <c r="B131" s="18" t="s">
        <v>161</v>
      </c>
      <c r="C131" s="18" t="s">
        <v>147</v>
      </c>
      <c r="D131" s="18">
        <v>18.7</v>
      </c>
      <c r="E131" s="18" t="s">
        <v>70</v>
      </c>
    </row>
    <row r="132" spans="1:5" x14ac:dyDescent="0.25">
      <c r="A132" s="603"/>
      <c r="B132" s="18" t="s">
        <v>163</v>
      </c>
      <c r="C132" s="18" t="s">
        <v>147</v>
      </c>
      <c r="D132" s="18">
        <v>43.045000000000002</v>
      </c>
      <c r="E132" s="18" t="s">
        <v>70</v>
      </c>
    </row>
    <row r="133" spans="1:5" x14ac:dyDescent="0.25">
      <c r="A133" s="457" t="s">
        <v>2</v>
      </c>
      <c r="B133" s="6" t="s">
        <v>144</v>
      </c>
      <c r="C133" s="6" t="s">
        <v>8</v>
      </c>
      <c r="D133" s="6">
        <v>68.099999999999994</v>
      </c>
      <c r="E133" s="6" t="s">
        <v>62</v>
      </c>
    </row>
    <row r="134" spans="1:5" x14ac:dyDescent="0.25">
      <c r="A134" s="457"/>
      <c r="B134" s="6" t="s">
        <v>170</v>
      </c>
      <c r="C134" s="6" t="s">
        <v>8</v>
      </c>
      <c r="D134" s="6">
        <v>14.1</v>
      </c>
      <c r="E134" s="6" t="s">
        <v>74</v>
      </c>
    </row>
    <row r="135" spans="1:5" x14ac:dyDescent="0.25">
      <c r="A135" s="457"/>
      <c r="B135" s="6" t="s">
        <v>170</v>
      </c>
      <c r="C135" s="6" t="s">
        <v>8</v>
      </c>
      <c r="D135" s="6">
        <v>50.7</v>
      </c>
      <c r="E135" s="6" t="s">
        <v>74</v>
      </c>
    </row>
    <row r="136" spans="1:5" x14ac:dyDescent="0.25">
      <c r="A136" s="457"/>
      <c r="B136" s="52" t="s">
        <v>170</v>
      </c>
      <c r="C136" s="52" t="s">
        <v>8</v>
      </c>
      <c r="D136" s="52">
        <v>193.2</v>
      </c>
      <c r="E136" s="52" t="s">
        <v>74</v>
      </c>
    </row>
    <row r="137" spans="1:5" x14ac:dyDescent="0.25">
      <c r="B137" s="51"/>
      <c r="C137" s="51"/>
      <c r="D137" s="51"/>
      <c r="E137" s="51"/>
    </row>
  </sheetData>
  <mergeCells count="72">
    <mergeCell ref="A23:A80"/>
    <mergeCell ref="A133:A136"/>
    <mergeCell ref="A3:A4"/>
    <mergeCell ref="A5:A6"/>
    <mergeCell ref="A1:E1"/>
    <mergeCell ref="A87:A108"/>
    <mergeCell ref="A109:A115"/>
    <mergeCell ref="A12:A17"/>
    <mergeCell ref="A18:A22"/>
    <mergeCell ref="A10:E10"/>
    <mergeCell ref="A81:A82"/>
    <mergeCell ref="A83:A86"/>
    <mergeCell ref="A116:A132"/>
    <mergeCell ref="B99:B100"/>
    <mergeCell ref="C99:C100"/>
    <mergeCell ref="D99:D100"/>
    <mergeCell ref="E99:E100"/>
    <mergeCell ref="B94:B95"/>
    <mergeCell ref="C94:C95"/>
    <mergeCell ref="C97:C98"/>
    <mergeCell ref="D94:D95"/>
    <mergeCell ref="E94:E95"/>
    <mergeCell ref="B97:B98"/>
    <mergeCell ref="D97:D98"/>
    <mergeCell ref="E97:E98"/>
    <mergeCell ref="B90:B91"/>
    <mergeCell ref="C90:C91"/>
    <mergeCell ref="D90:D91"/>
    <mergeCell ref="E90:E91"/>
    <mergeCell ref="B92:B93"/>
    <mergeCell ref="C92:C93"/>
    <mergeCell ref="D92:D93"/>
    <mergeCell ref="E92:E93"/>
    <mergeCell ref="B88:B89"/>
    <mergeCell ref="C88:C89"/>
    <mergeCell ref="D88:D89"/>
    <mergeCell ref="E88:E89"/>
    <mergeCell ref="B37:B38"/>
    <mergeCell ref="C37:C38"/>
    <mergeCell ref="C39:C40"/>
    <mergeCell ref="D37:D38"/>
    <mergeCell ref="E37:E38"/>
    <mergeCell ref="B39:B40"/>
    <mergeCell ref="D39:D40"/>
    <mergeCell ref="E39:E40"/>
    <mergeCell ref="B29:B31"/>
    <mergeCell ref="C29:C31"/>
    <mergeCell ref="D29:D31"/>
    <mergeCell ref="E29:E31"/>
    <mergeCell ref="B35:B36"/>
    <mergeCell ref="C35:C36"/>
    <mergeCell ref="D35:D36"/>
    <mergeCell ref="E35:E36"/>
    <mergeCell ref="B24:B25"/>
    <mergeCell ref="C24:C25"/>
    <mergeCell ref="C26:C27"/>
    <mergeCell ref="D24:D25"/>
    <mergeCell ref="E24:E25"/>
    <mergeCell ref="B26:B27"/>
    <mergeCell ref="D26:D27"/>
    <mergeCell ref="E26:E27"/>
    <mergeCell ref="G2:K2"/>
    <mergeCell ref="G3:K3"/>
    <mergeCell ref="G4:K4"/>
    <mergeCell ref="B20:B21"/>
    <mergeCell ref="C20:C21"/>
    <mergeCell ref="D20:D21"/>
    <mergeCell ref="E20:E21"/>
    <mergeCell ref="B18:B19"/>
    <mergeCell ref="C18:C19"/>
    <mergeCell ref="D18:D19"/>
    <mergeCell ref="E18:E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B5" sqref="B5"/>
    </sheetView>
  </sheetViews>
  <sheetFormatPr baseColWidth="10" defaultRowHeight="15" x14ac:dyDescent="0.25"/>
  <cols>
    <col min="1" max="1" width="11.42578125" customWidth="1"/>
    <col min="2" max="2" width="82" customWidth="1"/>
    <col min="3" max="3" width="14.85546875" customWidth="1"/>
    <col min="4" max="4" width="35.5703125" customWidth="1"/>
    <col min="5" max="5" width="6.5703125" bestFit="1" customWidth="1"/>
    <col min="6" max="6" width="81.7109375" bestFit="1" customWidth="1"/>
  </cols>
  <sheetData>
    <row r="1" spans="1:6" ht="30" x14ac:dyDescent="0.25">
      <c r="A1" s="68" t="s">
        <v>99</v>
      </c>
      <c r="B1" s="12" t="s">
        <v>55</v>
      </c>
      <c r="C1" s="12" t="s">
        <v>100</v>
      </c>
      <c r="D1" s="12" t="s">
        <v>101</v>
      </c>
      <c r="E1" s="12" t="s">
        <v>97</v>
      </c>
      <c r="F1" s="12" t="s">
        <v>191</v>
      </c>
    </row>
    <row r="2" spans="1:6" ht="30" x14ac:dyDescent="0.25">
      <c r="A2" s="6" t="s">
        <v>56</v>
      </c>
      <c r="B2" s="57" t="s">
        <v>57</v>
      </c>
      <c r="C2" s="55" t="s">
        <v>180</v>
      </c>
      <c r="D2" s="57" t="s">
        <v>58</v>
      </c>
      <c r="E2" s="18">
        <v>2021</v>
      </c>
      <c r="F2" s="56"/>
    </row>
    <row r="3" spans="1:6" x14ac:dyDescent="0.25">
      <c r="A3" s="6" t="s">
        <v>59</v>
      </c>
      <c r="B3" s="57" t="s">
        <v>60</v>
      </c>
      <c r="C3" s="55" t="s">
        <v>181</v>
      </c>
      <c r="D3" s="57" t="s">
        <v>61</v>
      </c>
      <c r="E3" s="18">
        <v>2021</v>
      </c>
      <c r="F3" s="56"/>
    </row>
    <row r="4" spans="1:6" x14ac:dyDescent="0.25">
      <c r="A4" s="6" t="s">
        <v>62</v>
      </c>
      <c r="B4" s="57" t="s">
        <v>63</v>
      </c>
      <c r="C4" s="55" t="s">
        <v>182</v>
      </c>
      <c r="D4" s="57" t="s">
        <v>64</v>
      </c>
      <c r="E4" s="18">
        <v>2018</v>
      </c>
      <c r="F4" s="56"/>
    </row>
    <row r="5" spans="1:6" ht="30" x14ac:dyDescent="0.25">
      <c r="A5" s="6" t="s">
        <v>65</v>
      </c>
      <c r="B5" s="57" t="s">
        <v>66</v>
      </c>
      <c r="C5" s="55" t="s">
        <v>183</v>
      </c>
      <c r="D5" s="57" t="s">
        <v>67</v>
      </c>
      <c r="E5" s="18">
        <v>2013</v>
      </c>
      <c r="F5" s="56"/>
    </row>
    <row r="6" spans="1:6" ht="30" x14ac:dyDescent="0.25">
      <c r="A6" s="6" t="s">
        <v>68</v>
      </c>
      <c r="B6" s="57" t="s">
        <v>213</v>
      </c>
      <c r="C6" s="55" t="s">
        <v>182</v>
      </c>
      <c r="D6" s="57" t="s">
        <v>69</v>
      </c>
      <c r="E6" s="18">
        <v>2017</v>
      </c>
      <c r="F6" s="56"/>
    </row>
    <row r="7" spans="1:6" x14ac:dyDescent="0.25">
      <c r="A7" s="6" t="s">
        <v>70</v>
      </c>
      <c r="B7" s="57" t="s">
        <v>98</v>
      </c>
      <c r="C7" s="55"/>
      <c r="D7" s="57"/>
      <c r="E7" s="18">
        <v>2021</v>
      </c>
      <c r="F7" s="56"/>
    </row>
    <row r="8" spans="1:6" ht="30" x14ac:dyDescent="0.25">
      <c r="A8" s="6" t="s">
        <v>71</v>
      </c>
      <c r="B8" s="57" t="s">
        <v>72</v>
      </c>
      <c r="C8" s="55" t="s">
        <v>184</v>
      </c>
      <c r="D8" s="57" t="s">
        <v>73</v>
      </c>
      <c r="E8" s="18">
        <v>2017</v>
      </c>
      <c r="F8" s="56"/>
    </row>
    <row r="9" spans="1:6" x14ac:dyDescent="0.25">
      <c r="A9" s="6" t="s">
        <v>74</v>
      </c>
      <c r="B9" s="57" t="s">
        <v>75</v>
      </c>
      <c r="C9" s="55" t="s">
        <v>185</v>
      </c>
      <c r="D9" s="57" t="s">
        <v>76</v>
      </c>
      <c r="E9" s="18">
        <v>2010</v>
      </c>
      <c r="F9" s="69" t="s">
        <v>216</v>
      </c>
    </row>
    <row r="10" spans="1:6" x14ac:dyDescent="0.25">
      <c r="A10" s="54" t="s">
        <v>77</v>
      </c>
      <c r="B10" s="57" t="s">
        <v>78</v>
      </c>
      <c r="C10" s="55" t="s">
        <v>79</v>
      </c>
      <c r="D10" s="57"/>
      <c r="E10" s="18">
        <v>2021</v>
      </c>
      <c r="F10" s="56"/>
    </row>
    <row r="11" spans="1:6" ht="30" x14ac:dyDescent="0.25">
      <c r="A11" s="6" t="s">
        <v>80</v>
      </c>
      <c r="B11" s="57" t="s">
        <v>81</v>
      </c>
      <c r="C11" s="55" t="s">
        <v>186</v>
      </c>
      <c r="D11" s="57" t="s">
        <v>215</v>
      </c>
      <c r="E11" s="18">
        <v>2008</v>
      </c>
      <c r="F11" s="56"/>
    </row>
    <row r="12" spans="1:6" x14ac:dyDescent="0.25">
      <c r="A12" s="6" t="s">
        <v>82</v>
      </c>
      <c r="B12" s="57" t="s">
        <v>83</v>
      </c>
      <c r="C12" s="55" t="s">
        <v>187</v>
      </c>
      <c r="D12" s="57" t="s">
        <v>84</v>
      </c>
      <c r="E12" s="18">
        <v>2013</v>
      </c>
      <c r="F12" s="56"/>
    </row>
    <row r="13" spans="1:6" ht="30" x14ac:dyDescent="0.25">
      <c r="A13" s="6" t="s">
        <v>85</v>
      </c>
      <c r="B13" s="57" t="s">
        <v>86</v>
      </c>
      <c r="C13" s="55" t="s">
        <v>182</v>
      </c>
      <c r="D13" s="57" t="s">
        <v>87</v>
      </c>
      <c r="E13" s="18">
        <v>2014</v>
      </c>
      <c r="F13" s="56"/>
    </row>
    <row r="14" spans="1:6" x14ac:dyDescent="0.25">
      <c r="A14" s="6" t="s">
        <v>88</v>
      </c>
      <c r="B14" s="57" t="s">
        <v>89</v>
      </c>
      <c r="C14" s="55" t="s">
        <v>90</v>
      </c>
      <c r="D14" s="57"/>
      <c r="E14" s="18">
        <v>2016</v>
      </c>
      <c r="F14" s="56"/>
    </row>
    <row r="15" spans="1:6" ht="30" x14ac:dyDescent="0.25">
      <c r="A15" s="6" t="s">
        <v>91</v>
      </c>
      <c r="B15" s="57" t="s">
        <v>92</v>
      </c>
      <c r="C15" s="55" t="s">
        <v>188</v>
      </c>
      <c r="D15" s="57" t="s">
        <v>93</v>
      </c>
      <c r="E15" s="18">
        <v>2021</v>
      </c>
      <c r="F15" s="56"/>
    </row>
    <row r="16" spans="1:6" ht="30" x14ac:dyDescent="0.25">
      <c r="A16" s="6" t="s">
        <v>94</v>
      </c>
      <c r="B16" s="57" t="s">
        <v>95</v>
      </c>
      <c r="C16" s="55" t="s">
        <v>189</v>
      </c>
      <c r="D16" s="57" t="s">
        <v>67</v>
      </c>
      <c r="E16" s="18">
        <v>2015</v>
      </c>
      <c r="F16" s="56"/>
    </row>
    <row r="17" spans="1:6" x14ac:dyDescent="0.25">
      <c r="A17" s="54" t="s">
        <v>96</v>
      </c>
      <c r="B17" s="57" t="s">
        <v>192</v>
      </c>
      <c r="C17" s="55" t="s">
        <v>190</v>
      </c>
      <c r="D17" s="57" t="s">
        <v>214</v>
      </c>
      <c r="E17" s="18">
        <v>2013</v>
      </c>
      <c r="F17" s="56"/>
    </row>
    <row r="18" spans="1:6" x14ac:dyDescent="0.25">
      <c r="A18" s="6" t="s">
        <v>195</v>
      </c>
      <c r="B18" s="60" t="s">
        <v>193</v>
      </c>
      <c r="C18" s="58" t="s">
        <v>194</v>
      </c>
      <c r="D18" s="67" t="s">
        <v>196</v>
      </c>
      <c r="E18" s="6">
        <v>2014</v>
      </c>
      <c r="F18" s="14" t="s">
        <v>212</v>
      </c>
    </row>
  </sheetData>
  <hyperlinks>
    <hyperlink ref="F9" r:id="rId1" xr:uid="{00000000-0004-0000-07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"/>
  <sheetViews>
    <sheetView workbookViewId="0">
      <selection activeCell="E4" sqref="E4"/>
    </sheetView>
  </sheetViews>
  <sheetFormatPr baseColWidth="10" defaultRowHeight="15" x14ac:dyDescent="0.25"/>
  <cols>
    <col min="1" max="1" width="26.7109375" customWidth="1"/>
    <col min="2" max="2" width="14.7109375" customWidth="1"/>
    <col min="3" max="3" width="17.42578125" customWidth="1"/>
    <col min="4" max="4" width="19.140625" bestFit="1" customWidth="1"/>
    <col min="7" max="7" width="16.42578125" customWidth="1"/>
    <col min="8" max="8" width="12.5703125" customWidth="1"/>
    <col min="10" max="10" width="19.85546875" customWidth="1"/>
    <col min="11" max="11" width="6.7109375" customWidth="1"/>
    <col min="18" max="18" width="14" customWidth="1"/>
  </cols>
  <sheetData>
    <row r="1" spans="1:18" x14ac:dyDescent="0.25">
      <c r="A1" s="429" t="s">
        <v>294</v>
      </c>
      <c r="B1" s="429"/>
      <c r="C1" s="429"/>
      <c r="D1" s="429"/>
      <c r="E1" s="429"/>
      <c r="F1" s="429"/>
      <c r="G1" s="429"/>
      <c r="H1" s="429"/>
      <c r="I1" s="429"/>
      <c r="J1" s="429"/>
    </row>
    <row r="2" spans="1:18" x14ac:dyDescent="0.25">
      <c r="A2" s="15" t="s">
        <v>53</v>
      </c>
      <c r="B2" s="15" t="s">
        <v>119</v>
      </c>
      <c r="C2" s="63" t="s">
        <v>307</v>
      </c>
      <c r="D2" s="46" t="s">
        <v>306</v>
      </c>
      <c r="E2" s="46" t="s">
        <v>301</v>
      </c>
      <c r="F2" s="46" t="s">
        <v>305</v>
      </c>
      <c r="G2" s="63" t="s">
        <v>304</v>
      </c>
      <c r="H2" s="15" t="s">
        <v>303</v>
      </c>
      <c r="I2" s="15" t="s">
        <v>302</v>
      </c>
      <c r="J2" s="16" t="s">
        <v>105</v>
      </c>
    </row>
    <row r="3" spans="1:18" ht="15.75" thickBot="1" x14ac:dyDescent="0.3">
      <c r="A3" s="17" t="s">
        <v>104</v>
      </c>
      <c r="B3" s="22">
        <f>QUARTILE(B26:B29,0)</f>
        <v>9.48</v>
      </c>
      <c r="C3" s="24">
        <v>9.48</v>
      </c>
      <c r="D3" s="24">
        <v>10.199999999999999</v>
      </c>
      <c r="E3" s="24">
        <f>MEDIAN(B26:B29)</f>
        <v>11.55</v>
      </c>
      <c r="F3" s="24">
        <v>19.8</v>
      </c>
      <c r="G3" s="24">
        <v>27.3</v>
      </c>
      <c r="H3" s="22">
        <f>QUARTILE(B26:B29,4)</f>
        <v>27.29</v>
      </c>
      <c r="I3" s="22">
        <f>AVERAGE(B26:B29)</f>
        <v>14.967499999999999</v>
      </c>
      <c r="J3" s="18">
        <v>4</v>
      </c>
    </row>
    <row r="4" spans="1:18" x14ac:dyDescent="0.25">
      <c r="A4" s="18" t="s">
        <v>1</v>
      </c>
      <c r="B4" s="22">
        <f>QUARTILE(B30:B55,0)</f>
        <v>9.9499999999999993</v>
      </c>
      <c r="C4" s="24">
        <v>10</v>
      </c>
      <c r="D4" s="24">
        <v>29.6</v>
      </c>
      <c r="E4" s="24">
        <f>MEDIAN(B30:B55)</f>
        <v>56.870000000000005</v>
      </c>
      <c r="F4" s="24">
        <v>102.9</v>
      </c>
      <c r="G4" s="24">
        <v>203.6</v>
      </c>
      <c r="H4" s="22">
        <f>QUARTILE(B30:B55,4)</f>
        <v>301.45</v>
      </c>
      <c r="I4" s="22">
        <f>AVERAGE(B30:B55)</f>
        <v>81.326538461538448</v>
      </c>
      <c r="J4" s="18">
        <v>26</v>
      </c>
      <c r="L4" s="430" t="s">
        <v>211</v>
      </c>
      <c r="M4" s="431"/>
      <c r="N4" s="431"/>
      <c r="O4" s="431"/>
      <c r="P4" s="431"/>
      <c r="Q4" s="431"/>
      <c r="R4" s="432"/>
    </row>
    <row r="5" spans="1:18" x14ac:dyDescent="0.25">
      <c r="A5" s="18" t="s">
        <v>0</v>
      </c>
      <c r="B5" s="22">
        <f>QUARTILE(B56:B66,0)</f>
        <v>5.01</v>
      </c>
      <c r="C5" s="24">
        <v>5</v>
      </c>
      <c r="D5" s="24">
        <v>14.8</v>
      </c>
      <c r="E5" s="24">
        <f>MEDIAN(B56:B66)</f>
        <v>17.12</v>
      </c>
      <c r="F5" s="24">
        <v>39.1</v>
      </c>
      <c r="G5" s="24">
        <v>59.47</v>
      </c>
      <c r="H5" s="22">
        <f>QUARTILE(B56:B66,4)</f>
        <v>100.9</v>
      </c>
      <c r="I5" s="22">
        <f>AVERAGE(B56:B66)</f>
        <v>29.787272727272729</v>
      </c>
      <c r="J5" s="18">
        <v>11</v>
      </c>
      <c r="L5" s="433" t="s">
        <v>296</v>
      </c>
      <c r="M5" s="434"/>
      <c r="N5" s="434"/>
      <c r="O5" s="434"/>
      <c r="P5" s="434"/>
      <c r="Q5" s="434"/>
      <c r="R5" s="435"/>
    </row>
    <row r="6" spans="1:18" ht="15.75" thickBot="1" x14ac:dyDescent="0.3">
      <c r="A6" s="18" t="s">
        <v>34</v>
      </c>
      <c r="B6" s="22">
        <f>QUARTILE(B67:B99,0)</f>
        <v>7.92</v>
      </c>
      <c r="C6" s="24">
        <v>7.9</v>
      </c>
      <c r="D6" s="24">
        <v>37.1</v>
      </c>
      <c r="E6" s="24">
        <f>MEDIAN(B67:B99)</f>
        <v>63.48</v>
      </c>
      <c r="F6" s="24">
        <v>109.1</v>
      </c>
      <c r="G6" s="24">
        <v>216.8</v>
      </c>
      <c r="H6" s="22">
        <f>QUARTILE(B67:B99,4)</f>
        <v>691.34</v>
      </c>
      <c r="I6" s="22">
        <f>AVERAGE(B67:B99)</f>
        <v>104.07666666666667</v>
      </c>
      <c r="J6" s="18">
        <v>33</v>
      </c>
      <c r="L6" s="436" t="s">
        <v>297</v>
      </c>
      <c r="M6" s="437"/>
      <c r="N6" s="437"/>
      <c r="O6" s="437"/>
      <c r="P6" s="437"/>
      <c r="Q6" s="437"/>
      <c r="R6" s="438"/>
    </row>
    <row r="7" spans="1:18" x14ac:dyDescent="0.25">
      <c r="A7" s="18" t="s">
        <v>102</v>
      </c>
      <c r="B7" s="22">
        <f>QUARTILE(B100:B107,0)</f>
        <v>4.99</v>
      </c>
      <c r="C7" s="24">
        <v>5</v>
      </c>
      <c r="D7" s="24">
        <v>7.9</v>
      </c>
      <c r="E7" s="24">
        <f>MEDIAN(B100:B107)</f>
        <v>14.91</v>
      </c>
      <c r="F7" s="24">
        <v>31.1</v>
      </c>
      <c r="G7" s="24">
        <v>49.9</v>
      </c>
      <c r="H7" s="22">
        <f>QUARTILE(B100:B107,4)</f>
        <v>49.86</v>
      </c>
      <c r="I7" s="22">
        <f>AVERAGE(B100:B107)</f>
        <v>20.327500000000001</v>
      </c>
      <c r="J7" s="18">
        <v>8</v>
      </c>
    </row>
    <row r="8" spans="1:18" x14ac:dyDescent="0.25">
      <c r="A8" s="18" t="s">
        <v>103</v>
      </c>
      <c r="B8" s="23">
        <f t="shared" ref="B8:D8" si="0">SUM(B3:B7)</f>
        <v>37.35</v>
      </c>
      <c r="C8" s="23">
        <f t="shared" si="0"/>
        <v>37.380000000000003</v>
      </c>
      <c r="D8" s="23">
        <f t="shared" si="0"/>
        <v>99.6</v>
      </c>
      <c r="E8" s="23">
        <f>SUM(E3:E7)</f>
        <v>163.93</v>
      </c>
      <c r="F8" s="23">
        <f t="shared" ref="F8:J8" si="1">SUM(F3:F7)</f>
        <v>302</v>
      </c>
      <c r="G8" s="23">
        <f t="shared" si="1"/>
        <v>557.07000000000005</v>
      </c>
      <c r="H8" s="23">
        <f t="shared" si="1"/>
        <v>1170.8399999999999</v>
      </c>
      <c r="I8" s="23">
        <f t="shared" si="1"/>
        <v>250.48547785547782</v>
      </c>
      <c r="J8" s="19">
        <f t="shared" si="1"/>
        <v>82</v>
      </c>
    </row>
    <row r="10" spans="1:18" x14ac:dyDescent="0.25">
      <c r="A10" s="417" t="s">
        <v>122</v>
      </c>
      <c r="B10" s="418"/>
      <c r="C10" s="418"/>
      <c r="D10" s="418"/>
      <c r="E10" s="418"/>
      <c r="F10" s="419"/>
      <c r="H10" s="417" t="s">
        <v>121</v>
      </c>
      <c r="I10" s="418"/>
      <c r="J10" s="419"/>
    </row>
    <row r="11" spans="1:18" x14ac:dyDescent="0.25">
      <c r="A11" s="42"/>
      <c r="B11" s="36" t="s">
        <v>110</v>
      </c>
      <c r="C11" s="15" t="s">
        <v>109</v>
      </c>
      <c r="D11" s="15" t="s">
        <v>106</v>
      </c>
      <c r="E11" s="36" t="s">
        <v>107</v>
      </c>
      <c r="F11" s="15" t="s">
        <v>108</v>
      </c>
      <c r="H11" s="44" t="s">
        <v>298</v>
      </c>
      <c r="I11" s="44" t="s">
        <v>108</v>
      </c>
      <c r="J11" s="46" t="s">
        <v>301</v>
      </c>
    </row>
    <row r="12" spans="1:18" x14ac:dyDescent="0.25">
      <c r="A12" s="48" t="s">
        <v>298</v>
      </c>
      <c r="B12" s="26">
        <v>12</v>
      </c>
      <c r="C12" s="31">
        <v>118</v>
      </c>
      <c r="D12" s="31">
        <v>193</v>
      </c>
      <c r="E12" s="26">
        <v>323</v>
      </c>
      <c r="F12" s="34" t="s">
        <v>62</v>
      </c>
      <c r="H12" s="53">
        <v>1</v>
      </c>
      <c r="I12" s="18" t="s">
        <v>62</v>
      </c>
      <c r="J12" s="426">
        <v>1</v>
      </c>
    </row>
    <row r="13" spans="1:18" x14ac:dyDescent="0.25">
      <c r="A13" s="49" t="s">
        <v>299</v>
      </c>
      <c r="B13" s="27">
        <v>3.7199999999999997E-2</v>
      </c>
      <c r="C13" s="32">
        <v>0.36530000000000001</v>
      </c>
      <c r="D13" s="32">
        <v>0.59750000000000003</v>
      </c>
      <c r="E13" s="28">
        <v>1</v>
      </c>
      <c r="F13" s="34"/>
      <c r="H13" s="53">
        <v>1</v>
      </c>
      <c r="I13" s="18" t="s">
        <v>62</v>
      </c>
      <c r="J13" s="427"/>
    </row>
    <row r="14" spans="1:18" x14ac:dyDescent="0.25">
      <c r="A14" s="48" t="s">
        <v>298</v>
      </c>
      <c r="B14" s="37">
        <v>8</v>
      </c>
      <c r="C14" s="38">
        <v>25</v>
      </c>
      <c r="D14" s="38">
        <v>55</v>
      </c>
      <c r="E14" s="39">
        <v>88</v>
      </c>
      <c r="F14" s="21" t="s">
        <v>62</v>
      </c>
      <c r="H14" s="53">
        <v>4</v>
      </c>
      <c r="I14" s="18" t="s">
        <v>62</v>
      </c>
      <c r="J14" s="427"/>
    </row>
    <row r="15" spans="1:18" x14ac:dyDescent="0.25">
      <c r="A15" s="49" t="s">
        <v>299</v>
      </c>
      <c r="B15" s="40">
        <v>9.0899999999999995E-2</v>
      </c>
      <c r="C15" s="33">
        <v>0.28410000000000002</v>
      </c>
      <c r="D15" s="33">
        <v>0.625</v>
      </c>
      <c r="E15" s="41">
        <v>1</v>
      </c>
      <c r="F15" s="25"/>
      <c r="H15" s="53">
        <v>1</v>
      </c>
      <c r="I15" s="18" t="s">
        <v>68</v>
      </c>
      <c r="J15" s="427"/>
    </row>
    <row r="16" spans="1:18" x14ac:dyDescent="0.25">
      <c r="A16" s="50" t="s">
        <v>298</v>
      </c>
      <c r="B16" s="37">
        <v>17</v>
      </c>
      <c r="C16" s="38">
        <v>33</v>
      </c>
      <c r="D16" s="38">
        <v>43</v>
      </c>
      <c r="E16" s="39">
        <v>93</v>
      </c>
      <c r="F16" s="21" t="s">
        <v>68</v>
      </c>
      <c r="H16" s="53">
        <v>1</v>
      </c>
      <c r="I16" s="18" t="s">
        <v>68</v>
      </c>
      <c r="J16" s="427"/>
    </row>
    <row r="17" spans="1:10" x14ac:dyDescent="0.25">
      <c r="A17" s="50" t="s">
        <v>299</v>
      </c>
      <c r="B17" s="40">
        <v>0.18279999999999999</v>
      </c>
      <c r="C17" s="33">
        <v>0.3548</v>
      </c>
      <c r="D17" s="33">
        <v>0.46239999999999998</v>
      </c>
      <c r="E17" s="41">
        <v>1</v>
      </c>
      <c r="F17" s="25"/>
      <c r="H17" s="53">
        <v>1</v>
      </c>
      <c r="I17" s="18" t="s">
        <v>68</v>
      </c>
      <c r="J17" s="428"/>
    </row>
    <row r="18" spans="1:10" x14ac:dyDescent="0.25">
      <c r="A18" s="48" t="s">
        <v>298</v>
      </c>
      <c r="B18" s="37">
        <v>43</v>
      </c>
      <c r="C18" s="38">
        <v>60</v>
      </c>
      <c r="D18" s="38">
        <v>210</v>
      </c>
      <c r="E18" s="39">
        <v>313</v>
      </c>
      <c r="F18" s="21" t="s">
        <v>68</v>
      </c>
    </row>
    <row r="19" spans="1:10" x14ac:dyDescent="0.25">
      <c r="A19" s="49" t="s">
        <v>299</v>
      </c>
      <c r="B19" s="40">
        <v>0.13739999999999999</v>
      </c>
      <c r="C19" s="33">
        <v>0.19170000000000001</v>
      </c>
      <c r="D19" s="33">
        <v>0.67090000000000005</v>
      </c>
      <c r="E19" s="41">
        <v>1</v>
      </c>
      <c r="F19" s="35"/>
    </row>
    <row r="20" spans="1:10" x14ac:dyDescent="0.25">
      <c r="A20" s="48" t="s">
        <v>298</v>
      </c>
      <c r="B20" s="37">
        <v>32</v>
      </c>
      <c r="C20" s="38">
        <v>100</v>
      </c>
      <c r="D20" s="38">
        <v>561</v>
      </c>
      <c r="E20" s="39">
        <v>693</v>
      </c>
      <c r="F20" s="21" t="s">
        <v>68</v>
      </c>
    </row>
    <row r="21" spans="1:10" x14ac:dyDescent="0.25">
      <c r="A21" s="49" t="s">
        <v>299</v>
      </c>
      <c r="B21" s="40">
        <v>4.6199999999999998E-2</v>
      </c>
      <c r="C21" s="33">
        <v>0.14430000000000001</v>
      </c>
      <c r="D21" s="33">
        <v>0.8095</v>
      </c>
      <c r="E21" s="41">
        <v>1</v>
      </c>
      <c r="F21" s="35"/>
    </row>
    <row r="22" spans="1:10" x14ac:dyDescent="0.25">
      <c r="A22" s="43" t="s">
        <v>300</v>
      </c>
      <c r="B22" s="29">
        <v>0.09</v>
      </c>
      <c r="C22" s="29">
        <v>0.28000000000000003</v>
      </c>
      <c r="D22" s="29">
        <v>0.63</v>
      </c>
      <c r="E22" s="29">
        <v>1</v>
      </c>
      <c r="F22" s="30"/>
    </row>
    <row r="24" spans="1:10" x14ac:dyDescent="0.25">
      <c r="A24" s="429" t="s">
        <v>120</v>
      </c>
      <c r="B24" s="429"/>
    </row>
    <row r="25" spans="1:10" x14ac:dyDescent="0.25">
      <c r="A25" s="15" t="s">
        <v>53</v>
      </c>
      <c r="B25" s="15" t="s">
        <v>295</v>
      </c>
    </row>
    <row r="26" spans="1:10" x14ac:dyDescent="0.25">
      <c r="A26" s="47" t="s">
        <v>54</v>
      </c>
      <c r="B26" s="47">
        <v>9.48</v>
      </c>
    </row>
    <row r="27" spans="1:10" x14ac:dyDescent="0.25">
      <c r="A27" s="47" t="s">
        <v>54</v>
      </c>
      <c r="B27" s="47">
        <v>10.86</v>
      </c>
    </row>
    <row r="28" spans="1:10" x14ac:dyDescent="0.25">
      <c r="A28" s="47" t="s">
        <v>54</v>
      </c>
      <c r="B28" s="47">
        <v>12.24</v>
      </c>
    </row>
    <row r="29" spans="1:10" x14ac:dyDescent="0.25">
      <c r="A29" s="47" t="s">
        <v>54</v>
      </c>
      <c r="B29" s="47">
        <v>27.29</v>
      </c>
    </row>
    <row r="30" spans="1:10" x14ac:dyDescent="0.25">
      <c r="A30" s="47" t="s">
        <v>1</v>
      </c>
      <c r="B30" s="47">
        <v>9.9499999999999993</v>
      </c>
    </row>
    <row r="31" spans="1:10" x14ac:dyDescent="0.25">
      <c r="A31" s="47" t="s">
        <v>1</v>
      </c>
      <c r="B31" s="47">
        <v>14.98</v>
      </c>
    </row>
    <row r="32" spans="1:10" x14ac:dyDescent="0.25">
      <c r="A32" s="47" t="s">
        <v>1</v>
      </c>
      <c r="B32" s="47">
        <v>16.88</v>
      </c>
    </row>
    <row r="33" spans="1:2" x14ac:dyDescent="0.25">
      <c r="A33" s="47" t="s">
        <v>1</v>
      </c>
      <c r="B33" s="47">
        <v>20.02</v>
      </c>
    </row>
    <row r="34" spans="1:2" x14ac:dyDescent="0.25">
      <c r="A34" s="47" t="s">
        <v>1</v>
      </c>
      <c r="B34" s="47">
        <v>27.68</v>
      </c>
    </row>
    <row r="35" spans="1:2" x14ac:dyDescent="0.25">
      <c r="A35" s="47" t="s">
        <v>1</v>
      </c>
      <c r="B35" s="47">
        <v>28.16</v>
      </c>
    </row>
    <row r="36" spans="1:2" x14ac:dyDescent="0.25">
      <c r="A36" s="47" t="s">
        <v>1</v>
      </c>
      <c r="B36" s="47">
        <v>29.63</v>
      </c>
    </row>
    <row r="37" spans="1:2" x14ac:dyDescent="0.25">
      <c r="A37" s="47" t="s">
        <v>1</v>
      </c>
      <c r="B37" s="47">
        <v>30.66</v>
      </c>
    </row>
    <row r="38" spans="1:2" x14ac:dyDescent="0.25">
      <c r="A38" s="47" t="s">
        <v>1</v>
      </c>
      <c r="B38" s="47">
        <v>32.270000000000003</v>
      </c>
    </row>
    <row r="39" spans="1:2" x14ac:dyDescent="0.25">
      <c r="A39" s="47" t="s">
        <v>1</v>
      </c>
      <c r="B39" s="47">
        <v>40.28</v>
      </c>
    </row>
    <row r="40" spans="1:2" x14ac:dyDescent="0.25">
      <c r="A40" s="47" t="s">
        <v>1</v>
      </c>
      <c r="B40" s="47">
        <v>48.6</v>
      </c>
    </row>
    <row r="41" spans="1:2" x14ac:dyDescent="0.25">
      <c r="A41" s="47" t="s">
        <v>1</v>
      </c>
      <c r="B41" s="47">
        <v>49.43</v>
      </c>
    </row>
    <row r="42" spans="1:2" x14ac:dyDescent="0.25">
      <c r="A42" s="47" t="s">
        <v>1</v>
      </c>
      <c r="B42" s="47">
        <v>52.03</v>
      </c>
    </row>
    <row r="43" spans="1:2" x14ac:dyDescent="0.25">
      <c r="A43" s="47" t="s">
        <v>1</v>
      </c>
      <c r="B43" s="47">
        <v>61.71</v>
      </c>
    </row>
    <row r="44" spans="1:2" x14ac:dyDescent="0.25">
      <c r="A44" s="47" t="s">
        <v>1</v>
      </c>
      <c r="B44" s="47">
        <v>69.53</v>
      </c>
    </row>
    <row r="45" spans="1:2" x14ac:dyDescent="0.25">
      <c r="A45" s="47" t="s">
        <v>1</v>
      </c>
      <c r="B45" s="47">
        <v>71.94</v>
      </c>
    </row>
    <row r="46" spans="1:2" x14ac:dyDescent="0.25">
      <c r="A46" s="47" t="s">
        <v>1</v>
      </c>
      <c r="B46" s="47">
        <v>75.72</v>
      </c>
    </row>
    <row r="47" spans="1:2" x14ac:dyDescent="0.25">
      <c r="A47" s="47" t="s">
        <v>1</v>
      </c>
      <c r="B47" s="47">
        <v>96.14</v>
      </c>
    </row>
    <row r="48" spans="1:2" x14ac:dyDescent="0.25">
      <c r="A48" s="47" t="s">
        <v>1</v>
      </c>
      <c r="B48" s="47">
        <v>99.48</v>
      </c>
    </row>
    <row r="49" spans="1:2" x14ac:dyDescent="0.25">
      <c r="A49" s="47" t="s">
        <v>1</v>
      </c>
      <c r="B49" s="47">
        <v>102.93</v>
      </c>
    </row>
    <row r="50" spans="1:2" x14ac:dyDescent="0.25">
      <c r="A50" s="47" t="s">
        <v>1</v>
      </c>
      <c r="B50" s="47">
        <v>120.01</v>
      </c>
    </row>
    <row r="51" spans="1:2" x14ac:dyDescent="0.25">
      <c r="A51" s="47" t="s">
        <v>1</v>
      </c>
      <c r="B51" s="47">
        <v>152.38</v>
      </c>
    </row>
    <row r="52" spans="1:2" x14ac:dyDescent="0.25">
      <c r="A52" s="47" t="s">
        <v>1</v>
      </c>
      <c r="B52" s="47">
        <v>168.8</v>
      </c>
    </row>
    <row r="53" spans="1:2" x14ac:dyDescent="0.25">
      <c r="A53" s="47" t="s">
        <v>1</v>
      </c>
      <c r="B53" s="47">
        <v>190.2</v>
      </c>
    </row>
    <row r="54" spans="1:2" x14ac:dyDescent="0.25">
      <c r="A54" s="47" t="s">
        <v>1</v>
      </c>
      <c r="B54" s="47">
        <v>203.63</v>
      </c>
    </row>
    <row r="55" spans="1:2" x14ac:dyDescent="0.25">
      <c r="A55" s="47" t="s">
        <v>1</v>
      </c>
      <c r="B55" s="47">
        <v>301.45</v>
      </c>
    </row>
    <row r="56" spans="1:2" x14ac:dyDescent="0.25">
      <c r="A56" s="47" t="s">
        <v>0</v>
      </c>
      <c r="B56" s="47">
        <v>5.01</v>
      </c>
    </row>
    <row r="57" spans="1:2" x14ac:dyDescent="0.25">
      <c r="A57" s="47" t="s">
        <v>0</v>
      </c>
      <c r="B57" s="47">
        <v>7.05</v>
      </c>
    </row>
    <row r="58" spans="1:2" x14ac:dyDescent="0.25">
      <c r="A58" s="47" t="s">
        <v>0</v>
      </c>
      <c r="B58" s="47">
        <v>14.44</v>
      </c>
    </row>
    <row r="59" spans="1:2" x14ac:dyDescent="0.25">
      <c r="A59" s="47" t="s">
        <v>0</v>
      </c>
      <c r="B59" s="47">
        <v>15.72</v>
      </c>
    </row>
    <row r="60" spans="1:2" x14ac:dyDescent="0.25">
      <c r="A60" s="47" t="s">
        <v>0</v>
      </c>
      <c r="B60" s="47">
        <v>16.829999999999998</v>
      </c>
    </row>
    <row r="61" spans="1:2" x14ac:dyDescent="0.25">
      <c r="A61" s="47" t="s">
        <v>0</v>
      </c>
      <c r="B61" s="47">
        <v>17.12</v>
      </c>
    </row>
    <row r="62" spans="1:2" x14ac:dyDescent="0.25">
      <c r="A62" s="47" t="s">
        <v>0</v>
      </c>
      <c r="B62" s="47">
        <v>19.29</v>
      </c>
    </row>
    <row r="63" spans="1:2" x14ac:dyDescent="0.25">
      <c r="A63" s="47" t="s">
        <v>0</v>
      </c>
      <c r="B63" s="47">
        <v>29.55</v>
      </c>
    </row>
    <row r="64" spans="1:2" x14ac:dyDescent="0.25">
      <c r="A64" s="47" t="s">
        <v>0</v>
      </c>
      <c r="B64" s="47">
        <v>42.28</v>
      </c>
    </row>
    <row r="65" spans="1:2" x14ac:dyDescent="0.25">
      <c r="A65" s="47" t="s">
        <v>0</v>
      </c>
      <c r="B65" s="47">
        <v>59.47</v>
      </c>
    </row>
    <row r="66" spans="1:2" x14ac:dyDescent="0.25">
      <c r="A66" s="47" t="s">
        <v>0</v>
      </c>
      <c r="B66" s="47">
        <v>100.9</v>
      </c>
    </row>
    <row r="67" spans="1:2" x14ac:dyDescent="0.25">
      <c r="A67" s="47" t="s">
        <v>34</v>
      </c>
      <c r="B67" s="47">
        <v>7.92</v>
      </c>
    </row>
    <row r="68" spans="1:2" x14ac:dyDescent="0.25">
      <c r="A68" s="47" t="s">
        <v>34</v>
      </c>
      <c r="B68" s="47">
        <v>9.89</v>
      </c>
    </row>
    <row r="69" spans="1:2" x14ac:dyDescent="0.25">
      <c r="A69" s="47" t="s">
        <v>34</v>
      </c>
      <c r="B69" s="47">
        <v>15.95</v>
      </c>
    </row>
    <row r="70" spans="1:2" x14ac:dyDescent="0.25">
      <c r="A70" s="47" t="s">
        <v>34</v>
      </c>
      <c r="B70" s="47">
        <v>22.05</v>
      </c>
    </row>
    <row r="71" spans="1:2" x14ac:dyDescent="0.25">
      <c r="A71" s="47" t="s">
        <v>34</v>
      </c>
      <c r="B71" s="47">
        <v>26.15</v>
      </c>
    </row>
    <row r="72" spans="1:2" x14ac:dyDescent="0.25">
      <c r="A72" s="47" t="s">
        <v>34</v>
      </c>
      <c r="B72" s="47">
        <v>28</v>
      </c>
    </row>
    <row r="73" spans="1:2" x14ac:dyDescent="0.25">
      <c r="A73" s="47" t="s">
        <v>34</v>
      </c>
      <c r="B73" s="47">
        <v>33.770000000000003</v>
      </c>
    </row>
    <row r="74" spans="1:2" x14ac:dyDescent="0.25">
      <c r="A74" s="47" t="s">
        <v>34</v>
      </c>
      <c r="B74" s="47">
        <v>36.159999999999997</v>
      </c>
    </row>
    <row r="75" spans="1:2" x14ac:dyDescent="0.25">
      <c r="A75" s="47" t="s">
        <v>34</v>
      </c>
      <c r="B75" s="47">
        <v>37.409999999999997</v>
      </c>
    </row>
    <row r="76" spans="1:2" x14ac:dyDescent="0.25">
      <c r="A76" s="47" t="s">
        <v>34</v>
      </c>
      <c r="B76" s="47">
        <v>38.06</v>
      </c>
    </row>
    <row r="77" spans="1:2" x14ac:dyDescent="0.25">
      <c r="A77" s="47" t="s">
        <v>34</v>
      </c>
      <c r="B77" s="47">
        <v>40.049999999999997</v>
      </c>
    </row>
    <row r="78" spans="1:2" x14ac:dyDescent="0.25">
      <c r="A78" s="47" t="s">
        <v>34</v>
      </c>
      <c r="B78" s="47">
        <v>42.88</v>
      </c>
    </row>
    <row r="79" spans="1:2" x14ac:dyDescent="0.25">
      <c r="A79" s="47" t="s">
        <v>34</v>
      </c>
      <c r="B79" s="47">
        <v>43.62</v>
      </c>
    </row>
    <row r="80" spans="1:2" x14ac:dyDescent="0.25">
      <c r="A80" s="47" t="s">
        <v>34</v>
      </c>
      <c r="B80" s="47">
        <v>48.32</v>
      </c>
    </row>
    <row r="81" spans="1:2" x14ac:dyDescent="0.25">
      <c r="A81" s="47" t="s">
        <v>34</v>
      </c>
      <c r="B81" s="47">
        <v>59.3</v>
      </c>
    </row>
    <row r="82" spans="1:2" x14ac:dyDescent="0.25">
      <c r="A82" s="47" t="s">
        <v>34</v>
      </c>
      <c r="B82" s="47">
        <v>60.32</v>
      </c>
    </row>
    <row r="83" spans="1:2" x14ac:dyDescent="0.25">
      <c r="A83" s="47" t="s">
        <v>34</v>
      </c>
      <c r="B83" s="47">
        <v>63.48</v>
      </c>
    </row>
    <row r="84" spans="1:2" x14ac:dyDescent="0.25">
      <c r="A84" s="47" t="s">
        <v>34</v>
      </c>
      <c r="B84" s="47">
        <v>70.319999999999993</v>
      </c>
    </row>
    <row r="85" spans="1:2" x14ac:dyDescent="0.25">
      <c r="A85" s="47" t="s">
        <v>34</v>
      </c>
      <c r="B85" s="47">
        <v>75.290000000000006</v>
      </c>
    </row>
    <row r="86" spans="1:2" x14ac:dyDescent="0.25">
      <c r="A86" s="47" t="s">
        <v>34</v>
      </c>
      <c r="B86" s="47">
        <v>79.239999999999995</v>
      </c>
    </row>
    <row r="87" spans="1:2" x14ac:dyDescent="0.25">
      <c r="A87" s="47" t="s">
        <v>34</v>
      </c>
      <c r="B87" s="47">
        <v>80.599999999999994</v>
      </c>
    </row>
    <row r="88" spans="1:2" x14ac:dyDescent="0.25">
      <c r="A88" s="47" t="s">
        <v>34</v>
      </c>
      <c r="B88" s="47">
        <v>93.98</v>
      </c>
    </row>
    <row r="89" spans="1:2" x14ac:dyDescent="0.25">
      <c r="A89" s="47" t="s">
        <v>34</v>
      </c>
      <c r="B89" s="47">
        <v>97.24</v>
      </c>
    </row>
    <row r="90" spans="1:2" x14ac:dyDescent="0.25">
      <c r="A90" s="47" t="s">
        <v>34</v>
      </c>
      <c r="B90" s="47">
        <v>100.61</v>
      </c>
    </row>
    <row r="91" spans="1:2" x14ac:dyDescent="0.25">
      <c r="A91" s="47" t="s">
        <v>34</v>
      </c>
      <c r="B91" s="47">
        <v>107.72</v>
      </c>
    </row>
    <row r="92" spans="1:2" x14ac:dyDescent="0.25">
      <c r="A92" s="47" t="s">
        <v>34</v>
      </c>
      <c r="B92" s="47">
        <v>113.37</v>
      </c>
    </row>
    <row r="93" spans="1:2" x14ac:dyDescent="0.25">
      <c r="A93" s="47" t="s">
        <v>34</v>
      </c>
      <c r="B93" s="47">
        <v>119.32</v>
      </c>
    </row>
    <row r="94" spans="1:2" x14ac:dyDescent="0.25">
      <c r="A94" s="47" t="s">
        <v>34</v>
      </c>
      <c r="B94" s="47">
        <v>132.18</v>
      </c>
    </row>
    <row r="95" spans="1:2" x14ac:dyDescent="0.25">
      <c r="A95" s="47" t="s">
        <v>34</v>
      </c>
      <c r="B95" s="47">
        <v>199.04</v>
      </c>
    </row>
    <row r="96" spans="1:2" x14ac:dyDescent="0.25">
      <c r="A96" s="47" t="s">
        <v>34</v>
      </c>
      <c r="B96" s="47">
        <v>216.76</v>
      </c>
    </row>
    <row r="97" spans="1:2" x14ac:dyDescent="0.25">
      <c r="A97" s="47" t="s">
        <v>34</v>
      </c>
      <c r="B97" s="47">
        <v>257.08</v>
      </c>
    </row>
    <row r="98" spans="1:2" x14ac:dyDescent="0.25">
      <c r="A98" s="47" t="s">
        <v>34</v>
      </c>
      <c r="B98" s="47">
        <v>387.11</v>
      </c>
    </row>
    <row r="99" spans="1:2" x14ac:dyDescent="0.25">
      <c r="A99" s="47" t="s">
        <v>34</v>
      </c>
      <c r="B99" s="47">
        <v>691.34</v>
      </c>
    </row>
    <row r="100" spans="1:2" x14ac:dyDescent="0.25">
      <c r="A100" s="47" t="s">
        <v>2</v>
      </c>
      <c r="B100" s="47">
        <v>4.99</v>
      </c>
    </row>
    <row r="101" spans="1:2" x14ac:dyDescent="0.25">
      <c r="A101" s="47" t="s">
        <v>2</v>
      </c>
      <c r="B101" s="47">
        <v>5.91</v>
      </c>
    </row>
    <row r="102" spans="1:2" x14ac:dyDescent="0.25">
      <c r="A102" s="47" t="s">
        <v>2</v>
      </c>
      <c r="B102" s="47">
        <v>9.86</v>
      </c>
    </row>
    <row r="103" spans="1:2" x14ac:dyDescent="0.25">
      <c r="A103" s="47" t="s">
        <v>2</v>
      </c>
      <c r="B103" s="47">
        <v>11.9</v>
      </c>
    </row>
    <row r="104" spans="1:2" x14ac:dyDescent="0.25">
      <c r="A104" s="47" t="s">
        <v>2</v>
      </c>
      <c r="B104" s="47">
        <v>17.920000000000002</v>
      </c>
    </row>
    <row r="105" spans="1:2" x14ac:dyDescent="0.25">
      <c r="A105" s="47" t="s">
        <v>2</v>
      </c>
      <c r="B105" s="47">
        <v>27.92</v>
      </c>
    </row>
    <row r="106" spans="1:2" x14ac:dyDescent="0.25">
      <c r="A106" s="47" t="s">
        <v>2</v>
      </c>
      <c r="B106" s="47">
        <v>34.26</v>
      </c>
    </row>
    <row r="107" spans="1:2" x14ac:dyDescent="0.25">
      <c r="A107" s="47" t="s">
        <v>2</v>
      </c>
      <c r="B107" s="47">
        <v>49.86</v>
      </c>
    </row>
  </sheetData>
  <mergeCells count="8">
    <mergeCell ref="J12:J17"/>
    <mergeCell ref="A1:J1"/>
    <mergeCell ref="A24:B24"/>
    <mergeCell ref="L4:R4"/>
    <mergeCell ref="L5:R5"/>
    <mergeCell ref="L6:R6"/>
    <mergeCell ref="A10:F10"/>
    <mergeCell ref="H10:J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opLeftCell="A6" workbookViewId="0">
      <selection activeCell="E13" sqref="E13"/>
    </sheetView>
  </sheetViews>
  <sheetFormatPr baseColWidth="10" defaultRowHeight="15" x14ac:dyDescent="0.25"/>
  <cols>
    <col min="1" max="1" width="26.85546875" customWidth="1"/>
    <col min="2" max="2" width="34.5703125" customWidth="1"/>
    <col min="3" max="3" width="24.28515625" customWidth="1"/>
    <col min="4" max="4" width="12.7109375" customWidth="1"/>
    <col min="5" max="5" width="33" customWidth="1"/>
    <col min="6" max="6" width="27.42578125" customWidth="1"/>
    <col min="7" max="7" width="26.85546875" customWidth="1"/>
    <col min="8" max="8" width="12.28515625" customWidth="1"/>
    <col min="10" max="10" width="14.85546875" customWidth="1"/>
  </cols>
  <sheetData>
    <row r="1" spans="1:8" ht="15.75" thickBot="1" x14ac:dyDescent="0.3">
      <c r="A1" s="417" t="s">
        <v>420</v>
      </c>
      <c r="B1" s="418"/>
      <c r="C1" s="419"/>
    </row>
    <row r="2" spans="1:8" x14ac:dyDescent="0.25">
      <c r="A2" s="64" t="s">
        <v>281</v>
      </c>
      <c r="B2" s="64" t="s">
        <v>459</v>
      </c>
      <c r="C2" s="64" t="s">
        <v>280</v>
      </c>
      <c r="E2" s="448" t="s">
        <v>454</v>
      </c>
      <c r="F2" s="449"/>
      <c r="G2" s="450"/>
    </row>
    <row r="3" spans="1:8" ht="15.75" thickBot="1" x14ac:dyDescent="0.3">
      <c r="A3" s="87">
        <v>0.4</v>
      </c>
      <c r="B3" s="87">
        <v>0.46</v>
      </c>
      <c r="C3" s="87">
        <v>0.49</v>
      </c>
      <c r="E3" s="451" t="s">
        <v>455</v>
      </c>
      <c r="F3" s="452"/>
      <c r="G3" s="453"/>
    </row>
    <row r="4" spans="1:8" x14ac:dyDescent="0.25">
      <c r="A4" s="87" t="s">
        <v>457</v>
      </c>
      <c r="B4" s="87" t="s">
        <v>279</v>
      </c>
      <c r="C4" s="87" t="s">
        <v>458</v>
      </c>
      <c r="E4" s="137"/>
      <c r="F4" s="137"/>
      <c r="G4" s="137"/>
    </row>
    <row r="5" spans="1:8" x14ac:dyDescent="0.25">
      <c r="A5" s="87">
        <v>0.39</v>
      </c>
      <c r="B5" s="87">
        <v>0.49</v>
      </c>
      <c r="C5" s="87">
        <v>0.53</v>
      </c>
      <c r="E5" s="137"/>
      <c r="F5" s="137"/>
      <c r="G5" s="137"/>
    </row>
    <row r="6" spans="1:8" s="132" customFormat="1" x14ac:dyDescent="0.25">
      <c r="A6" s="136"/>
      <c r="B6" s="136"/>
      <c r="C6" s="136"/>
    </row>
    <row r="8" spans="1:8" x14ac:dyDescent="0.25">
      <c r="A8" s="444" t="s">
        <v>450</v>
      </c>
      <c r="B8" s="445"/>
      <c r="C8" s="446"/>
      <c r="E8" s="425" t="s">
        <v>451</v>
      </c>
      <c r="F8" s="425"/>
      <c r="G8" s="425"/>
    </row>
    <row r="9" spans="1:8" x14ac:dyDescent="0.25">
      <c r="A9" s="442" t="s">
        <v>341</v>
      </c>
      <c r="B9" s="443"/>
      <c r="C9" s="118"/>
      <c r="E9" s="119" t="s">
        <v>251</v>
      </c>
      <c r="F9" s="119">
        <v>1</v>
      </c>
      <c r="G9" s="119">
        <v>2</v>
      </c>
    </row>
    <row r="10" spans="1:8" x14ac:dyDescent="0.25">
      <c r="A10" s="123" t="s">
        <v>433</v>
      </c>
      <c r="B10" s="123">
        <v>0.01</v>
      </c>
      <c r="C10" s="118"/>
      <c r="E10" s="447" t="s">
        <v>341</v>
      </c>
      <c r="F10" s="447"/>
      <c r="G10" s="447"/>
    </row>
    <row r="11" spans="1:8" x14ac:dyDescent="0.25">
      <c r="A11" s="123" t="s">
        <v>434</v>
      </c>
      <c r="B11" s="123">
        <v>2.5000000000000001E-2</v>
      </c>
      <c r="C11" s="118"/>
      <c r="E11" s="122" t="s">
        <v>445</v>
      </c>
      <c r="F11" s="122">
        <v>601</v>
      </c>
      <c r="G11" s="122">
        <v>601</v>
      </c>
    </row>
    <row r="12" spans="1:8" x14ac:dyDescent="0.25">
      <c r="A12" s="123" t="s">
        <v>430</v>
      </c>
      <c r="B12" s="123">
        <v>6.7999999999999996E-3</v>
      </c>
      <c r="C12" s="118"/>
      <c r="E12" s="122" t="s">
        <v>448</v>
      </c>
      <c r="F12" s="122">
        <v>32</v>
      </c>
      <c r="G12" s="122">
        <v>42</v>
      </c>
    </row>
    <row r="13" spans="1:8" x14ac:dyDescent="0.25">
      <c r="A13" s="123" t="s">
        <v>431</v>
      </c>
      <c r="B13" s="123">
        <v>2E-3</v>
      </c>
      <c r="C13" s="118"/>
      <c r="E13" s="122" t="s">
        <v>446</v>
      </c>
      <c r="F13" s="122">
        <v>169</v>
      </c>
      <c r="G13" s="122">
        <v>169</v>
      </c>
    </row>
    <row r="14" spans="1:8" ht="15" customHeight="1" x14ac:dyDescent="0.25">
      <c r="A14" s="440" t="s">
        <v>432</v>
      </c>
      <c r="B14" s="441"/>
      <c r="C14" s="118" t="s">
        <v>316</v>
      </c>
      <c r="E14" s="122" t="s">
        <v>447</v>
      </c>
      <c r="F14" s="122">
        <v>109</v>
      </c>
      <c r="G14" s="122">
        <v>109</v>
      </c>
    </row>
    <row r="15" spans="1:8" x14ac:dyDescent="0.25">
      <c r="A15" s="122" t="s">
        <v>268</v>
      </c>
      <c r="B15" s="118">
        <v>1</v>
      </c>
      <c r="C15" s="118"/>
      <c r="E15" s="122" t="s">
        <v>449</v>
      </c>
      <c r="F15" s="122">
        <v>34</v>
      </c>
      <c r="G15" s="122">
        <v>24</v>
      </c>
      <c r="H15" s="111"/>
    </row>
    <row r="16" spans="1:8" x14ac:dyDescent="0.25">
      <c r="A16" s="122" t="s">
        <v>435</v>
      </c>
      <c r="B16" s="81">
        <f>B10*3600/1000*B15</f>
        <v>3.5999999999999997E-2</v>
      </c>
      <c r="C16" s="118"/>
      <c r="E16" s="447" t="s">
        <v>314</v>
      </c>
      <c r="F16" s="447"/>
      <c r="G16" s="447"/>
    </row>
    <row r="17" spans="1:7" x14ac:dyDescent="0.25">
      <c r="A17" s="122" t="s">
        <v>436</v>
      </c>
      <c r="B17" s="81">
        <f>B11*3600/1000*B15</f>
        <v>0.09</v>
      </c>
      <c r="C17" s="118"/>
      <c r="E17" s="122" t="s">
        <v>315</v>
      </c>
      <c r="F17" s="82">
        <f>SUM(F13:F15)/SUM(F11:F12)</f>
        <v>0.49289099526066349</v>
      </c>
      <c r="G17" s="82">
        <f>SUM(G13:G15)/SUM(G11:G12)</f>
        <v>0.46967340590979784</v>
      </c>
    </row>
    <row r="18" spans="1:7" x14ac:dyDescent="0.25">
      <c r="A18" s="122" t="s">
        <v>273</v>
      </c>
      <c r="B18" s="118">
        <f>C18*1000*B12*B15/1000</f>
        <v>0.29620799999999997</v>
      </c>
      <c r="C18" s="118">
        <v>43.56</v>
      </c>
      <c r="E18" s="122" t="s">
        <v>437</v>
      </c>
      <c r="F18" s="82">
        <f>(F14+F13)/F11</f>
        <v>0.46256239600665555</v>
      </c>
      <c r="G18" s="82">
        <f>(G14+G13)/G11</f>
        <v>0.46256239600665555</v>
      </c>
    </row>
    <row r="19" spans="1:7" ht="15" customHeight="1" x14ac:dyDescent="0.25">
      <c r="A19" s="122" t="s">
        <v>401</v>
      </c>
      <c r="B19" s="118">
        <f>C19*1000*B13*B15/1000</f>
        <v>8.8800000000000004E-2</v>
      </c>
      <c r="C19" s="118">
        <v>44.4</v>
      </c>
    </row>
    <row r="20" spans="1:7" x14ac:dyDescent="0.25">
      <c r="A20" s="447" t="s">
        <v>314</v>
      </c>
      <c r="B20" s="447"/>
      <c r="C20" s="118"/>
      <c r="E20" s="444" t="s">
        <v>428</v>
      </c>
      <c r="F20" s="445"/>
      <c r="G20" s="446"/>
    </row>
    <row r="21" spans="1:7" ht="30" x14ac:dyDescent="0.25">
      <c r="A21" s="122" t="s">
        <v>315</v>
      </c>
      <c r="B21" s="86">
        <f>SUM(B17:B19)/SUM(B15:B16)</f>
        <v>0.4585019305019305</v>
      </c>
      <c r="C21" s="118"/>
      <c r="E21" s="110" t="s">
        <v>251</v>
      </c>
      <c r="F21" s="110" t="s">
        <v>429</v>
      </c>
      <c r="G21" s="110" t="s">
        <v>427</v>
      </c>
    </row>
    <row r="22" spans="1:7" x14ac:dyDescent="0.25">
      <c r="A22" s="122" t="s">
        <v>437</v>
      </c>
      <c r="B22" s="86">
        <f>(B18+B19)/B15</f>
        <v>0.38500799999999996</v>
      </c>
      <c r="C22" s="118"/>
      <c r="E22" s="118" t="s">
        <v>426</v>
      </c>
      <c r="F22" s="133">
        <v>1.96</v>
      </c>
      <c r="G22" s="86">
        <f>1/F22</f>
        <v>0.51020408163265307</v>
      </c>
    </row>
    <row r="23" spans="1:7" x14ac:dyDescent="0.25">
      <c r="C23" s="1"/>
      <c r="E23" s="118" t="s">
        <v>425</v>
      </c>
      <c r="F23" s="133">
        <v>2.16</v>
      </c>
      <c r="G23" s="86">
        <f>1/F23</f>
        <v>0.46296296296296291</v>
      </c>
    </row>
    <row r="24" spans="1:7" x14ac:dyDescent="0.25">
      <c r="A24" s="74"/>
      <c r="B24" s="131"/>
      <c r="C24" s="131"/>
    </row>
    <row r="25" spans="1:7" x14ac:dyDescent="0.25">
      <c r="A25" s="439" t="s">
        <v>452</v>
      </c>
      <c r="B25" s="439"/>
      <c r="C25" s="439"/>
      <c r="D25" s="439"/>
      <c r="E25" s="439"/>
      <c r="F25" s="439"/>
    </row>
    <row r="26" spans="1:7" ht="30" x14ac:dyDescent="0.25">
      <c r="A26" s="119" t="s">
        <v>227</v>
      </c>
      <c r="B26" s="119" t="s">
        <v>441</v>
      </c>
      <c r="C26" s="119" t="s">
        <v>242</v>
      </c>
      <c r="D26" s="120" t="s">
        <v>287</v>
      </c>
      <c r="E26" s="119" t="s">
        <v>442</v>
      </c>
      <c r="F26" s="119" t="s">
        <v>242</v>
      </c>
    </row>
    <row r="27" spans="1:7" x14ac:dyDescent="0.25">
      <c r="A27" s="122" t="s">
        <v>164</v>
      </c>
      <c r="B27" s="122">
        <v>8.2100000000000009</v>
      </c>
      <c r="C27" s="454" t="s">
        <v>443</v>
      </c>
      <c r="D27" s="122">
        <v>16.809999999999999</v>
      </c>
      <c r="E27" s="82">
        <f>B27/D27</f>
        <v>0.48839976204640106</v>
      </c>
      <c r="F27" s="454" t="s">
        <v>444</v>
      </c>
    </row>
    <row r="28" spans="1:7" x14ac:dyDescent="0.25">
      <c r="A28" s="122" t="s">
        <v>438</v>
      </c>
      <c r="B28" s="122">
        <v>8.67</v>
      </c>
      <c r="C28" s="455"/>
      <c r="D28" s="122">
        <v>17.84</v>
      </c>
      <c r="E28" s="82">
        <f t="shared" ref="E28:E29" si="0">B28/D28</f>
        <v>0.48598654708520178</v>
      </c>
      <c r="F28" s="455"/>
    </row>
    <row r="29" spans="1:7" x14ac:dyDescent="0.25">
      <c r="A29" s="122" t="s">
        <v>439</v>
      </c>
      <c r="B29" s="122">
        <v>8.61</v>
      </c>
      <c r="C29" s="455"/>
      <c r="D29" s="122">
        <v>17.600000000000001</v>
      </c>
      <c r="E29" s="82">
        <f t="shared" si="0"/>
        <v>0.48920454545454539</v>
      </c>
      <c r="F29" s="455"/>
    </row>
    <row r="30" spans="1:7" ht="45" x14ac:dyDescent="0.25">
      <c r="A30" s="121" t="s">
        <v>440</v>
      </c>
      <c r="B30" s="122"/>
      <c r="C30" s="456"/>
      <c r="D30" s="122"/>
      <c r="E30" s="82">
        <v>0.49</v>
      </c>
      <c r="F30" s="456"/>
    </row>
    <row r="31" spans="1:7" x14ac:dyDescent="0.25">
      <c r="A31" s="132"/>
      <c r="B31" s="132"/>
      <c r="C31" s="132"/>
    </row>
    <row r="32" spans="1:7" x14ac:dyDescent="0.25">
      <c r="A32" s="439" t="s">
        <v>453</v>
      </c>
      <c r="B32" s="439"/>
    </row>
    <row r="33" spans="1:2" x14ac:dyDescent="0.25">
      <c r="A33" s="110" t="s">
        <v>251</v>
      </c>
      <c r="B33" s="110" t="s">
        <v>427</v>
      </c>
    </row>
    <row r="34" spans="1:2" x14ac:dyDescent="0.25">
      <c r="A34" s="118" t="s">
        <v>425</v>
      </c>
      <c r="B34" s="86">
        <v>0.4</v>
      </c>
    </row>
    <row r="35" spans="1:2" x14ac:dyDescent="0.25">
      <c r="A35" s="118" t="s">
        <v>426</v>
      </c>
      <c r="B35" s="86">
        <v>0.53</v>
      </c>
    </row>
  </sheetData>
  <sortState xmlns:xlrd2="http://schemas.microsoft.com/office/spreadsheetml/2017/richdata2" ref="J13:J23">
    <sortCondition ref="J13"/>
  </sortState>
  <mergeCells count="15">
    <mergeCell ref="A1:C1"/>
    <mergeCell ref="E8:G8"/>
    <mergeCell ref="A32:B32"/>
    <mergeCell ref="A14:B14"/>
    <mergeCell ref="A9:B9"/>
    <mergeCell ref="E20:G20"/>
    <mergeCell ref="A8:C8"/>
    <mergeCell ref="A20:B20"/>
    <mergeCell ref="E2:G2"/>
    <mergeCell ref="E3:G3"/>
    <mergeCell ref="C27:C30"/>
    <mergeCell ref="F27:F30"/>
    <mergeCell ref="E10:G10"/>
    <mergeCell ref="E16:G16"/>
    <mergeCell ref="A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0"/>
  <sheetViews>
    <sheetView zoomScaleNormal="100" workbookViewId="0">
      <selection activeCell="B3" sqref="B3"/>
    </sheetView>
  </sheetViews>
  <sheetFormatPr baseColWidth="10" defaultRowHeight="15" x14ac:dyDescent="0.25"/>
  <cols>
    <col min="1" max="1" width="22.42578125" customWidth="1"/>
    <col min="2" max="2" width="30.28515625" bestFit="1" customWidth="1"/>
    <col min="3" max="3" width="30.5703125" customWidth="1"/>
    <col min="4" max="4" width="18.5703125" bestFit="1" customWidth="1"/>
    <col min="5" max="5" width="14" customWidth="1"/>
    <col min="6" max="6" width="19.7109375" customWidth="1"/>
    <col min="7" max="7" width="20.140625" customWidth="1"/>
    <col min="8" max="10" width="12" bestFit="1" customWidth="1"/>
    <col min="11" max="11" width="19.42578125" customWidth="1"/>
    <col min="12" max="12" width="13.5703125" customWidth="1"/>
  </cols>
  <sheetData>
    <row r="1" spans="1:10" x14ac:dyDescent="0.25">
      <c r="A1" s="417" t="s">
        <v>421</v>
      </c>
      <c r="B1" s="418"/>
      <c r="C1" s="419"/>
      <c r="D1" s="13"/>
      <c r="E1" s="13"/>
    </row>
    <row r="2" spans="1:10" x14ac:dyDescent="0.25">
      <c r="A2" s="64" t="s">
        <v>281</v>
      </c>
      <c r="B2" s="64" t="s">
        <v>279</v>
      </c>
      <c r="C2" s="64" t="s">
        <v>280</v>
      </c>
    </row>
    <row r="3" spans="1:10" x14ac:dyDescent="0.25">
      <c r="A3" s="88">
        <v>0.31</v>
      </c>
      <c r="B3" s="87">
        <f>MEDIAN(G8:G12,C16,F20:F28,B60:J60)</f>
        <v>0.48005174614741908</v>
      </c>
      <c r="C3" s="88">
        <v>0.57999999999999996</v>
      </c>
    </row>
    <row r="4" spans="1:10" s="132" customFormat="1" x14ac:dyDescent="0.25">
      <c r="A4" s="136"/>
      <c r="B4" s="136"/>
      <c r="C4" s="136"/>
    </row>
    <row r="6" spans="1:10" x14ac:dyDescent="0.25">
      <c r="A6" s="429" t="s">
        <v>239</v>
      </c>
      <c r="B6" s="429"/>
      <c r="C6" s="429"/>
      <c r="D6" s="429"/>
      <c r="E6" s="429"/>
      <c r="F6" s="429"/>
      <c r="G6" s="429"/>
      <c r="I6" s="76"/>
      <c r="J6" s="76"/>
    </row>
    <row r="7" spans="1:10" ht="45" x14ac:dyDescent="0.25">
      <c r="A7" s="44" t="s">
        <v>173</v>
      </c>
      <c r="B7" s="44" t="s">
        <v>227</v>
      </c>
      <c r="C7" s="59" t="s">
        <v>241</v>
      </c>
      <c r="D7" s="44" t="s">
        <v>242</v>
      </c>
      <c r="E7" s="59" t="s">
        <v>287</v>
      </c>
      <c r="F7" s="59" t="s">
        <v>246</v>
      </c>
      <c r="G7" s="59" t="s">
        <v>288</v>
      </c>
      <c r="H7" s="2"/>
      <c r="I7" s="76"/>
      <c r="J7" s="76"/>
    </row>
    <row r="8" spans="1:10" x14ac:dyDescent="0.25">
      <c r="A8" s="461" t="s">
        <v>229</v>
      </c>
      <c r="B8" s="6" t="s">
        <v>243</v>
      </c>
      <c r="C8" s="6">
        <v>9.9600000000000009</v>
      </c>
      <c r="D8" s="6" t="s">
        <v>230</v>
      </c>
      <c r="E8" s="81">
        <v>14.6</v>
      </c>
      <c r="F8" s="69" t="s">
        <v>248</v>
      </c>
      <c r="G8" s="80">
        <f>C8/E8</f>
        <v>0.68219178082191789</v>
      </c>
      <c r="H8" s="2"/>
      <c r="I8" s="76"/>
      <c r="J8" s="76"/>
    </row>
    <row r="9" spans="1:10" x14ac:dyDescent="0.25">
      <c r="A9" s="461"/>
      <c r="B9" s="6" t="s">
        <v>244</v>
      </c>
      <c r="C9" s="6">
        <v>9.9600000000000009</v>
      </c>
      <c r="D9" s="6" t="s">
        <v>230</v>
      </c>
      <c r="E9" s="81">
        <v>27.2</v>
      </c>
      <c r="F9" s="56" t="s">
        <v>70</v>
      </c>
      <c r="G9" s="80">
        <f>C9/E9</f>
        <v>0.36617647058823533</v>
      </c>
      <c r="H9" s="74"/>
      <c r="I9" s="76"/>
      <c r="J9" s="76"/>
    </row>
    <row r="10" spans="1:10" x14ac:dyDescent="0.25">
      <c r="A10" s="461"/>
      <c r="B10" s="6" t="s">
        <v>245</v>
      </c>
      <c r="C10" s="6">
        <v>3.56</v>
      </c>
      <c r="D10" s="6" t="s">
        <v>231</v>
      </c>
      <c r="E10" s="81">
        <v>15.37</v>
      </c>
      <c r="F10" s="69" t="s">
        <v>247</v>
      </c>
      <c r="G10" s="80">
        <f>C10/E10</f>
        <v>0.23162003903708525</v>
      </c>
      <c r="H10" s="74"/>
      <c r="I10" s="76"/>
      <c r="J10" s="76"/>
    </row>
    <row r="11" spans="1:10" x14ac:dyDescent="0.25">
      <c r="A11" s="461" t="s">
        <v>232</v>
      </c>
      <c r="B11" s="6" t="s">
        <v>233</v>
      </c>
      <c r="C11" s="6">
        <v>2.88</v>
      </c>
      <c r="D11" s="6" t="s">
        <v>234</v>
      </c>
      <c r="E11" s="81">
        <v>3.64</v>
      </c>
      <c r="F11" s="56" t="s">
        <v>70</v>
      </c>
      <c r="G11" s="80">
        <f>C11/E11</f>
        <v>0.79120879120879117</v>
      </c>
      <c r="H11" s="76"/>
      <c r="I11" s="76"/>
      <c r="J11" s="76"/>
    </row>
    <row r="12" spans="1:10" x14ac:dyDescent="0.25">
      <c r="A12" s="461"/>
      <c r="B12" s="6" t="s">
        <v>235</v>
      </c>
      <c r="C12" s="6">
        <v>4.04</v>
      </c>
      <c r="D12" s="6" t="s">
        <v>236</v>
      </c>
      <c r="E12" s="81">
        <v>16.899999999999999</v>
      </c>
      <c r="F12" s="69" t="s">
        <v>249</v>
      </c>
      <c r="G12" s="80">
        <f>C12/E12</f>
        <v>0.23905325443786984</v>
      </c>
      <c r="H12" s="76"/>
      <c r="I12" s="76"/>
      <c r="J12" s="76"/>
    </row>
    <row r="13" spans="1:10" x14ac:dyDescent="0.25">
      <c r="A13" s="3"/>
      <c r="B13" s="74"/>
      <c r="C13" s="1"/>
      <c r="D13" s="1"/>
      <c r="E13" s="75"/>
      <c r="F13" s="76"/>
      <c r="G13" s="74"/>
      <c r="H13" s="76"/>
      <c r="I13" s="76"/>
      <c r="J13" s="76"/>
    </row>
    <row r="14" spans="1:10" x14ac:dyDescent="0.25">
      <c r="A14" s="425" t="s">
        <v>240</v>
      </c>
      <c r="B14" s="425"/>
      <c r="C14" s="425"/>
      <c r="D14" s="1"/>
      <c r="E14" s="75"/>
      <c r="F14" s="76"/>
      <c r="G14" s="74"/>
      <c r="H14" s="76"/>
      <c r="I14" s="76"/>
      <c r="J14" s="76"/>
    </row>
    <row r="15" spans="1:10" x14ac:dyDescent="0.25">
      <c r="A15" s="44" t="s">
        <v>250</v>
      </c>
      <c r="B15" s="44" t="s">
        <v>228</v>
      </c>
      <c r="C15" s="44" t="s">
        <v>288</v>
      </c>
      <c r="D15" s="1"/>
      <c r="E15" s="75"/>
      <c r="F15" s="76"/>
      <c r="G15" s="74"/>
      <c r="H15" s="76"/>
      <c r="I15" s="76"/>
      <c r="J15" s="76"/>
    </row>
    <row r="16" spans="1:10" x14ac:dyDescent="0.25">
      <c r="A16" s="6" t="s">
        <v>147</v>
      </c>
      <c r="B16" s="6">
        <v>1.58</v>
      </c>
      <c r="C16" s="82">
        <f>1/B16</f>
        <v>0.63291139240506322</v>
      </c>
      <c r="D16" s="1"/>
      <c r="E16" s="75"/>
      <c r="F16" s="76"/>
      <c r="G16" s="74"/>
      <c r="H16" s="76"/>
      <c r="I16" s="76"/>
      <c r="J16" s="76"/>
    </row>
    <row r="17" spans="1:10" x14ac:dyDescent="0.25">
      <c r="A17" s="3"/>
      <c r="B17" s="74"/>
      <c r="C17" s="1"/>
      <c r="D17" s="1"/>
      <c r="E17" s="75"/>
      <c r="F17" s="76"/>
      <c r="G17" s="74"/>
      <c r="H17" s="76"/>
      <c r="I17" s="76"/>
      <c r="J17" s="76"/>
    </row>
    <row r="18" spans="1:10" x14ac:dyDescent="0.25">
      <c r="A18" s="425" t="s">
        <v>253</v>
      </c>
      <c r="B18" s="425"/>
      <c r="C18" s="425"/>
      <c r="D18" s="425"/>
      <c r="E18" s="425"/>
      <c r="F18" s="425"/>
      <c r="G18" s="76"/>
      <c r="H18" s="76"/>
      <c r="I18" s="76"/>
      <c r="J18" s="76"/>
    </row>
    <row r="19" spans="1:10" ht="46.9" customHeight="1" x14ac:dyDescent="0.25">
      <c r="A19" s="44" t="s">
        <v>227</v>
      </c>
      <c r="B19" s="44" t="s">
        <v>251</v>
      </c>
      <c r="C19" s="59" t="s">
        <v>254</v>
      </c>
      <c r="D19" s="59" t="s">
        <v>287</v>
      </c>
      <c r="E19" s="59" t="s">
        <v>246</v>
      </c>
      <c r="F19" s="59" t="s">
        <v>288</v>
      </c>
      <c r="G19" s="76"/>
      <c r="H19" s="76"/>
      <c r="I19" s="76"/>
      <c r="J19" s="76"/>
    </row>
    <row r="20" spans="1:10" x14ac:dyDescent="0.25">
      <c r="A20" s="460" t="s">
        <v>255</v>
      </c>
      <c r="B20" s="6" t="s">
        <v>283</v>
      </c>
      <c r="C20" s="6">
        <v>0.31</v>
      </c>
      <c r="D20" s="78">
        <v>3.64</v>
      </c>
      <c r="E20" s="56" t="s">
        <v>70</v>
      </c>
      <c r="F20" s="80">
        <f>1/C20/D20</f>
        <v>0.88621056362991846</v>
      </c>
      <c r="G20" s="76"/>
      <c r="H20" s="76"/>
      <c r="I20" s="76"/>
      <c r="J20" s="76"/>
    </row>
    <row r="21" spans="1:10" x14ac:dyDescent="0.25">
      <c r="A21" s="460"/>
      <c r="B21" s="6" t="s">
        <v>284</v>
      </c>
      <c r="C21" s="6">
        <v>0.49</v>
      </c>
      <c r="D21" s="78">
        <v>3.64</v>
      </c>
      <c r="E21" s="56" t="s">
        <v>70</v>
      </c>
      <c r="F21" s="80">
        <f t="shared" ref="F21:F28" si="0">1/C21/D21</f>
        <v>0.56066382596994846</v>
      </c>
      <c r="G21" s="76"/>
      <c r="H21" s="76"/>
      <c r="I21" s="76"/>
      <c r="J21" s="76"/>
    </row>
    <row r="22" spans="1:10" x14ac:dyDescent="0.25">
      <c r="A22" s="460"/>
      <c r="B22" s="6" t="s">
        <v>285</v>
      </c>
      <c r="C22" s="6">
        <v>0.57999999999999996</v>
      </c>
      <c r="D22" s="78">
        <v>3.64</v>
      </c>
      <c r="E22" s="56" t="s">
        <v>70</v>
      </c>
      <c r="F22" s="80">
        <f t="shared" si="0"/>
        <v>0.47366426676771506</v>
      </c>
      <c r="G22" s="76"/>
      <c r="H22" s="76"/>
      <c r="I22" s="76"/>
      <c r="J22" s="76"/>
    </row>
    <row r="23" spans="1:10" x14ac:dyDescent="0.25">
      <c r="A23" s="460" t="s">
        <v>256</v>
      </c>
      <c r="B23" s="6" t="s">
        <v>283</v>
      </c>
      <c r="C23" s="6">
        <v>0.1</v>
      </c>
      <c r="D23" s="84">
        <v>17.3</v>
      </c>
      <c r="E23" s="69" t="s">
        <v>248</v>
      </c>
      <c r="F23" s="80">
        <f t="shared" si="0"/>
        <v>0.57803468208092479</v>
      </c>
      <c r="G23" s="76"/>
      <c r="H23" s="76"/>
      <c r="I23" s="76"/>
      <c r="J23" s="76"/>
    </row>
    <row r="24" spans="1:10" x14ac:dyDescent="0.25">
      <c r="A24" s="460"/>
      <c r="B24" s="6" t="s">
        <v>284</v>
      </c>
      <c r="C24" s="6">
        <v>0.11</v>
      </c>
      <c r="D24" s="84">
        <v>17.3</v>
      </c>
      <c r="E24" s="69" t="s">
        <v>248</v>
      </c>
      <c r="F24" s="80">
        <f t="shared" si="0"/>
        <v>0.52548607461902264</v>
      </c>
      <c r="G24" s="76"/>
      <c r="H24" s="76"/>
      <c r="I24" s="76"/>
      <c r="J24" s="76"/>
    </row>
    <row r="25" spans="1:10" x14ac:dyDescent="0.25">
      <c r="A25" s="460"/>
      <c r="B25" s="6" t="s">
        <v>285</v>
      </c>
      <c r="C25" s="6">
        <v>0.17</v>
      </c>
      <c r="D25" s="84">
        <v>17.3</v>
      </c>
      <c r="E25" s="69" t="s">
        <v>248</v>
      </c>
      <c r="F25" s="80">
        <f t="shared" si="0"/>
        <v>0.3400204012240734</v>
      </c>
      <c r="G25" s="76"/>
      <c r="H25" s="76"/>
      <c r="I25" s="76"/>
      <c r="J25" s="76"/>
    </row>
    <row r="26" spans="1:10" x14ac:dyDescent="0.25">
      <c r="A26" s="460" t="s">
        <v>164</v>
      </c>
      <c r="B26" s="6" t="s">
        <v>283</v>
      </c>
      <c r="C26" s="6">
        <v>0.12</v>
      </c>
      <c r="D26" s="78">
        <v>16.8</v>
      </c>
      <c r="E26" s="56" t="s">
        <v>70</v>
      </c>
      <c r="F26" s="80">
        <f t="shared" si="0"/>
        <v>0.49603174603174605</v>
      </c>
      <c r="G26" s="76"/>
      <c r="H26" s="76"/>
      <c r="I26" s="76"/>
      <c r="J26" s="76"/>
    </row>
    <row r="27" spans="1:10" x14ac:dyDescent="0.25">
      <c r="A27" s="460"/>
      <c r="B27" s="6" t="s">
        <v>284</v>
      </c>
      <c r="C27" s="6">
        <v>0.19</v>
      </c>
      <c r="D27" s="78">
        <v>16.8</v>
      </c>
      <c r="E27" s="56" t="s">
        <v>70</v>
      </c>
      <c r="F27" s="80">
        <f t="shared" si="0"/>
        <v>0.31328320802005011</v>
      </c>
      <c r="G27" s="76"/>
      <c r="H27" s="76"/>
      <c r="I27" s="76"/>
      <c r="J27" s="76"/>
    </row>
    <row r="28" spans="1:10" x14ac:dyDescent="0.25">
      <c r="A28" s="460"/>
      <c r="B28" s="6" t="s">
        <v>285</v>
      </c>
      <c r="C28" s="6">
        <v>0.43</v>
      </c>
      <c r="D28" s="78">
        <v>16.8</v>
      </c>
      <c r="E28" s="56" t="s">
        <v>70</v>
      </c>
      <c r="F28" s="80">
        <f t="shared" si="0"/>
        <v>0.13842746400885936</v>
      </c>
      <c r="G28" s="76"/>
      <c r="H28" s="76"/>
      <c r="I28" s="76"/>
      <c r="J28" s="76"/>
    </row>
    <row r="29" spans="1:10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</row>
    <row r="30" spans="1:10" x14ac:dyDescent="0.25">
      <c r="A30" s="417" t="s">
        <v>252</v>
      </c>
      <c r="B30" s="418"/>
      <c r="C30" s="418"/>
      <c r="D30" s="418"/>
      <c r="E30" s="418"/>
      <c r="F30" s="418"/>
      <c r="G30" s="418"/>
      <c r="H30" s="418"/>
      <c r="I30" s="418"/>
      <c r="J30" s="419"/>
    </row>
    <row r="31" spans="1:10" x14ac:dyDescent="0.25">
      <c r="A31" s="44" t="s">
        <v>227</v>
      </c>
      <c r="B31" s="461" t="s">
        <v>255</v>
      </c>
      <c r="C31" s="461"/>
      <c r="D31" s="461"/>
      <c r="E31" s="461" t="s">
        <v>256</v>
      </c>
      <c r="F31" s="461"/>
      <c r="G31" s="461"/>
      <c r="H31" s="461" t="s">
        <v>164</v>
      </c>
      <c r="I31" s="461"/>
      <c r="J31" s="461"/>
    </row>
    <row r="32" spans="1:10" x14ac:dyDescent="0.25">
      <c r="A32" s="44" t="s">
        <v>251</v>
      </c>
      <c r="B32" s="6" t="s">
        <v>283</v>
      </c>
      <c r="C32" s="6" t="s">
        <v>284</v>
      </c>
      <c r="D32" s="6" t="s">
        <v>285</v>
      </c>
      <c r="E32" s="6" t="s">
        <v>283</v>
      </c>
      <c r="F32" s="6" t="s">
        <v>284</v>
      </c>
      <c r="G32" s="6" t="s">
        <v>285</v>
      </c>
      <c r="H32" s="6" t="s">
        <v>283</v>
      </c>
      <c r="I32" s="6" t="s">
        <v>284</v>
      </c>
      <c r="J32" s="6" t="s">
        <v>285</v>
      </c>
    </row>
    <row r="33" spans="1:12" x14ac:dyDescent="0.25">
      <c r="A33" s="447" t="s">
        <v>237</v>
      </c>
      <c r="B33" s="447"/>
      <c r="C33" s="447"/>
      <c r="D33" s="447"/>
      <c r="E33" s="447"/>
      <c r="F33" s="447"/>
      <c r="G33" s="447"/>
      <c r="H33" s="447"/>
      <c r="I33" s="447"/>
      <c r="J33" s="447"/>
    </row>
    <row r="34" spans="1:12" x14ac:dyDescent="0.25">
      <c r="A34" s="44" t="s">
        <v>258</v>
      </c>
      <c r="B34" s="6">
        <v>2641</v>
      </c>
      <c r="C34" s="6">
        <v>2275</v>
      </c>
      <c r="D34" s="6">
        <v>1619</v>
      </c>
      <c r="E34" s="6">
        <v>643</v>
      </c>
      <c r="F34" s="6">
        <v>941</v>
      </c>
      <c r="G34" s="6">
        <v>966</v>
      </c>
      <c r="H34" s="6">
        <v>1679</v>
      </c>
      <c r="I34" s="6">
        <v>1051</v>
      </c>
      <c r="J34" s="6">
        <v>1067</v>
      </c>
    </row>
    <row r="35" spans="1:12" x14ac:dyDescent="0.25">
      <c r="A35" s="44" t="s">
        <v>259</v>
      </c>
      <c r="B35" s="6">
        <v>0</v>
      </c>
      <c r="C35" s="6">
        <v>0</v>
      </c>
      <c r="D35" s="6">
        <v>0</v>
      </c>
      <c r="E35" s="6">
        <v>189</v>
      </c>
      <c r="F35" s="6">
        <v>137</v>
      </c>
      <c r="G35" s="6">
        <v>139</v>
      </c>
      <c r="H35" s="6">
        <v>0</v>
      </c>
      <c r="I35" s="6">
        <v>125</v>
      </c>
      <c r="J35" s="6">
        <v>233</v>
      </c>
    </row>
    <row r="36" spans="1:12" x14ac:dyDescent="0.25">
      <c r="A36" s="44" t="s">
        <v>260</v>
      </c>
      <c r="B36" s="6">
        <v>443</v>
      </c>
      <c r="C36" s="6">
        <v>673</v>
      </c>
      <c r="D36" s="6">
        <v>632</v>
      </c>
      <c r="E36" s="6">
        <v>2254</v>
      </c>
      <c r="F36" s="6">
        <v>2529</v>
      </c>
      <c r="G36" s="6">
        <v>2666</v>
      </c>
      <c r="H36" s="6">
        <v>774</v>
      </c>
      <c r="I36" s="6">
        <v>673</v>
      </c>
      <c r="J36" s="6">
        <v>253</v>
      </c>
    </row>
    <row r="37" spans="1:12" x14ac:dyDescent="0.25">
      <c r="A37" s="44" t="s">
        <v>261</v>
      </c>
      <c r="B37" s="6">
        <v>4379</v>
      </c>
      <c r="C37" s="6">
        <v>3979</v>
      </c>
      <c r="D37" s="6">
        <v>2264</v>
      </c>
      <c r="E37" s="6">
        <v>1603</v>
      </c>
      <c r="F37" s="6">
        <v>1074</v>
      </c>
      <c r="G37" s="6">
        <v>789</v>
      </c>
      <c r="H37" s="6">
        <v>1538</v>
      </c>
      <c r="I37" s="6">
        <v>1455</v>
      </c>
      <c r="J37" s="6">
        <v>1662</v>
      </c>
    </row>
    <row r="38" spans="1:12" x14ac:dyDescent="0.25">
      <c r="A38" s="440" t="s">
        <v>291</v>
      </c>
      <c r="B38" s="458"/>
      <c r="C38" s="458"/>
      <c r="D38" s="458"/>
      <c r="E38" s="458"/>
      <c r="F38" s="458"/>
      <c r="G38" s="458"/>
      <c r="H38" s="458"/>
      <c r="I38" s="458"/>
      <c r="J38" s="441"/>
    </row>
    <row r="39" spans="1:12" x14ac:dyDescent="0.25">
      <c r="A39" s="44" t="s">
        <v>278</v>
      </c>
      <c r="B39" s="78">
        <f t="shared" ref="B39:J39" si="1">B35*3.6*1000000</f>
        <v>0</v>
      </c>
      <c r="C39" s="78">
        <f t="shared" si="1"/>
        <v>0</v>
      </c>
      <c r="D39" s="78">
        <f t="shared" si="1"/>
        <v>0</v>
      </c>
      <c r="E39" s="78">
        <f t="shared" si="1"/>
        <v>680400000</v>
      </c>
      <c r="F39" s="78">
        <f t="shared" si="1"/>
        <v>493200000</v>
      </c>
      <c r="G39" s="78">
        <f t="shared" si="1"/>
        <v>500400000.00000006</v>
      </c>
      <c r="H39" s="78">
        <f t="shared" si="1"/>
        <v>0</v>
      </c>
      <c r="I39" s="78">
        <f t="shared" si="1"/>
        <v>450000000</v>
      </c>
      <c r="J39" s="78">
        <f t="shared" si="1"/>
        <v>838800000.00000012</v>
      </c>
    </row>
    <row r="40" spans="1:12" x14ac:dyDescent="0.25">
      <c r="A40" s="44" t="s">
        <v>277</v>
      </c>
      <c r="B40" s="78">
        <f t="shared" ref="B40:J40" si="2">B36*1000000</f>
        <v>443000000</v>
      </c>
      <c r="C40" s="78">
        <f t="shared" si="2"/>
        <v>673000000</v>
      </c>
      <c r="D40" s="78">
        <f t="shared" si="2"/>
        <v>632000000</v>
      </c>
      <c r="E40" s="78">
        <f t="shared" si="2"/>
        <v>2254000000</v>
      </c>
      <c r="F40" s="78">
        <f t="shared" si="2"/>
        <v>2529000000</v>
      </c>
      <c r="G40" s="78">
        <f t="shared" si="2"/>
        <v>2666000000</v>
      </c>
      <c r="H40" s="78">
        <f t="shared" si="2"/>
        <v>774000000</v>
      </c>
      <c r="I40" s="78">
        <f t="shared" si="2"/>
        <v>673000000</v>
      </c>
      <c r="J40" s="78">
        <f t="shared" si="2"/>
        <v>253000000</v>
      </c>
    </row>
    <row r="41" spans="1:12" x14ac:dyDescent="0.25">
      <c r="A41" s="44" t="s">
        <v>268</v>
      </c>
      <c r="B41" s="6">
        <f>B37*10^6*D20</f>
        <v>15939560000</v>
      </c>
      <c r="C41" s="6">
        <f>C37*10^6*D21</f>
        <v>14483560000</v>
      </c>
      <c r="D41" s="6">
        <f>D37*10^6*D22</f>
        <v>8240960000</v>
      </c>
      <c r="E41" s="6">
        <f>E37*10^6*D23</f>
        <v>27731900000</v>
      </c>
      <c r="F41" s="6">
        <f>F37*10^6*D24</f>
        <v>18580200000</v>
      </c>
      <c r="G41" s="6">
        <f>G37*10^6*D25</f>
        <v>13649700000</v>
      </c>
      <c r="H41" s="6">
        <f>H37*10^6*D26</f>
        <v>25838400000</v>
      </c>
      <c r="I41" s="6">
        <f>I37*10^6*D27</f>
        <v>24444000000</v>
      </c>
      <c r="J41" s="6">
        <f>J37*10^6*D28</f>
        <v>27921600000</v>
      </c>
    </row>
    <row r="42" spans="1:12" x14ac:dyDescent="0.25">
      <c r="A42" s="447" t="s">
        <v>238</v>
      </c>
      <c r="B42" s="447"/>
      <c r="C42" s="447"/>
      <c r="D42" s="447"/>
      <c r="E42" s="447"/>
      <c r="F42" s="447"/>
      <c r="G42" s="447"/>
      <c r="H42" s="447"/>
      <c r="I42" s="447"/>
      <c r="J42" s="447"/>
    </row>
    <row r="43" spans="1:12" x14ac:dyDescent="0.25">
      <c r="A43" s="44" t="s">
        <v>262</v>
      </c>
      <c r="B43" s="6">
        <v>0</v>
      </c>
      <c r="C43" s="6">
        <v>0</v>
      </c>
      <c r="D43" s="6">
        <v>0</v>
      </c>
      <c r="E43" s="6">
        <v>519</v>
      </c>
      <c r="F43" s="6">
        <v>348</v>
      </c>
      <c r="G43" s="6">
        <v>256</v>
      </c>
      <c r="H43" s="6">
        <v>0</v>
      </c>
      <c r="I43" s="6">
        <v>0</v>
      </c>
      <c r="J43" s="6">
        <v>0</v>
      </c>
      <c r="K43" s="457" t="s">
        <v>276</v>
      </c>
      <c r="L43" s="457"/>
    </row>
    <row r="44" spans="1:12" x14ac:dyDescent="0.25">
      <c r="A44" s="44" t="s">
        <v>259</v>
      </c>
      <c r="B44" s="6">
        <v>644</v>
      </c>
      <c r="C44" s="6">
        <v>205</v>
      </c>
      <c r="D44" s="6">
        <v>99</v>
      </c>
      <c r="E44" s="6">
        <v>0</v>
      </c>
      <c r="F44" s="6">
        <v>0</v>
      </c>
      <c r="G44" s="6">
        <v>0</v>
      </c>
      <c r="H44" s="6">
        <v>111</v>
      </c>
      <c r="I44" s="6">
        <v>0</v>
      </c>
      <c r="J44" s="6">
        <v>0</v>
      </c>
      <c r="K44" s="6" t="s">
        <v>275</v>
      </c>
      <c r="L44" s="6" t="s">
        <v>274</v>
      </c>
    </row>
    <row r="45" spans="1:12" x14ac:dyDescent="0.25">
      <c r="A45" s="44" t="s">
        <v>263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5</v>
      </c>
      <c r="H45" s="6">
        <v>0</v>
      </c>
      <c r="I45" s="6">
        <v>0</v>
      </c>
      <c r="J45" s="6">
        <v>5</v>
      </c>
      <c r="K45" s="45">
        <v>900000</v>
      </c>
      <c r="L45" s="81">
        <v>45</v>
      </c>
    </row>
    <row r="46" spans="1:12" x14ac:dyDescent="0.25">
      <c r="A46" s="44" t="s">
        <v>264</v>
      </c>
      <c r="B46" s="6">
        <v>0</v>
      </c>
      <c r="C46" s="6">
        <v>23</v>
      </c>
      <c r="D46" s="6">
        <v>19</v>
      </c>
      <c r="E46" s="6">
        <v>0</v>
      </c>
      <c r="F46" s="6">
        <v>23</v>
      </c>
      <c r="G46" s="6">
        <v>0</v>
      </c>
      <c r="H46" s="6">
        <v>0</v>
      </c>
      <c r="I46" s="6">
        <v>23</v>
      </c>
      <c r="J46" s="6">
        <v>0</v>
      </c>
      <c r="K46" s="45">
        <v>600000</v>
      </c>
      <c r="L46" s="81">
        <v>45</v>
      </c>
    </row>
    <row r="47" spans="1:12" x14ac:dyDescent="0.25">
      <c r="A47" s="44" t="s">
        <v>265</v>
      </c>
      <c r="B47" s="6">
        <v>0</v>
      </c>
      <c r="C47" s="6">
        <v>5</v>
      </c>
      <c r="D47" s="6">
        <v>10</v>
      </c>
      <c r="E47" s="6">
        <v>0</v>
      </c>
      <c r="F47" s="6">
        <v>5</v>
      </c>
      <c r="G47" s="6">
        <v>21</v>
      </c>
      <c r="H47" s="6">
        <v>0</v>
      </c>
      <c r="I47" s="6">
        <v>5</v>
      </c>
      <c r="J47" s="6">
        <v>21</v>
      </c>
      <c r="K47" s="45">
        <v>739000</v>
      </c>
      <c r="L47" s="45">
        <v>44.9</v>
      </c>
    </row>
    <row r="48" spans="1:12" x14ac:dyDescent="0.25">
      <c r="A48" s="44" t="s">
        <v>266</v>
      </c>
      <c r="B48" s="6">
        <v>378</v>
      </c>
      <c r="C48" s="6">
        <v>33</v>
      </c>
      <c r="D48" s="6">
        <v>60</v>
      </c>
      <c r="E48" s="6">
        <v>378</v>
      </c>
      <c r="F48" s="6">
        <v>33</v>
      </c>
      <c r="G48" s="6">
        <v>73</v>
      </c>
      <c r="H48" s="6">
        <v>378</v>
      </c>
      <c r="I48" s="6">
        <v>33</v>
      </c>
      <c r="J48" s="6">
        <v>73</v>
      </c>
      <c r="K48" s="45">
        <v>800000</v>
      </c>
      <c r="L48" s="45">
        <v>43.3</v>
      </c>
    </row>
    <row r="49" spans="1:12" x14ac:dyDescent="0.25">
      <c r="A49" s="44" t="s">
        <v>267</v>
      </c>
      <c r="B49" s="6">
        <v>0</v>
      </c>
      <c r="C49" s="6">
        <v>171</v>
      </c>
      <c r="D49" s="6">
        <v>28</v>
      </c>
      <c r="E49" s="6">
        <v>0</v>
      </c>
      <c r="F49" s="6">
        <v>171</v>
      </c>
      <c r="G49" s="6">
        <v>18</v>
      </c>
      <c r="H49" s="6">
        <v>0</v>
      </c>
      <c r="I49" s="6">
        <v>171</v>
      </c>
      <c r="J49" s="6">
        <v>18</v>
      </c>
      <c r="K49" s="45">
        <v>890000</v>
      </c>
      <c r="L49" s="45">
        <v>43.56</v>
      </c>
    </row>
    <row r="50" spans="1:12" x14ac:dyDescent="0.25">
      <c r="A50" s="459" t="s">
        <v>292</v>
      </c>
      <c r="B50" s="459"/>
      <c r="C50" s="459"/>
      <c r="D50" s="459"/>
      <c r="E50" s="459"/>
      <c r="F50" s="459"/>
      <c r="G50" s="459"/>
      <c r="H50" s="459"/>
      <c r="I50" s="459"/>
      <c r="J50" s="459"/>
    </row>
    <row r="51" spans="1:12" x14ac:dyDescent="0.25">
      <c r="A51" s="44" t="s">
        <v>290</v>
      </c>
      <c r="B51" s="6">
        <f>B43*10^6*20.4</f>
        <v>0</v>
      </c>
      <c r="C51" s="6">
        <f t="shared" ref="C51:J51" si="3">C43*10^6*20.4</f>
        <v>0</v>
      </c>
      <c r="D51" s="6">
        <f t="shared" si="3"/>
        <v>0</v>
      </c>
      <c r="E51" s="6">
        <f t="shared" si="3"/>
        <v>10587600000</v>
      </c>
      <c r="F51" s="6">
        <f t="shared" si="3"/>
        <v>7099199999.999999</v>
      </c>
      <c r="G51" s="6">
        <f t="shared" si="3"/>
        <v>5222400000</v>
      </c>
      <c r="H51" s="6">
        <f t="shared" si="3"/>
        <v>0</v>
      </c>
      <c r="I51" s="6">
        <f t="shared" si="3"/>
        <v>0</v>
      </c>
      <c r="J51" s="6">
        <f t="shared" si="3"/>
        <v>0</v>
      </c>
    </row>
    <row r="52" spans="1:12" x14ac:dyDescent="0.25">
      <c r="A52" s="44" t="s">
        <v>278</v>
      </c>
      <c r="B52" s="6">
        <f>B44*3.6*1000000</f>
        <v>2318400000</v>
      </c>
      <c r="C52" s="6">
        <f t="shared" ref="C52:J52" si="4">C44*3.6*1000000</f>
        <v>738000000</v>
      </c>
      <c r="D52" s="6">
        <f t="shared" si="4"/>
        <v>356400000.00000006</v>
      </c>
      <c r="E52" s="6">
        <f t="shared" si="4"/>
        <v>0</v>
      </c>
      <c r="F52" s="6">
        <f t="shared" si="4"/>
        <v>0</v>
      </c>
      <c r="G52" s="6">
        <f t="shared" si="4"/>
        <v>0</v>
      </c>
      <c r="H52" s="6">
        <f t="shared" si="4"/>
        <v>399600000</v>
      </c>
      <c r="I52" s="6">
        <f t="shared" si="4"/>
        <v>0</v>
      </c>
      <c r="J52" s="6">
        <f t="shared" si="4"/>
        <v>0</v>
      </c>
    </row>
    <row r="53" spans="1:12" x14ac:dyDescent="0.25">
      <c r="A53" s="44" t="s">
        <v>269</v>
      </c>
      <c r="B53" s="6">
        <f>B45*$K$45*$L$45</f>
        <v>0</v>
      </c>
      <c r="C53" s="6">
        <f t="shared" ref="C53:J53" si="5">C45*$K$45*$L$45</f>
        <v>0</v>
      </c>
      <c r="D53" s="6">
        <f t="shared" si="5"/>
        <v>0</v>
      </c>
      <c r="E53" s="6">
        <f t="shared" si="5"/>
        <v>0</v>
      </c>
      <c r="F53" s="6">
        <f t="shared" si="5"/>
        <v>0</v>
      </c>
      <c r="G53" s="6">
        <f t="shared" si="5"/>
        <v>202500000</v>
      </c>
      <c r="H53" s="6">
        <f t="shared" si="5"/>
        <v>0</v>
      </c>
      <c r="I53" s="6">
        <f t="shared" si="5"/>
        <v>0</v>
      </c>
      <c r="J53" s="6">
        <f t="shared" si="5"/>
        <v>202500000</v>
      </c>
    </row>
    <row r="54" spans="1:12" x14ac:dyDescent="0.25">
      <c r="A54" s="44" t="s">
        <v>270</v>
      </c>
      <c r="B54" s="6">
        <f>B46*$K$46*$L$46</f>
        <v>0</v>
      </c>
      <c r="C54" s="6">
        <f t="shared" ref="C54:J54" si="6">C46*$K$46*$L$46</f>
        <v>621000000</v>
      </c>
      <c r="D54" s="6">
        <f t="shared" si="6"/>
        <v>513000000</v>
      </c>
      <c r="E54" s="6">
        <f t="shared" si="6"/>
        <v>0</v>
      </c>
      <c r="F54" s="6">
        <f t="shared" si="6"/>
        <v>621000000</v>
      </c>
      <c r="G54" s="6">
        <f t="shared" si="6"/>
        <v>0</v>
      </c>
      <c r="H54" s="6">
        <f t="shared" si="6"/>
        <v>0</v>
      </c>
      <c r="I54" s="6">
        <f t="shared" si="6"/>
        <v>621000000</v>
      </c>
      <c r="J54" s="6">
        <f t="shared" si="6"/>
        <v>0</v>
      </c>
    </row>
    <row r="55" spans="1:12" x14ac:dyDescent="0.25">
      <c r="A55" s="44" t="s">
        <v>271</v>
      </c>
      <c r="B55" s="6">
        <f>B47*$K$47*$L$47</f>
        <v>0</v>
      </c>
      <c r="C55" s="6">
        <f t="shared" ref="C55:J55" si="7">C47*$K$47*$L$47</f>
        <v>165905500</v>
      </c>
      <c r="D55" s="6">
        <f t="shared" si="7"/>
        <v>331811000</v>
      </c>
      <c r="E55" s="6">
        <f t="shared" si="7"/>
        <v>0</v>
      </c>
      <c r="F55" s="6">
        <f t="shared" si="7"/>
        <v>165905500</v>
      </c>
      <c r="G55" s="6">
        <f t="shared" si="7"/>
        <v>696803100</v>
      </c>
      <c r="H55" s="6">
        <f t="shared" si="7"/>
        <v>0</v>
      </c>
      <c r="I55" s="6">
        <f t="shared" si="7"/>
        <v>165905500</v>
      </c>
      <c r="J55" s="6">
        <f t="shared" si="7"/>
        <v>696803100</v>
      </c>
    </row>
    <row r="56" spans="1:12" x14ac:dyDescent="0.25">
      <c r="A56" s="44" t="s">
        <v>272</v>
      </c>
      <c r="B56" s="6">
        <f>B48*$K$48*$L$48</f>
        <v>13093920000</v>
      </c>
      <c r="C56" s="6">
        <f t="shared" ref="C56:J56" si="8">C48*$K$48*$L$48</f>
        <v>1143120000</v>
      </c>
      <c r="D56" s="6">
        <f t="shared" si="8"/>
        <v>2078399999.9999998</v>
      </c>
      <c r="E56" s="6">
        <f t="shared" si="8"/>
        <v>13093920000</v>
      </c>
      <c r="F56" s="6">
        <f t="shared" si="8"/>
        <v>1143120000</v>
      </c>
      <c r="G56" s="6">
        <f t="shared" si="8"/>
        <v>2528720000</v>
      </c>
      <c r="H56" s="6">
        <f t="shared" si="8"/>
        <v>13093920000</v>
      </c>
      <c r="I56" s="6">
        <f t="shared" si="8"/>
        <v>1143120000</v>
      </c>
      <c r="J56" s="6">
        <f t="shared" si="8"/>
        <v>2528720000</v>
      </c>
    </row>
    <row r="57" spans="1:12" x14ac:dyDescent="0.25">
      <c r="A57" s="44" t="s">
        <v>273</v>
      </c>
      <c r="B57" s="6">
        <f>B49*$K$49*$L$49</f>
        <v>0</v>
      </c>
      <c r="C57" s="6">
        <f t="shared" ref="C57:J57" si="9">C49*$K$49*$L$49</f>
        <v>6629396400</v>
      </c>
      <c r="D57" s="6">
        <f t="shared" si="9"/>
        <v>1085515200</v>
      </c>
      <c r="E57" s="6">
        <f t="shared" si="9"/>
        <v>0</v>
      </c>
      <c r="F57" s="6">
        <f t="shared" si="9"/>
        <v>6629396400</v>
      </c>
      <c r="G57" s="6">
        <f t="shared" si="9"/>
        <v>697831200</v>
      </c>
      <c r="H57" s="6">
        <f t="shared" si="9"/>
        <v>0</v>
      </c>
      <c r="I57" s="6">
        <f t="shared" si="9"/>
        <v>6629396400</v>
      </c>
      <c r="J57" s="6">
        <f t="shared" si="9"/>
        <v>697831200</v>
      </c>
    </row>
    <row r="58" spans="1:12" x14ac:dyDescent="0.25">
      <c r="A58" s="459" t="s">
        <v>257</v>
      </c>
      <c r="B58" s="459"/>
      <c r="C58" s="459"/>
      <c r="D58" s="459"/>
      <c r="E58" s="459"/>
      <c r="F58" s="459"/>
      <c r="G58" s="459"/>
      <c r="H58" s="459"/>
      <c r="I58" s="459"/>
      <c r="J58" s="459"/>
    </row>
    <row r="59" spans="1:12" x14ac:dyDescent="0.25">
      <c r="A59" s="59" t="s">
        <v>289</v>
      </c>
      <c r="B59" s="80">
        <f t="shared" ref="B59:J59" si="10">SUM(B51:B57)/SUM(B39:B41)</f>
        <v>0.94077604476955978</v>
      </c>
      <c r="C59" s="80">
        <f t="shared" si="10"/>
        <v>0.61342559921248618</v>
      </c>
      <c r="D59" s="80">
        <f t="shared" si="10"/>
        <v>0.49195828674985576</v>
      </c>
      <c r="E59" s="80">
        <f t="shared" si="10"/>
        <v>0.77223271147807204</v>
      </c>
      <c r="F59" s="80">
        <f t="shared" si="10"/>
        <v>0.72485565955634557</v>
      </c>
      <c r="G59" s="80">
        <f t="shared" si="10"/>
        <v>0.55591096032968401</v>
      </c>
      <c r="H59" s="80">
        <f t="shared" si="10"/>
        <v>0.50703882400685396</v>
      </c>
      <c r="I59" s="80">
        <f t="shared" si="10"/>
        <v>0.33478397543708688</v>
      </c>
      <c r="J59" s="80">
        <f t="shared" si="10"/>
        <v>0.14220512935402263</v>
      </c>
    </row>
    <row r="60" spans="1:12" x14ac:dyDescent="0.25">
      <c r="A60" s="44" t="s">
        <v>286</v>
      </c>
      <c r="B60" s="82">
        <f t="shared" ref="B60:J60" si="11">SUM(B53:B57)/B41</f>
        <v>0.82147311469074424</v>
      </c>
      <c r="C60" s="82">
        <f t="shared" si="11"/>
        <v>0.59097500200227016</v>
      </c>
      <c r="D60" s="82">
        <f t="shared" si="11"/>
        <v>0.48643922552712304</v>
      </c>
      <c r="E60" s="82">
        <f t="shared" si="11"/>
        <v>0.47216094101017242</v>
      </c>
      <c r="F60" s="82">
        <f t="shared" si="11"/>
        <v>0.4606743684136877</v>
      </c>
      <c r="G60" s="82">
        <f t="shared" si="11"/>
        <v>0.30226703150985001</v>
      </c>
      <c r="H60" s="82">
        <f t="shared" si="11"/>
        <v>0.50676202860858255</v>
      </c>
      <c r="I60" s="82">
        <f t="shared" si="11"/>
        <v>0.35016453526427754</v>
      </c>
      <c r="J60" s="82">
        <f t="shared" si="11"/>
        <v>0.14776568319867056</v>
      </c>
    </row>
  </sheetData>
  <mergeCells count="19">
    <mergeCell ref="A58:J58"/>
    <mergeCell ref="A50:J50"/>
    <mergeCell ref="A6:G6"/>
    <mergeCell ref="A23:A25"/>
    <mergeCell ref="A26:A28"/>
    <mergeCell ref="A30:J30"/>
    <mergeCell ref="B31:D31"/>
    <mergeCell ref="E31:G31"/>
    <mergeCell ref="H31:J31"/>
    <mergeCell ref="A8:A10"/>
    <mergeCell ref="A11:A12"/>
    <mergeCell ref="A20:A22"/>
    <mergeCell ref="A14:C14"/>
    <mergeCell ref="A18:F18"/>
    <mergeCell ref="K43:L43"/>
    <mergeCell ref="A1:C1"/>
    <mergeCell ref="A38:J38"/>
    <mergeCell ref="A33:J33"/>
    <mergeCell ref="A42:J42"/>
  </mergeCells>
  <hyperlinks>
    <hyperlink ref="F10" r:id="rId1" xr:uid="{00000000-0004-0000-0300-000000000000}"/>
    <hyperlink ref="F8" r:id="rId2" xr:uid="{00000000-0004-0000-0300-000001000000}"/>
    <hyperlink ref="F12" r:id="rId3" xr:uid="{00000000-0004-0000-0300-000002000000}"/>
    <hyperlink ref="E23" r:id="rId4" xr:uid="{00000000-0004-0000-0300-000003000000}"/>
    <hyperlink ref="E24" r:id="rId5" xr:uid="{00000000-0004-0000-0300-000004000000}"/>
    <hyperlink ref="E25" r:id="rId6" xr:uid="{00000000-0004-0000-0300-000005000000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3"/>
  <sheetViews>
    <sheetView workbookViewId="0">
      <selection activeCell="F26" sqref="F26"/>
    </sheetView>
  </sheetViews>
  <sheetFormatPr baseColWidth="10" defaultRowHeight="15" x14ac:dyDescent="0.25"/>
  <cols>
    <col min="1" max="1" width="30" customWidth="1"/>
    <col min="2" max="2" width="20.42578125" customWidth="1"/>
    <col min="3" max="3" width="21.5703125" customWidth="1"/>
    <col min="4" max="4" width="12.28515625" customWidth="1"/>
    <col min="5" max="5" width="19.7109375" customWidth="1"/>
    <col min="6" max="6" width="16.5703125" customWidth="1"/>
    <col min="7" max="7" width="10.42578125" customWidth="1"/>
    <col min="8" max="8" width="22.140625" customWidth="1"/>
    <col min="9" max="9" width="20.85546875" customWidth="1"/>
    <col min="10" max="10" width="22.42578125" customWidth="1"/>
    <col min="11" max="11" width="13.85546875" customWidth="1"/>
    <col min="12" max="12" width="16.85546875" customWidth="1"/>
    <col min="13" max="13" width="15.85546875" customWidth="1"/>
  </cols>
  <sheetData>
    <row r="1" spans="1:18" x14ac:dyDescent="0.25">
      <c r="A1" s="417" t="s">
        <v>422</v>
      </c>
      <c r="B1" s="418"/>
      <c r="C1" s="419"/>
      <c r="E1" s="417" t="s">
        <v>423</v>
      </c>
      <c r="F1" s="418"/>
      <c r="G1" s="419"/>
      <c r="I1" s="417" t="s">
        <v>424</v>
      </c>
      <c r="J1" s="418"/>
      <c r="K1" s="419"/>
    </row>
    <row r="2" spans="1:18" x14ac:dyDescent="0.25">
      <c r="A2" s="64" t="s">
        <v>281</v>
      </c>
      <c r="B2" s="64" t="s">
        <v>279</v>
      </c>
      <c r="C2" s="64" t="s">
        <v>280</v>
      </c>
      <c r="E2" s="64" t="s">
        <v>281</v>
      </c>
      <c r="F2" s="64" t="s">
        <v>279</v>
      </c>
      <c r="G2" s="64" t="s">
        <v>280</v>
      </c>
      <c r="I2" s="64" t="s">
        <v>281</v>
      </c>
      <c r="J2" s="64" t="s">
        <v>279</v>
      </c>
      <c r="K2" s="64" t="s">
        <v>280</v>
      </c>
    </row>
    <row r="3" spans="1:18" x14ac:dyDescent="0.25">
      <c r="A3" s="87">
        <v>0.42</v>
      </c>
      <c r="B3" s="87">
        <v>0.66</v>
      </c>
      <c r="C3" s="87">
        <v>0.85</v>
      </c>
      <c r="E3" s="87">
        <v>0.71</v>
      </c>
      <c r="F3" s="87">
        <v>0.88</v>
      </c>
      <c r="G3" s="87">
        <v>0.92</v>
      </c>
      <c r="I3" s="87">
        <v>0.08</v>
      </c>
      <c r="J3" s="87">
        <v>0.09</v>
      </c>
      <c r="K3" s="87">
        <v>0.11</v>
      </c>
    </row>
    <row r="4" spans="1:18" ht="15.75" thickBot="1" x14ac:dyDescent="0.3"/>
    <row r="5" spans="1:18" x14ac:dyDescent="0.25">
      <c r="A5" s="448" t="s">
        <v>372</v>
      </c>
      <c r="B5" s="449"/>
      <c r="C5" s="450"/>
      <c r="E5" s="448" t="s">
        <v>419</v>
      </c>
      <c r="F5" s="449"/>
      <c r="G5" s="450"/>
      <c r="I5" s="448" t="s">
        <v>419</v>
      </c>
      <c r="J5" s="449"/>
      <c r="K5" s="450"/>
    </row>
    <row r="6" spans="1:18" ht="15.75" thickBot="1" x14ac:dyDescent="0.3">
      <c r="A6" s="451" t="s">
        <v>373</v>
      </c>
      <c r="B6" s="452"/>
      <c r="C6" s="453"/>
      <c r="E6" s="451" t="s">
        <v>359</v>
      </c>
      <c r="F6" s="452"/>
      <c r="G6" s="453"/>
      <c r="I6" s="451" t="s">
        <v>358</v>
      </c>
      <c r="J6" s="452"/>
      <c r="K6" s="453"/>
    </row>
    <row r="7" spans="1:18" x14ac:dyDescent="0.25">
      <c r="A7" s="89"/>
      <c r="B7" s="89"/>
      <c r="C7" s="89"/>
      <c r="E7" s="89"/>
      <c r="F7" s="89"/>
      <c r="G7" s="89"/>
      <c r="I7" s="89"/>
      <c r="J7" s="89"/>
      <c r="K7" s="89"/>
    </row>
    <row r="9" spans="1:18" ht="14.45" customHeight="1" x14ac:dyDescent="0.25">
      <c r="A9" s="462" t="s">
        <v>347</v>
      </c>
      <c r="B9" s="462"/>
      <c r="C9" s="462"/>
      <c r="D9" s="462"/>
      <c r="E9" s="462"/>
      <c r="F9" s="462"/>
      <c r="G9" s="104"/>
      <c r="H9" s="462" t="s">
        <v>356</v>
      </c>
      <c r="I9" s="462"/>
      <c r="J9" s="462"/>
      <c r="K9" s="462"/>
      <c r="L9" s="462"/>
      <c r="M9" s="462"/>
      <c r="N9" s="462"/>
      <c r="O9" s="462"/>
      <c r="P9" s="462"/>
    </row>
    <row r="10" spans="1:18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</row>
    <row r="11" spans="1:18" x14ac:dyDescent="0.25">
      <c r="A11" s="425" t="s">
        <v>310</v>
      </c>
      <c r="B11" s="425"/>
      <c r="C11" s="425"/>
      <c r="D11" s="425"/>
      <c r="E11" s="425"/>
      <c r="F11" s="425"/>
      <c r="G11" s="93"/>
      <c r="H11" s="425" t="s">
        <v>349</v>
      </c>
      <c r="I11" s="425"/>
      <c r="J11" s="425"/>
      <c r="K11" s="425"/>
      <c r="L11" s="425"/>
      <c r="M11" s="425"/>
    </row>
    <row r="12" spans="1:18" x14ac:dyDescent="0.25">
      <c r="A12" s="99" t="s">
        <v>341</v>
      </c>
      <c r="B12" s="99" t="s">
        <v>219</v>
      </c>
      <c r="C12" s="99" t="s">
        <v>331</v>
      </c>
      <c r="D12" s="99" t="s">
        <v>338</v>
      </c>
      <c r="E12" s="99" t="s">
        <v>330</v>
      </c>
      <c r="F12" s="99" t="s">
        <v>339</v>
      </c>
      <c r="H12" s="464" t="s">
        <v>227</v>
      </c>
      <c r="I12" s="447" t="s">
        <v>350</v>
      </c>
      <c r="J12" s="447"/>
      <c r="K12" s="463" t="s">
        <v>316</v>
      </c>
      <c r="L12" s="447" t="s">
        <v>357</v>
      </c>
      <c r="M12" s="447"/>
    </row>
    <row r="13" spans="1:18" x14ac:dyDescent="0.25">
      <c r="A13" s="97" t="s">
        <v>336</v>
      </c>
      <c r="B13" s="97">
        <v>0.21</v>
      </c>
      <c r="C13" s="97">
        <v>0.32</v>
      </c>
      <c r="D13" s="97">
        <v>0.46</v>
      </c>
      <c r="E13" s="97">
        <v>0.36</v>
      </c>
      <c r="F13" s="97">
        <v>0.4</v>
      </c>
      <c r="H13" s="465"/>
      <c r="I13" s="44" t="s">
        <v>354</v>
      </c>
      <c r="J13" s="44" t="s">
        <v>355</v>
      </c>
      <c r="K13" s="463"/>
      <c r="L13" s="44" t="s">
        <v>354</v>
      </c>
      <c r="M13" s="44" t="s">
        <v>355</v>
      </c>
    </row>
    <row r="14" spans="1:18" x14ac:dyDescent="0.25">
      <c r="A14" s="97" t="s">
        <v>346</v>
      </c>
      <c r="B14" s="97">
        <v>8355</v>
      </c>
      <c r="C14" s="97">
        <v>464</v>
      </c>
      <c r="D14" s="97">
        <v>3061</v>
      </c>
      <c r="E14" s="97">
        <v>1982</v>
      </c>
      <c r="F14" s="97">
        <v>1998</v>
      </c>
      <c r="H14" s="440" t="s">
        <v>352</v>
      </c>
      <c r="I14" s="458"/>
      <c r="J14" s="458"/>
      <c r="K14" s="458"/>
      <c r="L14" s="458"/>
      <c r="M14" s="441"/>
    </row>
    <row r="15" spans="1:18" x14ac:dyDescent="0.25">
      <c r="A15" s="99" t="s">
        <v>340</v>
      </c>
      <c r="B15" s="99" t="s">
        <v>219</v>
      </c>
      <c r="C15" s="99" t="s">
        <v>331</v>
      </c>
      <c r="D15" s="99" t="s">
        <v>338</v>
      </c>
      <c r="E15" s="99" t="s">
        <v>330</v>
      </c>
      <c r="F15" s="99" t="s">
        <v>339</v>
      </c>
      <c r="H15" s="6" t="s">
        <v>221</v>
      </c>
      <c r="I15" s="6">
        <v>100</v>
      </c>
      <c r="J15" s="6">
        <v>100</v>
      </c>
      <c r="K15" s="45">
        <f>B18</f>
        <v>37.200000000000003</v>
      </c>
      <c r="L15" s="6">
        <f>I15*K15</f>
        <v>3720.0000000000005</v>
      </c>
      <c r="M15" s="6">
        <f>J15*K15</f>
        <v>3720.0000000000005</v>
      </c>
      <c r="N15" s="95"/>
      <c r="O15" s="95"/>
      <c r="P15" s="95"/>
      <c r="Q15" s="2"/>
      <c r="R15" s="2"/>
    </row>
    <row r="16" spans="1:18" ht="45" x14ac:dyDescent="0.25">
      <c r="A16" s="98" t="s">
        <v>337</v>
      </c>
      <c r="B16" s="97">
        <v>18.43</v>
      </c>
      <c r="C16" s="97">
        <v>12.82</v>
      </c>
      <c r="D16" s="97">
        <v>26.5</v>
      </c>
      <c r="E16" s="97">
        <v>20.079999999999998</v>
      </c>
      <c r="F16" s="97">
        <v>34.409999999999997</v>
      </c>
      <c r="H16" s="6" t="s">
        <v>351</v>
      </c>
      <c r="I16" s="6">
        <v>2.7</v>
      </c>
      <c r="J16" s="6">
        <v>4</v>
      </c>
      <c r="K16" s="45">
        <v>120</v>
      </c>
      <c r="L16" s="6">
        <f t="shared" ref="L16:L24" si="0">I16*K16</f>
        <v>324</v>
      </c>
      <c r="M16" s="6">
        <f t="shared" ref="M16:M24" si="1">J16*K16</f>
        <v>480</v>
      </c>
      <c r="N16" s="2"/>
      <c r="O16" s="2"/>
      <c r="P16" s="2"/>
      <c r="Q16" s="2"/>
      <c r="R16" s="2"/>
    </row>
    <row r="17" spans="1:18" x14ac:dyDescent="0.25">
      <c r="A17" s="98"/>
      <c r="B17" s="97"/>
      <c r="C17" s="97"/>
      <c r="D17" s="97"/>
      <c r="E17" s="97"/>
      <c r="F17" s="97"/>
      <c r="H17" s="440" t="s">
        <v>353</v>
      </c>
      <c r="I17" s="458"/>
      <c r="J17" s="458"/>
      <c r="K17" s="458"/>
      <c r="L17" s="458"/>
      <c r="M17" s="441"/>
      <c r="N17" s="2"/>
      <c r="O17" s="2"/>
      <c r="P17" s="2"/>
      <c r="Q17" s="2"/>
      <c r="R17" s="2"/>
    </row>
    <row r="18" spans="1:18" x14ac:dyDescent="0.25">
      <c r="A18" s="98" t="s">
        <v>343</v>
      </c>
      <c r="B18" s="97">
        <v>37.200000000000003</v>
      </c>
      <c r="C18" s="97">
        <v>37.200000000000003</v>
      </c>
      <c r="D18" s="97">
        <v>37.200000000000003</v>
      </c>
      <c r="E18" s="97">
        <v>37.200000000000003</v>
      </c>
      <c r="F18" s="97">
        <v>37.200000000000003</v>
      </c>
      <c r="H18" s="6" t="s">
        <v>360</v>
      </c>
      <c r="I18" s="6">
        <v>8.6999999999999993</v>
      </c>
      <c r="J18" s="6">
        <v>8.6999999999999993</v>
      </c>
      <c r="K18" s="45"/>
      <c r="L18" s="6"/>
      <c r="M18" s="6"/>
      <c r="N18" s="2"/>
      <c r="O18" s="2"/>
      <c r="P18" s="2"/>
      <c r="Q18" s="2"/>
      <c r="R18" s="2"/>
    </row>
    <row r="19" spans="1:18" x14ac:dyDescent="0.25">
      <c r="A19" s="98" t="s">
        <v>345</v>
      </c>
      <c r="B19" s="107">
        <f>B14/1000*B13/B16</f>
        <v>9.5200759631036358E-2</v>
      </c>
      <c r="C19" s="107">
        <f t="shared" ref="C19:F19" si="2">C14/1000*C13/C16</f>
        <v>1.1581903276131044E-2</v>
      </c>
      <c r="D19" s="107">
        <f t="shared" si="2"/>
        <v>5.313433962264151E-2</v>
      </c>
      <c r="E19" s="107">
        <f t="shared" si="2"/>
        <v>3.5533864541832667E-2</v>
      </c>
      <c r="F19" s="107">
        <f t="shared" si="2"/>
        <v>2.3225806451612905E-2</v>
      </c>
      <c r="G19" s="93"/>
      <c r="H19" s="6" t="s">
        <v>361</v>
      </c>
      <c r="I19" s="6">
        <v>5.5</v>
      </c>
      <c r="J19" s="6">
        <v>5.4</v>
      </c>
      <c r="K19" s="45"/>
      <c r="L19" s="6"/>
      <c r="M19" s="6"/>
      <c r="N19" s="2"/>
      <c r="O19" s="2"/>
      <c r="P19" s="2"/>
      <c r="Q19" s="2"/>
      <c r="R19" s="2"/>
    </row>
    <row r="20" spans="1:18" x14ac:dyDescent="0.25">
      <c r="A20" s="98" t="s">
        <v>342</v>
      </c>
      <c r="B20" s="106">
        <f>B13*B18/B16</f>
        <v>0.42387411828540428</v>
      </c>
      <c r="C20" s="106">
        <f>C13*C18/C16</f>
        <v>0.92854914196567873</v>
      </c>
      <c r="D20" s="106">
        <f>D13*D18/D16</f>
        <v>0.64573584905660386</v>
      </c>
      <c r="E20" s="106">
        <f>E13*E18/E16</f>
        <v>0.66693227091633478</v>
      </c>
      <c r="F20" s="106">
        <f>F13*F18/F16</f>
        <v>0.43243243243243257</v>
      </c>
      <c r="G20" s="93"/>
      <c r="H20" s="6" t="s">
        <v>362</v>
      </c>
      <c r="I20" s="6">
        <v>4.2</v>
      </c>
      <c r="J20" s="6">
        <v>4.2</v>
      </c>
      <c r="K20" s="45">
        <v>46.4</v>
      </c>
      <c r="L20" s="6">
        <f t="shared" si="0"/>
        <v>194.88</v>
      </c>
      <c r="M20" s="6">
        <f t="shared" si="1"/>
        <v>194.88</v>
      </c>
      <c r="N20" s="2"/>
      <c r="O20" s="2"/>
      <c r="P20" s="2"/>
      <c r="Q20" s="2"/>
      <c r="R20" s="2"/>
    </row>
    <row r="21" spans="1:18" x14ac:dyDescent="0.25">
      <c r="A21" s="90"/>
      <c r="B21" s="90"/>
      <c r="C21" s="90"/>
      <c r="D21" s="90"/>
      <c r="E21" s="90"/>
      <c r="F21" s="90"/>
      <c r="G21" s="91"/>
      <c r="H21" s="6" t="s">
        <v>348</v>
      </c>
      <c r="I21" s="6">
        <v>1.6</v>
      </c>
      <c r="J21" s="6">
        <v>6</v>
      </c>
      <c r="K21" s="45">
        <v>45.5</v>
      </c>
      <c r="L21" s="6">
        <f t="shared" si="0"/>
        <v>72.8</v>
      </c>
      <c r="M21" s="6">
        <f t="shared" si="1"/>
        <v>273</v>
      </c>
      <c r="N21" s="2"/>
      <c r="O21" s="2"/>
      <c r="P21" s="2"/>
      <c r="Q21" s="2"/>
      <c r="R21" s="2"/>
    </row>
    <row r="22" spans="1:18" ht="14.45" customHeight="1" x14ac:dyDescent="0.25">
      <c r="A22" s="425" t="s">
        <v>317</v>
      </c>
      <c r="B22" s="425"/>
      <c r="C22" s="425"/>
      <c r="D22" s="425"/>
      <c r="E22" s="92"/>
      <c r="H22" s="6" t="s">
        <v>363</v>
      </c>
      <c r="I22" s="6">
        <v>1.8</v>
      </c>
      <c r="J22" s="6">
        <v>7</v>
      </c>
      <c r="K22" s="45">
        <v>44.9</v>
      </c>
      <c r="L22" s="6">
        <f t="shared" si="0"/>
        <v>80.819999999999993</v>
      </c>
      <c r="M22" s="6">
        <f t="shared" si="1"/>
        <v>314.3</v>
      </c>
      <c r="N22" s="2"/>
      <c r="O22" s="2"/>
      <c r="P22" s="2"/>
      <c r="Q22" s="2"/>
      <c r="R22" s="2"/>
    </row>
    <row r="23" spans="1:18" x14ac:dyDescent="0.25">
      <c r="A23" s="472" t="s">
        <v>335</v>
      </c>
      <c r="B23" s="472"/>
      <c r="C23" s="472"/>
      <c r="D23" s="472"/>
      <c r="E23" s="90"/>
      <c r="H23" s="6" t="s">
        <v>364</v>
      </c>
      <c r="I23" s="6">
        <v>12.8</v>
      </c>
      <c r="J23" s="6">
        <v>49.4</v>
      </c>
      <c r="K23" s="45">
        <v>43.3</v>
      </c>
      <c r="L23" s="6">
        <f t="shared" si="0"/>
        <v>554.24</v>
      </c>
      <c r="M23" s="6">
        <f t="shared" si="1"/>
        <v>2139.02</v>
      </c>
      <c r="N23" s="2"/>
      <c r="O23" s="2"/>
      <c r="P23" s="2"/>
      <c r="Q23" s="2"/>
      <c r="R23" s="2"/>
    </row>
    <row r="24" spans="1:18" x14ac:dyDescent="0.25">
      <c r="A24" s="99" t="s">
        <v>218</v>
      </c>
      <c r="B24" s="97" t="s">
        <v>321</v>
      </c>
      <c r="C24" s="97" t="s">
        <v>316</v>
      </c>
      <c r="D24" s="98" t="s">
        <v>322</v>
      </c>
      <c r="E24" s="90"/>
      <c r="H24" s="6" t="s">
        <v>319</v>
      </c>
      <c r="I24" s="6">
        <v>68.099999999999994</v>
      </c>
      <c r="J24" s="6">
        <v>23.3</v>
      </c>
      <c r="K24" s="45">
        <v>43.56</v>
      </c>
      <c r="L24" s="6">
        <f t="shared" si="0"/>
        <v>2966.4359999999997</v>
      </c>
      <c r="M24" s="6">
        <f t="shared" si="1"/>
        <v>1014.9480000000001</v>
      </c>
      <c r="N24" s="2"/>
      <c r="O24" s="2"/>
      <c r="P24" s="2"/>
      <c r="Q24" s="2"/>
      <c r="R24" s="2"/>
    </row>
    <row r="25" spans="1:18" x14ac:dyDescent="0.25">
      <c r="A25" s="97" t="s">
        <v>219</v>
      </c>
      <c r="B25" s="97">
        <v>5.7</v>
      </c>
      <c r="C25" s="97">
        <f>B16</f>
        <v>18.43</v>
      </c>
      <c r="D25" s="98">
        <f>B25*0.453592*C25</f>
        <v>47.650293191999999</v>
      </c>
      <c r="E25" s="92"/>
      <c r="H25" s="440" t="s">
        <v>314</v>
      </c>
      <c r="I25" s="458"/>
      <c r="J25" s="458"/>
      <c r="K25" s="458"/>
      <c r="L25" s="458"/>
      <c r="M25" s="441"/>
      <c r="N25" s="13"/>
      <c r="O25" s="2"/>
      <c r="P25" s="2"/>
      <c r="Q25" s="2"/>
      <c r="R25" s="2"/>
    </row>
    <row r="26" spans="1:18" x14ac:dyDescent="0.25">
      <c r="A26" s="99" t="s">
        <v>220</v>
      </c>
      <c r="B26" s="97" t="s">
        <v>321</v>
      </c>
      <c r="C26" s="97"/>
      <c r="D26" s="98" t="s">
        <v>322</v>
      </c>
      <c r="E26" s="90"/>
      <c r="H26" s="6" t="s">
        <v>358</v>
      </c>
      <c r="I26" s="45"/>
      <c r="J26" s="78"/>
      <c r="K26" s="78"/>
      <c r="L26" s="108">
        <f>L16/L15</f>
        <v>8.7096774193548374E-2</v>
      </c>
      <c r="M26" s="108">
        <f>M16/M15</f>
        <v>0.12903225806451613</v>
      </c>
      <c r="N26" s="2"/>
      <c r="O26" s="2"/>
      <c r="P26" s="2"/>
      <c r="Q26" s="2"/>
      <c r="R26" s="2"/>
    </row>
    <row r="27" spans="1:18" x14ac:dyDescent="0.25">
      <c r="A27" s="97" t="s">
        <v>221</v>
      </c>
      <c r="B27" s="97">
        <v>1</v>
      </c>
      <c r="C27" s="97">
        <f>B18</f>
        <v>37.200000000000003</v>
      </c>
      <c r="D27" s="98">
        <f t="shared" ref="D27:D28" si="3">B27*0.453592*C27</f>
        <v>16.873622400000002</v>
      </c>
      <c r="E27" s="92"/>
      <c r="H27" s="6" t="s">
        <v>359</v>
      </c>
      <c r="I27" s="17"/>
      <c r="J27" s="78"/>
      <c r="K27" s="78"/>
      <c r="L27" s="108">
        <f>SUM(L20:L24)/SUM(L15:L16)</f>
        <v>0.95676953511374851</v>
      </c>
      <c r="M27" s="108">
        <f>SUM(M20:M24)/SUM(M15:M16)</f>
        <v>0.93717809523809525</v>
      </c>
      <c r="N27" s="2"/>
      <c r="O27" s="2"/>
      <c r="P27" s="2"/>
      <c r="Q27" s="2"/>
      <c r="R27" s="2"/>
    </row>
    <row r="28" spans="1:18" x14ac:dyDescent="0.25">
      <c r="A28" s="97" t="s">
        <v>222</v>
      </c>
      <c r="B28" s="97">
        <v>4.4800000000000004</v>
      </c>
      <c r="C28" s="97">
        <v>13.36</v>
      </c>
      <c r="D28" s="98">
        <f t="shared" si="3"/>
        <v>27.148751257600004</v>
      </c>
      <c r="E28" s="92"/>
      <c r="F28" s="92"/>
      <c r="G28" s="92"/>
      <c r="H28" s="92"/>
      <c r="I28" s="73"/>
      <c r="J28" s="73"/>
      <c r="K28" s="73"/>
    </row>
    <row r="29" spans="1:18" ht="14.45" customHeight="1" x14ac:dyDescent="0.25">
      <c r="A29" s="99" t="s">
        <v>311</v>
      </c>
      <c r="B29" s="97" t="s">
        <v>323</v>
      </c>
      <c r="C29" s="97"/>
      <c r="D29" s="98" t="s">
        <v>322</v>
      </c>
      <c r="E29" s="92"/>
      <c r="F29" s="92"/>
      <c r="G29" s="92"/>
      <c r="H29" s="439" t="s">
        <v>365</v>
      </c>
      <c r="I29" s="439"/>
      <c r="J29" s="439"/>
      <c r="K29" s="114"/>
      <c r="L29" s="439" t="s">
        <v>368</v>
      </c>
      <c r="M29" s="439"/>
      <c r="N29" s="114"/>
    </row>
    <row r="30" spans="1:18" ht="30" x14ac:dyDescent="0.25">
      <c r="A30" s="97" t="s">
        <v>312</v>
      </c>
      <c r="B30" s="97">
        <v>551</v>
      </c>
      <c r="C30" s="97"/>
      <c r="D30" s="98">
        <f>B30*0.00105587</f>
        <v>0.58178436999999994</v>
      </c>
      <c r="E30" s="92"/>
      <c r="F30" s="92"/>
      <c r="G30" s="92"/>
      <c r="H30" s="98" t="s">
        <v>460</v>
      </c>
      <c r="I30" s="61" t="s">
        <v>366</v>
      </c>
      <c r="J30" s="61" t="s">
        <v>367</v>
      </c>
      <c r="K30" s="115"/>
      <c r="L30" s="61" t="s">
        <v>367</v>
      </c>
      <c r="M30" s="86">
        <f>0.92</f>
        <v>0.92</v>
      </c>
    </row>
    <row r="31" spans="1:18" x14ac:dyDescent="0.25">
      <c r="A31" s="97" t="s">
        <v>313</v>
      </c>
      <c r="B31" s="97">
        <v>5134</v>
      </c>
      <c r="C31" s="97"/>
      <c r="D31" s="98">
        <f>B31*0.00105587</f>
        <v>5.4208365799999996</v>
      </c>
      <c r="E31" s="92"/>
      <c r="F31" s="92"/>
      <c r="G31" s="92"/>
      <c r="H31" s="98">
        <v>21.8</v>
      </c>
      <c r="I31" s="98">
        <f>K15</f>
        <v>37.200000000000003</v>
      </c>
      <c r="J31" s="117">
        <f>H31/I31</f>
        <v>0.58602150537634401</v>
      </c>
      <c r="K31" s="116"/>
      <c r="L31" s="77"/>
    </row>
    <row r="32" spans="1:18" x14ac:dyDescent="0.25">
      <c r="A32" s="97" t="s">
        <v>223</v>
      </c>
      <c r="B32" s="97">
        <v>182</v>
      </c>
      <c r="C32" s="97"/>
      <c r="D32" s="98">
        <f>B32*0.00105587</f>
        <v>0.19216833999999999</v>
      </c>
      <c r="E32" s="92"/>
      <c r="F32" s="92"/>
      <c r="G32" s="92"/>
      <c r="H32" s="96"/>
      <c r="I32" s="96"/>
      <c r="J32" s="111"/>
      <c r="K32" s="112"/>
      <c r="L32" s="113"/>
    </row>
    <row r="33" spans="1:16" x14ac:dyDescent="0.25">
      <c r="A33" s="99" t="s">
        <v>314</v>
      </c>
      <c r="B33" s="125"/>
      <c r="C33" s="125"/>
      <c r="D33" s="125"/>
      <c r="E33" s="92"/>
      <c r="F33" s="92"/>
      <c r="G33" s="92"/>
      <c r="H33" s="425" t="s">
        <v>369</v>
      </c>
      <c r="I33" s="425"/>
      <c r="J33" s="425"/>
      <c r="K33" s="425"/>
      <c r="L33" s="425"/>
      <c r="M33" s="425"/>
      <c r="N33" s="425"/>
      <c r="O33" s="425"/>
      <c r="P33" s="13"/>
    </row>
    <row r="34" spans="1:16" x14ac:dyDescent="0.25">
      <c r="A34" s="97" t="s">
        <v>315</v>
      </c>
      <c r="B34" s="97"/>
      <c r="C34" s="97"/>
      <c r="D34" s="126">
        <f>SUM(D27:D28)/SUM(D25,D30:D32)</f>
        <v>0.8175746350154881</v>
      </c>
      <c r="E34" s="92"/>
      <c r="F34" s="92"/>
      <c r="G34" s="92"/>
      <c r="H34" s="466" t="s">
        <v>227</v>
      </c>
      <c r="I34" s="466"/>
      <c r="J34" s="15" t="s">
        <v>219</v>
      </c>
      <c r="K34" s="15" t="s">
        <v>331</v>
      </c>
      <c r="L34" s="15" t="s">
        <v>338</v>
      </c>
      <c r="M34" s="15" t="s">
        <v>330</v>
      </c>
      <c r="N34" s="15" t="s">
        <v>339</v>
      </c>
      <c r="O34" s="14"/>
    </row>
    <row r="35" spans="1:16" x14ac:dyDescent="0.25">
      <c r="A35" s="98" t="s">
        <v>345</v>
      </c>
      <c r="B35" s="97"/>
      <c r="C35" s="97"/>
      <c r="D35" s="126">
        <f>SUM(D30:D32)/D25</f>
        <v>0.13000527121709385</v>
      </c>
      <c r="E35" s="92"/>
      <c r="F35" s="92"/>
      <c r="G35" s="92"/>
      <c r="H35" s="463" t="s">
        <v>341</v>
      </c>
      <c r="I35" s="463"/>
      <c r="J35" s="463"/>
      <c r="K35" s="463"/>
      <c r="L35" s="463"/>
      <c r="M35" s="463"/>
      <c r="N35" s="463"/>
      <c r="O35" s="14"/>
    </row>
    <row r="36" spans="1:16" x14ac:dyDescent="0.25">
      <c r="A36" s="97" t="s">
        <v>318</v>
      </c>
      <c r="B36" s="97"/>
      <c r="C36" s="97"/>
      <c r="D36" s="126">
        <f>D27/D25</f>
        <v>0.35411371619499105</v>
      </c>
      <c r="E36" s="92"/>
      <c r="F36" s="92"/>
      <c r="G36" s="92"/>
      <c r="H36" s="72" t="s">
        <v>379</v>
      </c>
      <c r="I36" s="72" t="s">
        <v>384</v>
      </c>
      <c r="J36" s="72">
        <v>0.74</v>
      </c>
      <c r="K36" s="72">
        <v>0.74</v>
      </c>
      <c r="L36" s="72">
        <v>0.76</v>
      </c>
      <c r="M36" s="72">
        <v>0.74</v>
      </c>
      <c r="N36" s="72">
        <v>0.75</v>
      </c>
      <c r="O36" s="14"/>
    </row>
    <row r="37" spans="1:16" x14ac:dyDescent="0.25">
      <c r="A37" s="469" t="s">
        <v>320</v>
      </c>
      <c r="B37" s="470"/>
      <c r="C37" s="470"/>
      <c r="D37" s="471"/>
      <c r="E37" s="92"/>
      <c r="F37" s="92"/>
      <c r="G37" s="92"/>
      <c r="H37" s="72" t="s">
        <v>374</v>
      </c>
      <c r="I37" s="72" t="s">
        <v>385</v>
      </c>
      <c r="J37" s="72">
        <v>4447</v>
      </c>
      <c r="K37" s="72">
        <v>3536</v>
      </c>
      <c r="L37" s="72">
        <v>4233</v>
      </c>
      <c r="M37" s="72">
        <v>3990</v>
      </c>
      <c r="N37" s="72">
        <v>4734</v>
      </c>
      <c r="O37" s="14"/>
    </row>
    <row r="38" spans="1:16" x14ac:dyDescent="0.25">
      <c r="A38" s="99" t="s">
        <v>218</v>
      </c>
      <c r="B38" s="97" t="s">
        <v>321</v>
      </c>
      <c r="C38" s="97" t="s">
        <v>316</v>
      </c>
      <c r="D38" s="98" t="s">
        <v>322</v>
      </c>
      <c r="E38" s="92"/>
      <c r="F38" s="92"/>
      <c r="G38" s="92"/>
      <c r="H38" s="72" t="s">
        <v>375</v>
      </c>
      <c r="I38" s="72" t="s">
        <v>386</v>
      </c>
      <c r="J38" s="72">
        <v>7782</v>
      </c>
      <c r="K38" s="72">
        <v>7828</v>
      </c>
      <c r="L38" s="72">
        <v>7456</v>
      </c>
      <c r="M38" s="72">
        <v>7650</v>
      </c>
      <c r="N38" s="72">
        <v>7818</v>
      </c>
      <c r="O38" s="14"/>
    </row>
    <row r="39" spans="1:16" x14ac:dyDescent="0.25">
      <c r="A39" s="97" t="s">
        <v>224</v>
      </c>
      <c r="B39" s="97">
        <v>4.5</v>
      </c>
      <c r="C39" s="98">
        <f>C16</f>
        <v>12.82</v>
      </c>
      <c r="D39" s="98">
        <f>B39*0.453592*C39</f>
        <v>26.167722480000002</v>
      </c>
      <c r="E39" s="92"/>
      <c r="F39" s="92"/>
      <c r="G39" s="92"/>
      <c r="H39" s="72" t="s">
        <v>376</v>
      </c>
      <c r="I39" s="72" t="s">
        <v>387</v>
      </c>
      <c r="J39" s="72">
        <v>61</v>
      </c>
      <c r="K39" s="72">
        <v>61</v>
      </c>
      <c r="L39" s="72">
        <v>58</v>
      </c>
      <c r="M39" s="72">
        <v>60</v>
      </c>
      <c r="N39" s="72">
        <v>61</v>
      </c>
      <c r="O39" s="14"/>
    </row>
    <row r="40" spans="1:16" x14ac:dyDescent="0.25">
      <c r="A40" s="99" t="s">
        <v>220</v>
      </c>
      <c r="B40" s="97" t="s">
        <v>321</v>
      </c>
      <c r="C40" s="98"/>
      <c r="D40" s="98" t="s">
        <v>322</v>
      </c>
      <c r="E40" s="92"/>
      <c r="F40" s="92"/>
      <c r="G40" s="92"/>
      <c r="H40" s="72" t="s">
        <v>377</v>
      </c>
      <c r="I40" s="72" t="s">
        <v>388</v>
      </c>
      <c r="J40" s="72">
        <v>4575</v>
      </c>
      <c r="K40" s="72">
        <v>4077</v>
      </c>
      <c r="L40" s="72">
        <v>3512</v>
      </c>
      <c r="M40" s="72">
        <v>4548</v>
      </c>
      <c r="N40" s="72">
        <v>4444</v>
      </c>
      <c r="O40" s="14"/>
    </row>
    <row r="41" spans="1:16" x14ac:dyDescent="0.25">
      <c r="A41" s="97" t="s">
        <v>225</v>
      </c>
      <c r="B41" s="97">
        <v>1</v>
      </c>
      <c r="C41" s="98">
        <f>C18</f>
        <v>37.200000000000003</v>
      </c>
      <c r="D41" s="98">
        <f t="shared" ref="D41:D42" si="4">B41*0.453592*C41</f>
        <v>16.873622400000002</v>
      </c>
      <c r="E41" s="92"/>
      <c r="F41" s="92"/>
      <c r="G41" s="92"/>
      <c r="H41" s="72" t="s">
        <v>378</v>
      </c>
      <c r="I41" s="72" t="s">
        <v>389</v>
      </c>
      <c r="J41" s="72">
        <v>3418</v>
      </c>
      <c r="K41" s="72">
        <v>3775</v>
      </c>
      <c r="L41" s="72">
        <v>4226</v>
      </c>
      <c r="M41" s="72">
        <v>3445</v>
      </c>
      <c r="N41" s="72">
        <v>3359</v>
      </c>
      <c r="O41" s="14"/>
    </row>
    <row r="42" spans="1:16" x14ac:dyDescent="0.25">
      <c r="A42" s="97" t="s">
        <v>226</v>
      </c>
      <c r="B42" s="97">
        <v>0.11</v>
      </c>
      <c r="C42" s="124">
        <v>12.82</v>
      </c>
      <c r="D42" s="98">
        <f t="shared" si="4"/>
        <v>0.63965543840000005</v>
      </c>
      <c r="E42" s="92"/>
      <c r="F42" s="92"/>
      <c r="G42" s="92"/>
      <c r="H42" s="463" t="s">
        <v>380</v>
      </c>
      <c r="I42" s="463"/>
      <c r="J42" s="463"/>
      <c r="K42" s="463"/>
      <c r="L42" s="463"/>
      <c r="M42" s="463"/>
      <c r="N42" s="463"/>
      <c r="O42" s="70" t="s">
        <v>390</v>
      </c>
    </row>
    <row r="43" spans="1:16" x14ac:dyDescent="0.25">
      <c r="A43" s="99" t="s">
        <v>311</v>
      </c>
      <c r="B43" s="97" t="s">
        <v>323</v>
      </c>
      <c r="C43" s="98"/>
      <c r="D43" s="98" t="s">
        <v>322</v>
      </c>
      <c r="E43" s="92"/>
      <c r="F43" s="92"/>
      <c r="G43" s="92"/>
      <c r="H43" s="79" t="s">
        <v>225</v>
      </c>
      <c r="I43" s="79" t="s">
        <v>381</v>
      </c>
      <c r="J43" s="79">
        <v>1</v>
      </c>
      <c r="K43" s="79">
        <v>1</v>
      </c>
      <c r="L43" s="79">
        <v>1</v>
      </c>
      <c r="M43" s="79">
        <v>1</v>
      </c>
      <c r="N43" s="79">
        <v>1</v>
      </c>
      <c r="O43" s="79">
        <v>37.200000000000003</v>
      </c>
    </row>
    <row r="44" spans="1:16" x14ac:dyDescent="0.25">
      <c r="A44" s="97" t="s">
        <v>312</v>
      </c>
      <c r="B44" s="97">
        <v>29.7</v>
      </c>
      <c r="C44" s="98"/>
      <c r="D44" s="98">
        <f>B44*0.00105587</f>
        <v>3.1359339E-2</v>
      </c>
      <c r="E44" s="92"/>
      <c r="F44" s="92"/>
      <c r="G44" s="92"/>
      <c r="H44" s="79" t="s">
        <v>351</v>
      </c>
      <c r="I44" s="79" t="s">
        <v>381</v>
      </c>
      <c r="J44" s="71">
        <f>J37*J46/$O$46/1000</f>
        <v>8.8461827956989245E-2</v>
      </c>
      <c r="K44" s="71">
        <f t="shared" ref="K44:N44" si="5">K37*K46/$O$46/1000</f>
        <v>7.0339784946236564E-2</v>
      </c>
      <c r="L44" s="71">
        <f t="shared" si="5"/>
        <v>8.6480645161290309E-2</v>
      </c>
      <c r="M44" s="71">
        <f t="shared" si="5"/>
        <v>7.9370967741935486E-2</v>
      </c>
      <c r="N44" s="71">
        <f t="shared" si="5"/>
        <v>9.5443548387096774E-2</v>
      </c>
      <c r="O44" s="79"/>
    </row>
    <row r="45" spans="1:16" x14ac:dyDescent="0.25">
      <c r="A45" s="97" t="s">
        <v>319</v>
      </c>
      <c r="B45" s="97">
        <v>169.8</v>
      </c>
      <c r="C45" s="98"/>
      <c r="D45" s="98">
        <f>B45*0.00105587</f>
        <v>0.17928672600000001</v>
      </c>
      <c r="E45" s="92"/>
      <c r="F45" s="92"/>
      <c r="G45" s="92"/>
      <c r="H45" s="79" t="s">
        <v>313</v>
      </c>
      <c r="I45" s="79" t="s">
        <v>381</v>
      </c>
      <c r="J45" s="71">
        <f>J38*J46/$O$46/1000</f>
        <v>0.15480322580645159</v>
      </c>
      <c r="K45" s="71">
        <f t="shared" ref="K45:N45" si="6">K38*K46/$O$46/1000</f>
        <v>0.15571827956989245</v>
      </c>
      <c r="L45" s="71">
        <f t="shared" si="6"/>
        <v>0.1523268817204301</v>
      </c>
      <c r="M45" s="71">
        <f t="shared" si="6"/>
        <v>0.15217741935483869</v>
      </c>
      <c r="N45" s="71">
        <f t="shared" si="6"/>
        <v>0.15762096774193549</v>
      </c>
      <c r="O45" s="70"/>
    </row>
    <row r="46" spans="1:16" x14ac:dyDescent="0.25">
      <c r="A46" s="99" t="s">
        <v>314</v>
      </c>
      <c r="B46" s="125"/>
      <c r="C46" s="125"/>
      <c r="D46" s="125"/>
      <c r="E46" s="92"/>
      <c r="F46" s="92"/>
      <c r="G46" s="92"/>
      <c r="H46" s="79" t="s">
        <v>382</v>
      </c>
      <c r="I46" s="79" t="s">
        <v>381</v>
      </c>
      <c r="J46" s="71">
        <f>$O$46*J36*J43/$O$43</f>
        <v>0.87725806451612898</v>
      </c>
      <c r="K46" s="71">
        <f t="shared" ref="K46:N46" si="7">$O$46*K36*K43/$O$43</f>
        <v>0.87725806451612898</v>
      </c>
      <c r="L46" s="71">
        <f t="shared" si="7"/>
        <v>0.90096774193548379</v>
      </c>
      <c r="M46" s="71">
        <f t="shared" si="7"/>
        <v>0.87725806451612898</v>
      </c>
      <c r="N46" s="71">
        <f t="shared" si="7"/>
        <v>0.88911290322580649</v>
      </c>
      <c r="O46" s="70">
        <v>44.1</v>
      </c>
    </row>
    <row r="47" spans="1:16" x14ac:dyDescent="0.25">
      <c r="A47" s="97" t="s">
        <v>315</v>
      </c>
      <c r="B47" s="97"/>
      <c r="C47" s="97"/>
      <c r="D47" s="126">
        <f>SUM(D41:D42)/SUM(D39,D44:D45)</f>
        <v>0.66392573932399723</v>
      </c>
      <c r="E47" s="92"/>
      <c r="F47" s="92"/>
      <c r="G47" s="92"/>
      <c r="H47" s="79" t="s">
        <v>383</v>
      </c>
      <c r="I47" s="79" t="s">
        <v>381</v>
      </c>
      <c r="J47" s="71">
        <f>J40*J46/$O$46/1000</f>
        <v>9.1008064516129028E-2</v>
      </c>
      <c r="K47" s="71">
        <f t="shared" ref="K47:N47" si="8">K40*K46/$O$46/1000</f>
        <v>8.1101612903225803E-2</v>
      </c>
      <c r="L47" s="71">
        <f t="shared" si="8"/>
        <v>7.1750537634408598E-2</v>
      </c>
      <c r="M47" s="71">
        <f t="shared" si="8"/>
        <v>9.0470967741935485E-2</v>
      </c>
      <c r="N47" s="71">
        <f t="shared" si="8"/>
        <v>8.959677419354839E-2</v>
      </c>
      <c r="O47" s="79"/>
    </row>
    <row r="48" spans="1:16" x14ac:dyDescent="0.25">
      <c r="A48" s="98" t="s">
        <v>345</v>
      </c>
      <c r="B48" s="97"/>
      <c r="C48" s="97"/>
      <c r="D48" s="126">
        <f>SUM(D44:D45)/D39</f>
        <v>8.0498432815846645E-3</v>
      </c>
      <c r="E48" s="92"/>
      <c r="F48" s="92"/>
      <c r="G48" s="92"/>
      <c r="H48" s="79" t="s">
        <v>363</v>
      </c>
      <c r="I48" s="79" t="s">
        <v>381</v>
      </c>
      <c r="J48" s="71">
        <f>J41*J46/$O$46/1000</f>
        <v>6.7992473118279564E-2</v>
      </c>
      <c r="K48" s="71">
        <f t="shared" ref="K48:N48" si="9">K41*K46/$O$46/1000</f>
        <v>7.5094086021505357E-2</v>
      </c>
      <c r="L48" s="71">
        <f t="shared" si="9"/>
        <v>8.6337634408602149E-2</v>
      </c>
      <c r="M48" s="71">
        <f t="shared" si="9"/>
        <v>6.8529569892473122E-2</v>
      </c>
      <c r="N48" s="71">
        <f t="shared" si="9"/>
        <v>6.7721774193548384E-2</v>
      </c>
      <c r="O48" s="79"/>
    </row>
    <row r="49" spans="1:15" x14ac:dyDescent="0.25">
      <c r="A49" s="97" t="s">
        <v>318</v>
      </c>
      <c r="B49" s="97"/>
      <c r="C49" s="97"/>
      <c r="D49" s="126">
        <f>D41/D39</f>
        <v>0.64482579303172127</v>
      </c>
      <c r="E49" s="92"/>
      <c r="F49" s="92"/>
      <c r="G49" s="92"/>
      <c r="H49" s="463" t="s">
        <v>314</v>
      </c>
      <c r="I49" s="463"/>
      <c r="J49" s="463"/>
      <c r="K49" s="463"/>
      <c r="L49" s="463"/>
      <c r="M49" s="463"/>
      <c r="N49" s="463"/>
      <c r="O49" s="14"/>
    </row>
    <row r="50" spans="1:15" x14ac:dyDescent="0.25">
      <c r="A50" s="472" t="s">
        <v>327</v>
      </c>
      <c r="B50" s="472"/>
      <c r="C50" s="472"/>
      <c r="D50" s="472"/>
      <c r="E50" s="92"/>
      <c r="F50" s="92"/>
      <c r="G50" s="92"/>
      <c r="H50" s="457" t="s">
        <v>358</v>
      </c>
      <c r="I50" s="457"/>
      <c r="J50" s="86">
        <f>J44/J43</f>
        <v>8.8461827956989245E-2</v>
      </c>
      <c r="K50" s="86">
        <f t="shared" ref="K50:N50" si="10">K44/K43</f>
        <v>7.0339784946236564E-2</v>
      </c>
      <c r="L50" s="86">
        <f t="shared" si="10"/>
        <v>8.6480645161290309E-2</v>
      </c>
      <c r="M50" s="86">
        <f t="shared" si="10"/>
        <v>7.9370967741935486E-2</v>
      </c>
      <c r="N50" s="86">
        <f t="shared" si="10"/>
        <v>9.5443548387096774E-2</v>
      </c>
      <c r="O50" s="14"/>
    </row>
    <row r="51" spans="1:15" x14ac:dyDescent="0.25">
      <c r="A51" s="127" t="s">
        <v>326</v>
      </c>
      <c r="B51" s="476">
        <v>0.35</v>
      </c>
      <c r="C51" s="476"/>
      <c r="D51" s="476"/>
      <c r="E51" s="91"/>
      <c r="F51" s="92"/>
      <c r="G51" s="92"/>
      <c r="H51" s="457" t="s">
        <v>391</v>
      </c>
      <c r="I51" s="457"/>
      <c r="J51" s="86">
        <f>J45/J43</f>
        <v>0.15480322580645159</v>
      </c>
      <c r="K51" s="86">
        <f t="shared" ref="K51:N51" si="11">K45/K43</f>
        <v>0.15571827956989245</v>
      </c>
      <c r="L51" s="86">
        <f t="shared" si="11"/>
        <v>0.1523268817204301</v>
      </c>
      <c r="M51" s="86">
        <f t="shared" si="11"/>
        <v>0.15217741935483869</v>
      </c>
      <c r="N51" s="86">
        <f t="shared" si="11"/>
        <v>0.15762096774193549</v>
      </c>
      <c r="O51" s="14"/>
    </row>
    <row r="52" spans="1:15" x14ac:dyDescent="0.25">
      <c r="A52" s="99" t="s">
        <v>218</v>
      </c>
      <c r="B52" s="97" t="s">
        <v>321</v>
      </c>
      <c r="C52" s="97" t="s">
        <v>316</v>
      </c>
      <c r="D52" s="98" t="s">
        <v>322</v>
      </c>
      <c r="E52" s="91"/>
      <c r="F52" s="92"/>
      <c r="G52" s="92"/>
      <c r="H52" s="457" t="s">
        <v>315</v>
      </c>
      <c r="I52" s="457"/>
      <c r="J52" s="86">
        <f>SUM(J46:J48)/SUM(J43:J45)</f>
        <v>0.83349773164919105</v>
      </c>
      <c r="K52" s="86">
        <f t="shared" ref="K52:N52" si="12">SUM(K46:K48)/SUM(K43:K45)</f>
        <v>0.84290768386138271</v>
      </c>
      <c r="L52" s="86">
        <f t="shared" si="12"/>
        <v>0.85489948276655214</v>
      </c>
      <c r="M52" s="86">
        <f t="shared" si="12"/>
        <v>0.84142743639443307</v>
      </c>
      <c r="N52" s="86">
        <f t="shared" si="12"/>
        <v>0.83509782468786187</v>
      </c>
      <c r="O52" s="14"/>
    </row>
    <row r="53" spans="1:15" x14ac:dyDescent="0.25">
      <c r="A53" s="97" t="s">
        <v>328</v>
      </c>
      <c r="B53" s="97">
        <v>1</v>
      </c>
      <c r="C53" s="98">
        <f>E16</f>
        <v>20.079999999999998</v>
      </c>
      <c r="D53" s="98">
        <f>B53*0.453592*C53</f>
        <v>9.1081273599999992</v>
      </c>
      <c r="E53" s="92"/>
      <c r="F53" s="92"/>
      <c r="G53" s="92"/>
      <c r="H53" s="457" t="s">
        <v>359</v>
      </c>
      <c r="I53" s="457"/>
      <c r="J53" s="86">
        <f>J46/J43</f>
        <v>0.87725806451612898</v>
      </c>
      <c r="K53" s="86">
        <f t="shared" ref="K53:N53" si="13">K46/K43</f>
        <v>0.87725806451612898</v>
      </c>
      <c r="L53" s="86">
        <f t="shared" si="13"/>
        <v>0.90096774193548379</v>
      </c>
      <c r="M53" s="86">
        <f t="shared" si="13"/>
        <v>0.87725806451612898</v>
      </c>
      <c r="N53" s="86">
        <f t="shared" si="13"/>
        <v>0.88911290322580649</v>
      </c>
      <c r="O53" s="14"/>
    </row>
    <row r="54" spans="1:15" x14ac:dyDescent="0.25">
      <c r="A54" s="99" t="s">
        <v>220</v>
      </c>
      <c r="B54" s="97" t="s">
        <v>321</v>
      </c>
      <c r="C54" s="98"/>
      <c r="D54" s="98" t="s">
        <v>322</v>
      </c>
      <c r="E54" s="91"/>
      <c r="F54" s="92"/>
      <c r="G54" s="92"/>
    </row>
    <row r="55" spans="1:15" x14ac:dyDescent="0.25">
      <c r="A55" s="97" t="s">
        <v>225</v>
      </c>
      <c r="B55" s="128">
        <f>B53*B51</f>
        <v>0.35</v>
      </c>
      <c r="C55" s="129">
        <f>E18</f>
        <v>37.200000000000003</v>
      </c>
      <c r="D55" s="98">
        <f t="shared" ref="D55" si="14">B55*0.453592*C55</f>
        <v>5.9057678400000002</v>
      </c>
      <c r="E55" s="92"/>
      <c r="F55" s="92"/>
      <c r="G55" s="92"/>
      <c r="H55" s="425" t="s">
        <v>370</v>
      </c>
      <c r="I55" s="425"/>
      <c r="J55" s="425"/>
      <c r="K55" s="425"/>
      <c r="L55" s="425"/>
    </row>
    <row r="56" spans="1:15" x14ac:dyDescent="0.25">
      <c r="A56" s="99" t="s">
        <v>314</v>
      </c>
      <c r="B56" s="19"/>
      <c r="C56" s="19"/>
      <c r="D56" s="19"/>
      <c r="E56" s="91"/>
      <c r="F56" s="92"/>
      <c r="G56" s="92"/>
      <c r="H56" s="85" t="s">
        <v>251</v>
      </c>
      <c r="I56" s="85" t="s">
        <v>283</v>
      </c>
      <c r="J56" s="85" t="s">
        <v>392</v>
      </c>
      <c r="K56" s="85" t="s">
        <v>285</v>
      </c>
      <c r="L56" s="71"/>
    </row>
    <row r="57" spans="1:15" x14ac:dyDescent="0.25">
      <c r="A57" s="97" t="s">
        <v>318</v>
      </c>
      <c r="B57" s="19"/>
      <c r="C57" s="19"/>
      <c r="D57" s="101">
        <f>D55/D53</f>
        <v>0.64840637450199212</v>
      </c>
      <c r="E57" s="91"/>
      <c r="F57" s="92"/>
      <c r="G57" s="92"/>
      <c r="H57" s="447" t="s">
        <v>341</v>
      </c>
      <c r="I57" s="447"/>
      <c r="J57" s="447"/>
      <c r="K57" s="447"/>
      <c r="L57" s="71"/>
    </row>
    <row r="58" spans="1:15" x14ac:dyDescent="0.25">
      <c r="A58" s="472" t="s">
        <v>325</v>
      </c>
      <c r="B58" s="472"/>
      <c r="C58" s="472"/>
      <c r="D58" s="472"/>
      <c r="E58" s="92"/>
      <c r="F58" s="92"/>
      <c r="G58" s="92"/>
      <c r="H58" s="79" t="s">
        <v>393</v>
      </c>
      <c r="I58" s="79">
        <v>100</v>
      </c>
      <c r="J58" s="79">
        <v>100</v>
      </c>
      <c r="K58" s="79">
        <v>100</v>
      </c>
      <c r="L58" s="71"/>
    </row>
    <row r="59" spans="1:15" x14ac:dyDescent="0.25">
      <c r="A59" s="97" t="s">
        <v>324</v>
      </c>
      <c r="B59" s="473">
        <v>0.44</v>
      </c>
      <c r="C59" s="474"/>
      <c r="D59" s="475"/>
      <c r="E59" s="92"/>
      <c r="F59" s="92"/>
      <c r="G59" s="92"/>
      <c r="H59" s="79" t="s">
        <v>394</v>
      </c>
      <c r="I59" s="79">
        <v>2.15</v>
      </c>
      <c r="J59" s="79">
        <v>3.38</v>
      </c>
      <c r="K59" s="79">
        <v>4.4800000000000004</v>
      </c>
      <c r="L59" s="71"/>
    </row>
    <row r="60" spans="1:15" x14ac:dyDescent="0.25">
      <c r="A60" s="99" t="s">
        <v>218</v>
      </c>
      <c r="B60" s="97" t="s">
        <v>321</v>
      </c>
      <c r="C60" s="97" t="s">
        <v>316</v>
      </c>
      <c r="D60" s="98" t="s">
        <v>322</v>
      </c>
      <c r="E60" s="92"/>
      <c r="F60" s="92"/>
      <c r="G60" s="92"/>
      <c r="H60" s="79" t="s">
        <v>395</v>
      </c>
      <c r="I60" s="79">
        <v>6364</v>
      </c>
      <c r="J60" s="79">
        <v>8330</v>
      </c>
      <c r="K60" s="79">
        <v>10529</v>
      </c>
      <c r="L60" s="71"/>
    </row>
    <row r="61" spans="1:15" x14ac:dyDescent="0.25">
      <c r="A61" s="97" t="s">
        <v>329</v>
      </c>
      <c r="B61" s="97">
        <v>1</v>
      </c>
      <c r="C61" s="98">
        <f>D16</f>
        <v>26.5</v>
      </c>
      <c r="D61" s="98">
        <f>B61*0.453592*C61</f>
        <v>12.020187999999999</v>
      </c>
      <c r="E61" s="102"/>
      <c r="F61" s="92"/>
      <c r="G61" s="92"/>
      <c r="H61" s="79" t="s">
        <v>396</v>
      </c>
      <c r="I61" s="79">
        <v>9845</v>
      </c>
      <c r="J61" s="79">
        <v>10740</v>
      </c>
      <c r="K61" s="79">
        <v>11635</v>
      </c>
      <c r="L61" s="71"/>
    </row>
    <row r="62" spans="1:15" x14ac:dyDescent="0.25">
      <c r="A62" s="99" t="s">
        <v>220</v>
      </c>
      <c r="B62" s="97" t="s">
        <v>321</v>
      </c>
      <c r="C62" s="98"/>
      <c r="D62" s="98" t="s">
        <v>322</v>
      </c>
      <c r="E62" s="100"/>
      <c r="F62" s="92"/>
      <c r="G62" s="92"/>
      <c r="H62" s="79" t="s">
        <v>402</v>
      </c>
      <c r="I62" s="79">
        <v>57.8</v>
      </c>
      <c r="J62" s="79">
        <v>58.7</v>
      </c>
      <c r="K62" s="79">
        <v>59.9</v>
      </c>
      <c r="L62" s="71"/>
    </row>
    <row r="63" spans="1:15" x14ac:dyDescent="0.25">
      <c r="A63" s="97" t="s">
        <v>225</v>
      </c>
      <c r="B63" s="97">
        <f>B61*B59</f>
        <v>0.44</v>
      </c>
      <c r="C63" s="98">
        <f>D18</f>
        <v>37.200000000000003</v>
      </c>
      <c r="D63" s="98">
        <f>B63*0.453592*C63</f>
        <v>7.4243938560000009</v>
      </c>
      <c r="E63" s="92"/>
      <c r="F63" s="94"/>
      <c r="G63" s="94"/>
      <c r="H63" s="79" t="s">
        <v>403</v>
      </c>
      <c r="I63" s="79">
        <v>25.8</v>
      </c>
      <c r="J63" s="79">
        <v>26.2</v>
      </c>
      <c r="K63" s="79">
        <v>26.8</v>
      </c>
      <c r="L63" s="71"/>
    </row>
    <row r="64" spans="1:15" x14ac:dyDescent="0.25">
      <c r="A64" s="99" t="s">
        <v>314</v>
      </c>
      <c r="B64" s="19"/>
      <c r="C64" s="19"/>
      <c r="D64" s="19"/>
      <c r="E64" s="94"/>
      <c r="F64" s="94"/>
      <c r="G64" s="94"/>
      <c r="H64" s="79" t="s">
        <v>404</v>
      </c>
      <c r="I64" s="79">
        <v>2</v>
      </c>
      <c r="J64" s="79">
        <v>4.8</v>
      </c>
      <c r="K64" s="79">
        <v>5</v>
      </c>
      <c r="L64" s="71"/>
    </row>
    <row r="65" spans="1:12" x14ac:dyDescent="0.25">
      <c r="A65" s="97" t="s">
        <v>318</v>
      </c>
      <c r="B65" s="19"/>
      <c r="C65" s="19"/>
      <c r="D65" s="101">
        <f>D63/D61</f>
        <v>0.61766037735849066</v>
      </c>
      <c r="E65" s="94"/>
      <c r="F65" s="94"/>
      <c r="G65" s="94"/>
      <c r="H65" s="447" t="s">
        <v>380</v>
      </c>
      <c r="I65" s="447"/>
      <c r="J65" s="447"/>
      <c r="K65" s="447"/>
      <c r="L65" s="71" t="s">
        <v>316</v>
      </c>
    </row>
    <row r="66" spans="1:12" ht="15" customHeight="1" x14ac:dyDescent="0.25">
      <c r="A66" s="94"/>
      <c r="B66" s="94"/>
      <c r="C66" s="94"/>
      <c r="D66" s="94"/>
      <c r="E66" s="94"/>
      <c r="F66" s="94"/>
      <c r="G66" s="94"/>
      <c r="H66" s="79" t="s">
        <v>397</v>
      </c>
      <c r="I66" s="79">
        <f>I58*0.453592*$L$66</f>
        <v>1687.3622400000002</v>
      </c>
      <c r="J66" s="79">
        <f t="shared" ref="J66:K66" si="15">J58*0.453592*$L$66</f>
        <v>1687.3622400000002</v>
      </c>
      <c r="K66" s="79">
        <f t="shared" si="15"/>
        <v>1687.3622400000002</v>
      </c>
      <c r="L66" s="79">
        <v>37.200000000000003</v>
      </c>
    </row>
    <row r="67" spans="1:12" ht="14.45" customHeight="1" x14ac:dyDescent="0.25">
      <c r="A67" s="467" t="s">
        <v>334</v>
      </c>
      <c r="B67" s="468"/>
      <c r="C67" s="468"/>
      <c r="D67" s="468"/>
      <c r="E67" s="468"/>
      <c r="H67" s="79" t="s">
        <v>398</v>
      </c>
      <c r="I67" s="79">
        <f>I59*0.453592*$L$67</f>
        <v>117.09500159599999</v>
      </c>
      <c r="J67" s="79">
        <f t="shared" ref="J67:K67" si="16">J59*0.453592*$L$67</f>
        <v>184.08423506719998</v>
      </c>
      <c r="K67" s="79">
        <f t="shared" si="16"/>
        <v>243.99330565120002</v>
      </c>
      <c r="L67" s="71">
        <v>120.07</v>
      </c>
    </row>
    <row r="68" spans="1:12" ht="28.9" customHeight="1" x14ac:dyDescent="0.25">
      <c r="A68" s="109" t="s">
        <v>227</v>
      </c>
      <c r="B68" s="109" t="s">
        <v>332</v>
      </c>
      <c r="C68" s="110" t="s">
        <v>287</v>
      </c>
      <c r="D68" s="110" t="s">
        <v>344</v>
      </c>
      <c r="E68" s="16" t="s">
        <v>333</v>
      </c>
      <c r="H68" s="71" t="s">
        <v>312</v>
      </c>
      <c r="I68" s="71">
        <f>I60*0.00105587</f>
        <v>6.7195566800000002</v>
      </c>
      <c r="J68" s="71">
        <f t="shared" ref="J68:K68" si="17">J60*0.00105587</f>
        <v>8.7953971000000006</v>
      </c>
      <c r="K68" s="71">
        <f t="shared" si="17"/>
        <v>11.11725523</v>
      </c>
      <c r="L68" s="71"/>
    </row>
    <row r="69" spans="1:12" ht="14.45" customHeight="1" x14ac:dyDescent="0.25">
      <c r="A69" s="98" t="s">
        <v>219</v>
      </c>
      <c r="B69" s="98">
        <v>4.5999999999999996</v>
      </c>
      <c r="C69" s="61">
        <f>C25</f>
        <v>18.43</v>
      </c>
      <c r="D69" s="105">
        <f>B18</f>
        <v>37.200000000000003</v>
      </c>
      <c r="E69" s="103">
        <f>1/B69*D69/C69</f>
        <v>0.43879308311118465</v>
      </c>
      <c r="H69" s="71" t="s">
        <v>277</v>
      </c>
      <c r="I69" s="71">
        <f>I61*0.00105587</f>
        <v>10.39504015</v>
      </c>
      <c r="J69" s="71">
        <f t="shared" ref="J69:K69" si="18">J61*0.00105587</f>
        <v>11.3400438</v>
      </c>
      <c r="K69" s="71">
        <f t="shared" si="18"/>
        <v>12.28504745</v>
      </c>
      <c r="L69" s="71"/>
    </row>
    <row r="70" spans="1:12" ht="14.45" customHeight="1" x14ac:dyDescent="0.25">
      <c r="A70" s="98" t="s">
        <v>330</v>
      </c>
      <c r="B70" s="98">
        <v>2.8</v>
      </c>
      <c r="C70" s="61">
        <f>C53</f>
        <v>20.079999999999998</v>
      </c>
      <c r="D70" s="105">
        <f>E18</f>
        <v>37.200000000000003</v>
      </c>
      <c r="E70" s="103">
        <f t="shared" ref="E70:E71" si="19">1/B70*D70/C70</f>
        <v>0.66163915765509396</v>
      </c>
      <c r="H70" s="71" t="s">
        <v>399</v>
      </c>
      <c r="I70" s="71">
        <f>I62*0.453592*$L$70</f>
        <v>1156.19693616</v>
      </c>
      <c r="J70" s="71">
        <f t="shared" ref="J70:K70" si="20">J62*0.453592*$L$70</f>
        <v>1174.2000026400001</v>
      </c>
      <c r="K70" s="71">
        <f t="shared" si="20"/>
        <v>1198.2040912800001</v>
      </c>
      <c r="L70" s="71">
        <v>44.1</v>
      </c>
    </row>
    <row r="71" spans="1:12" ht="14.45" customHeight="1" x14ac:dyDescent="0.25">
      <c r="A71" s="98" t="s">
        <v>331</v>
      </c>
      <c r="B71" s="98">
        <v>3.4</v>
      </c>
      <c r="C71" s="61">
        <f>C39</f>
        <v>12.82</v>
      </c>
      <c r="D71" s="105">
        <f>C18</f>
        <v>37.200000000000003</v>
      </c>
      <c r="E71" s="103">
        <f t="shared" si="19"/>
        <v>0.85344590254198416</v>
      </c>
      <c r="H71" s="71" t="s">
        <v>401</v>
      </c>
      <c r="I71" s="71">
        <f>I63*0.453592*$L$71</f>
        <v>519.59870783999997</v>
      </c>
      <c r="J71" s="71">
        <f t="shared" ref="J71:K71" si="21">J63*0.453592*$L$71</f>
        <v>527.6545017599999</v>
      </c>
      <c r="K71" s="71">
        <f t="shared" si="21"/>
        <v>539.73819263999997</v>
      </c>
      <c r="L71" s="71">
        <v>44.4</v>
      </c>
    </row>
    <row r="72" spans="1:12" x14ac:dyDescent="0.25">
      <c r="H72" s="71" t="s">
        <v>400</v>
      </c>
      <c r="I72" s="71">
        <f>I64*0.453592*$L$72</f>
        <v>39.190348800000002</v>
      </c>
      <c r="J72" s="71">
        <f t="shared" ref="J72:K72" si="22">J64*0.453592*$L$72</f>
        <v>94.056837119999997</v>
      </c>
      <c r="K72" s="71">
        <f t="shared" si="22"/>
        <v>97.97587200000001</v>
      </c>
      <c r="L72" s="71">
        <v>43.2</v>
      </c>
    </row>
    <row r="73" spans="1:12" x14ac:dyDescent="0.25">
      <c r="H73" s="463" t="s">
        <v>314</v>
      </c>
      <c r="I73" s="463"/>
      <c r="J73" s="463"/>
      <c r="K73" s="463"/>
      <c r="L73" s="71"/>
    </row>
    <row r="74" spans="1:12" x14ac:dyDescent="0.25">
      <c r="H74" s="71" t="s">
        <v>358</v>
      </c>
      <c r="I74" s="86">
        <f>I67/I66</f>
        <v>6.9395295698924719E-2</v>
      </c>
      <c r="J74" s="86">
        <f t="shared" ref="J74:K74" si="23">J67/J66</f>
        <v>0.10909586021505374</v>
      </c>
      <c r="K74" s="86">
        <f t="shared" si="23"/>
        <v>0.14460043010752688</v>
      </c>
      <c r="L74" s="71"/>
    </row>
    <row r="75" spans="1:12" x14ac:dyDescent="0.25">
      <c r="H75" s="71" t="s">
        <v>391</v>
      </c>
      <c r="I75" s="86">
        <f>I69/I66</f>
        <v>6.1605267106131277E-3</v>
      </c>
      <c r="J75" s="86">
        <f t="shared" ref="J75:K75" si="24">J69/J66</f>
        <v>6.7205745933961395E-3</v>
      </c>
      <c r="K75" s="86">
        <f t="shared" si="24"/>
        <v>7.2806224761791513E-3</v>
      </c>
      <c r="L75" s="71"/>
    </row>
    <row r="76" spans="1:12" x14ac:dyDescent="0.25">
      <c r="H76" s="71" t="s">
        <v>315</v>
      </c>
      <c r="I76" s="86">
        <f>SUM(I70:I72)/SUM(I66:I69)</f>
        <v>0.94148688326335783</v>
      </c>
      <c r="J76" s="86">
        <f t="shared" ref="J76:K76" si="25">SUM(J70:J72)/SUM(J66:J69)</f>
        <v>0.94942298102999045</v>
      </c>
      <c r="K76" s="86">
        <f t="shared" si="25"/>
        <v>0.93920490330162643</v>
      </c>
      <c r="L76" s="71"/>
    </row>
    <row r="77" spans="1:12" x14ac:dyDescent="0.25">
      <c r="H77" s="71" t="s">
        <v>359</v>
      </c>
      <c r="I77" s="86">
        <f>I70/I66</f>
        <v>0.68520967741935479</v>
      </c>
      <c r="J77" s="86">
        <f t="shared" ref="J77:K77" si="26">J70/J66</f>
        <v>0.69587903225806447</v>
      </c>
      <c r="K77" s="86">
        <f t="shared" si="26"/>
        <v>0.71010483870967733</v>
      </c>
      <c r="L77" s="71"/>
    </row>
    <row r="78" spans="1:12" x14ac:dyDescent="0.25">
      <c r="J78" s="73"/>
      <c r="K78" s="73"/>
    </row>
    <row r="79" spans="1:12" x14ac:dyDescent="0.25">
      <c r="H79" s="417" t="s">
        <v>371</v>
      </c>
      <c r="I79" s="418"/>
      <c r="J79" s="419"/>
      <c r="K79" s="73"/>
    </row>
    <row r="80" spans="1:12" x14ac:dyDescent="0.25">
      <c r="H80" s="447" t="s">
        <v>341</v>
      </c>
      <c r="I80" s="447"/>
      <c r="J80" s="17"/>
      <c r="K80" s="73"/>
    </row>
    <row r="81" spans="8:11" x14ac:dyDescent="0.25">
      <c r="H81" s="79" t="s">
        <v>405</v>
      </c>
      <c r="I81" s="79">
        <v>150</v>
      </c>
      <c r="J81" s="17"/>
      <c r="K81" s="73"/>
    </row>
    <row r="82" spans="8:11" x14ac:dyDescent="0.25">
      <c r="H82" s="79" t="s">
        <v>406</v>
      </c>
      <c r="I82" s="79">
        <v>2.7E-2</v>
      </c>
      <c r="J82" s="17"/>
      <c r="K82" s="73"/>
    </row>
    <row r="83" spans="8:11" x14ac:dyDescent="0.25">
      <c r="H83" s="79" t="s">
        <v>407</v>
      </c>
      <c r="I83" s="79">
        <v>8.7999999999999995E-2</v>
      </c>
      <c r="J83" s="71"/>
    </row>
    <row r="84" spans="8:11" x14ac:dyDescent="0.25">
      <c r="H84" s="79" t="s">
        <v>408</v>
      </c>
      <c r="I84" s="79">
        <v>0.128</v>
      </c>
      <c r="J84" s="71"/>
    </row>
    <row r="85" spans="8:11" x14ac:dyDescent="0.25">
      <c r="H85" s="79" t="s">
        <v>409</v>
      </c>
      <c r="I85" s="79">
        <v>0.68100000000000005</v>
      </c>
      <c r="J85" s="71"/>
    </row>
    <row r="86" spans="8:11" x14ac:dyDescent="0.25">
      <c r="H86" s="79" t="s">
        <v>410</v>
      </c>
      <c r="I86" s="79">
        <v>1.7999999999999999E-2</v>
      </c>
      <c r="J86" s="71"/>
    </row>
    <row r="87" spans="8:11" x14ac:dyDescent="0.25">
      <c r="H87" s="79" t="s">
        <v>411</v>
      </c>
      <c r="I87" s="79">
        <v>1.6E-2</v>
      </c>
      <c r="J87" s="71"/>
    </row>
    <row r="88" spans="8:11" x14ac:dyDescent="0.25">
      <c r="H88" s="79" t="s">
        <v>412</v>
      </c>
      <c r="I88" s="79">
        <v>4.2000000000000003E-2</v>
      </c>
      <c r="J88" s="71"/>
    </row>
    <row r="89" spans="8:11" x14ac:dyDescent="0.25">
      <c r="H89" s="447" t="s">
        <v>380</v>
      </c>
      <c r="I89" s="447"/>
      <c r="J89" s="71" t="s">
        <v>316</v>
      </c>
    </row>
    <row r="90" spans="8:11" x14ac:dyDescent="0.25">
      <c r="H90" s="79" t="s">
        <v>397</v>
      </c>
      <c r="I90" s="79">
        <v>1</v>
      </c>
      <c r="J90" s="71">
        <v>37.200000000000003</v>
      </c>
    </row>
    <row r="91" spans="8:11" x14ac:dyDescent="0.25">
      <c r="H91" s="79" t="s">
        <v>277</v>
      </c>
      <c r="I91" s="71">
        <f>J91/0.79*I81*I90/J90/1000</f>
        <v>0.24055737035524702</v>
      </c>
      <c r="J91" s="71">
        <v>47.13</v>
      </c>
    </row>
    <row r="92" spans="8:11" x14ac:dyDescent="0.25">
      <c r="H92" s="79" t="s">
        <v>398</v>
      </c>
      <c r="I92" s="71">
        <f>J92*I82*I90/J90</f>
        <v>8.7147580645161274E-2</v>
      </c>
      <c r="J92" s="71">
        <v>120.07</v>
      </c>
    </row>
    <row r="93" spans="8:11" x14ac:dyDescent="0.25">
      <c r="H93" s="79" t="s">
        <v>278</v>
      </c>
      <c r="I93" s="71">
        <f>I83*3600/1000/J90</f>
        <v>8.5161290322580633E-3</v>
      </c>
      <c r="J93" s="71"/>
    </row>
    <row r="94" spans="8:11" x14ac:dyDescent="0.25">
      <c r="H94" s="79" t="s">
        <v>413</v>
      </c>
      <c r="I94" s="71">
        <f>J94*I84*I90/J90</f>
        <v>0.15174193548387097</v>
      </c>
      <c r="J94" s="71">
        <v>44.1</v>
      </c>
    </row>
    <row r="95" spans="8:11" x14ac:dyDescent="0.25">
      <c r="H95" s="79" t="s">
        <v>273</v>
      </c>
      <c r="I95" s="71">
        <f>J95*I85*I90/J90</f>
        <v>0.79816129032258076</v>
      </c>
      <c r="J95" s="71">
        <v>43.6</v>
      </c>
    </row>
    <row r="96" spans="8:11" x14ac:dyDescent="0.25">
      <c r="H96" s="79" t="s">
        <v>401</v>
      </c>
      <c r="I96" s="71">
        <f>J96*I86*I90/J90</f>
        <v>2.17258064516129E-2</v>
      </c>
      <c r="J96" s="71">
        <v>44.9</v>
      </c>
    </row>
    <row r="97" spans="8:10" x14ac:dyDescent="0.25">
      <c r="H97" s="79" t="s">
        <v>414</v>
      </c>
      <c r="I97" s="71">
        <f>J97*I87*I90/J90</f>
        <v>1.9569892473118279E-2</v>
      </c>
      <c r="J97" s="71">
        <v>45.5</v>
      </c>
    </row>
    <row r="98" spans="8:10" x14ac:dyDescent="0.25">
      <c r="H98" s="79" t="s">
        <v>415</v>
      </c>
      <c r="I98" s="71">
        <f>J98*I88*I90/J90</f>
        <v>5.2387096774193544E-2</v>
      </c>
      <c r="J98" s="71">
        <v>46.4</v>
      </c>
    </row>
    <row r="99" spans="8:10" x14ac:dyDescent="0.25">
      <c r="H99" s="447" t="s">
        <v>314</v>
      </c>
      <c r="I99" s="447"/>
      <c r="J99" s="71"/>
    </row>
    <row r="100" spans="8:10" x14ac:dyDescent="0.25">
      <c r="H100" s="71" t="s">
        <v>391</v>
      </c>
      <c r="I100" s="86">
        <f>I91/I90</f>
        <v>0.24055737035524702</v>
      </c>
      <c r="J100" s="71"/>
    </row>
    <row r="101" spans="8:10" x14ac:dyDescent="0.25">
      <c r="H101" s="71" t="s">
        <v>358</v>
      </c>
      <c r="I101" s="86">
        <f>I92/I90</f>
        <v>8.7147580645161274E-2</v>
      </c>
      <c r="J101" s="71"/>
    </row>
    <row r="102" spans="8:10" x14ac:dyDescent="0.25">
      <c r="H102" s="71" t="s">
        <v>315</v>
      </c>
      <c r="I102" s="86">
        <f>SUM(I94:I98)/SUM(I90:I93)</f>
        <v>0.78099802278217623</v>
      </c>
      <c r="J102" s="71"/>
    </row>
    <row r="103" spans="8:10" x14ac:dyDescent="0.25">
      <c r="H103" s="71" t="s">
        <v>359</v>
      </c>
      <c r="I103" s="86">
        <f>SUM(I94:I95)/I90</f>
        <v>0.9499032258064517</v>
      </c>
      <c r="J103" s="71"/>
    </row>
  </sheetData>
  <sortState xmlns:xlrd2="http://schemas.microsoft.com/office/spreadsheetml/2017/richdata2" ref="D101:D111">
    <sortCondition ref="D101"/>
  </sortState>
  <mergeCells count="47">
    <mergeCell ref="H99:I99"/>
    <mergeCell ref="H79:J79"/>
    <mergeCell ref="E5:G5"/>
    <mergeCell ref="E6:G6"/>
    <mergeCell ref="I5:K5"/>
    <mergeCell ref="I6:K6"/>
    <mergeCell ref="H55:L55"/>
    <mergeCell ref="H80:I80"/>
    <mergeCell ref="H89:I89"/>
    <mergeCell ref="H65:K65"/>
    <mergeCell ref="H73:K73"/>
    <mergeCell ref="H49:N49"/>
    <mergeCell ref="H53:I53"/>
    <mergeCell ref="H33:O33"/>
    <mergeCell ref="H57:K57"/>
    <mergeCell ref="H42:N42"/>
    <mergeCell ref="A1:C1"/>
    <mergeCell ref="E1:G1"/>
    <mergeCell ref="I1:K1"/>
    <mergeCell ref="H34:I34"/>
    <mergeCell ref="A67:E67"/>
    <mergeCell ref="A9:F9"/>
    <mergeCell ref="I12:J12"/>
    <mergeCell ref="A22:D22"/>
    <mergeCell ref="A37:D37"/>
    <mergeCell ref="A58:D58"/>
    <mergeCell ref="B59:D59"/>
    <mergeCell ref="B51:D51"/>
    <mergeCell ref="A50:D50"/>
    <mergeCell ref="A23:D23"/>
    <mergeCell ref="H25:M25"/>
    <mergeCell ref="H35:N35"/>
    <mergeCell ref="H50:I50"/>
    <mergeCell ref="H51:I51"/>
    <mergeCell ref="H52:I52"/>
    <mergeCell ref="A5:C5"/>
    <mergeCell ref="A6:C6"/>
    <mergeCell ref="H9:P9"/>
    <mergeCell ref="H29:J29"/>
    <mergeCell ref="L29:M29"/>
    <mergeCell ref="L12:M12"/>
    <mergeCell ref="K12:K13"/>
    <mergeCell ref="H11:M11"/>
    <mergeCell ref="H17:M17"/>
    <mergeCell ref="H14:M14"/>
    <mergeCell ref="H12:H13"/>
    <mergeCell ref="A11:F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6162-E2E4-4169-BA68-9742298357E2}">
  <dimension ref="A1:AA94"/>
  <sheetViews>
    <sheetView topLeftCell="H8" zoomScaleNormal="100" workbookViewId="0">
      <selection activeCell="U15" sqref="U15"/>
    </sheetView>
  </sheetViews>
  <sheetFormatPr baseColWidth="10" defaultRowHeight="15" x14ac:dyDescent="0.25"/>
  <cols>
    <col min="24" max="24" width="19.42578125" customWidth="1"/>
  </cols>
  <sheetData>
    <row r="1" spans="1:27" ht="52.5" x14ac:dyDescent="0.25">
      <c r="A1" s="299" t="s">
        <v>627</v>
      </c>
      <c r="B1" s="300" t="s">
        <v>500</v>
      </c>
      <c r="C1" s="300" t="s">
        <v>250</v>
      </c>
      <c r="D1" s="301" t="s">
        <v>628</v>
      </c>
      <c r="E1" s="301" t="s">
        <v>629</v>
      </c>
      <c r="F1" s="301" t="s">
        <v>630</v>
      </c>
      <c r="G1" s="301" t="s">
        <v>631</v>
      </c>
      <c r="H1" s="301" t="s">
        <v>632</v>
      </c>
      <c r="I1" s="302" t="s">
        <v>633</v>
      </c>
      <c r="J1" s="301" t="s">
        <v>634</v>
      </c>
      <c r="K1" s="301" t="s">
        <v>635</v>
      </c>
      <c r="L1" s="301" t="s">
        <v>636</v>
      </c>
      <c r="M1" s="302" t="s">
        <v>637</v>
      </c>
      <c r="N1" s="302" t="s">
        <v>638</v>
      </c>
      <c r="O1" s="303" t="s">
        <v>639</v>
      </c>
      <c r="P1" s="304" t="s">
        <v>640</v>
      </c>
      <c r="Q1" s="304" t="s">
        <v>641</v>
      </c>
      <c r="R1" s="305" t="s">
        <v>642</v>
      </c>
      <c r="S1" s="306" t="s">
        <v>643</v>
      </c>
      <c r="T1" s="306" t="s">
        <v>644</v>
      </c>
      <c r="U1" s="306" t="s">
        <v>645</v>
      </c>
      <c r="V1" s="306" t="s">
        <v>646</v>
      </c>
      <c r="W1" s="306" t="s">
        <v>647</v>
      </c>
      <c r="X1" s="306" t="s">
        <v>648</v>
      </c>
      <c r="Y1" s="306" t="s">
        <v>649</v>
      </c>
      <c r="Z1" s="306" t="s">
        <v>650</v>
      </c>
      <c r="AA1" s="307" t="s">
        <v>651</v>
      </c>
    </row>
    <row r="2" spans="1:27" x14ac:dyDescent="0.25">
      <c r="A2" s="308" t="s">
        <v>475</v>
      </c>
      <c r="B2" s="309" t="s">
        <v>124</v>
      </c>
      <c r="C2" s="310" t="s">
        <v>499</v>
      </c>
      <c r="D2" s="311" t="s">
        <v>8</v>
      </c>
      <c r="E2" s="312">
        <v>0.1</v>
      </c>
      <c r="F2" s="312">
        <v>8.7550341446331642E-2</v>
      </c>
      <c r="G2" s="313">
        <v>0.26</v>
      </c>
      <c r="H2" s="313">
        <v>0.22763088776046225</v>
      </c>
      <c r="I2" s="313">
        <v>0.86</v>
      </c>
      <c r="J2" s="313">
        <v>0.75293293643845205</v>
      </c>
      <c r="K2" s="313">
        <v>1.22</v>
      </c>
      <c r="L2" s="313">
        <v>1.068114165645246</v>
      </c>
      <c r="M2" s="314">
        <v>34.857142857142854</v>
      </c>
      <c r="N2" s="313">
        <v>30.517547589864165</v>
      </c>
      <c r="O2" s="313">
        <v>1.22</v>
      </c>
      <c r="P2" s="313">
        <v>1.22</v>
      </c>
      <c r="Q2" s="313">
        <v>1.068114165645246</v>
      </c>
      <c r="R2" s="311" t="s">
        <v>56</v>
      </c>
      <c r="S2" s="315" t="s">
        <v>652</v>
      </c>
      <c r="T2" s="315">
        <v>8.1967213114754106E-2</v>
      </c>
      <c r="U2" s="315">
        <v>0.21311475409836067</v>
      </c>
      <c r="V2" s="315">
        <v>0.70491803278688525</v>
      </c>
      <c r="W2" s="315">
        <v>1</v>
      </c>
      <c r="X2" s="316">
        <v>373574.83305831201</v>
      </c>
      <c r="Y2" s="317">
        <v>338457.32199052884</v>
      </c>
      <c r="Z2" s="318">
        <v>327066.04190011555</v>
      </c>
      <c r="AA2" s="319">
        <v>2075</v>
      </c>
    </row>
    <row r="3" spans="1:27" x14ac:dyDescent="0.25">
      <c r="A3" s="320" t="s">
        <v>475</v>
      </c>
      <c r="B3" s="309" t="s">
        <v>179</v>
      </c>
      <c r="C3" s="310" t="s">
        <v>499</v>
      </c>
      <c r="D3" s="311" t="s">
        <v>8</v>
      </c>
      <c r="E3" s="312">
        <v>0.2</v>
      </c>
      <c r="F3" s="312">
        <v>0.17510068289266328</v>
      </c>
      <c r="G3" s="313">
        <v>0.19</v>
      </c>
      <c r="H3" s="313">
        <v>0.16634564874803009</v>
      </c>
      <c r="I3" s="313">
        <v>0.57999999999999996</v>
      </c>
      <c r="J3" s="313">
        <v>0.50779198038872342</v>
      </c>
      <c r="K3" s="313">
        <v>0.97</v>
      </c>
      <c r="L3" s="313">
        <v>0.8492383120294168</v>
      </c>
      <c r="M3" s="314">
        <v>27.714285714285712</v>
      </c>
      <c r="N3" s="313">
        <v>24.263951772269049</v>
      </c>
      <c r="O3" s="321" t="s">
        <v>653</v>
      </c>
      <c r="P3" s="322">
        <v>0.95</v>
      </c>
      <c r="Q3" s="313">
        <v>0.83172824374015042</v>
      </c>
      <c r="R3" s="311" t="s">
        <v>59</v>
      </c>
      <c r="S3" s="315" t="s">
        <v>652</v>
      </c>
      <c r="T3" s="315">
        <v>0.2061855670103093</v>
      </c>
      <c r="U3" s="315">
        <v>0.19587628865979381</v>
      </c>
      <c r="V3" s="315">
        <v>0.59793814432989689</v>
      </c>
      <c r="W3" s="315">
        <v>1.0210526315789474</v>
      </c>
      <c r="X3" s="316">
        <v>747149.66611662495</v>
      </c>
      <c r="Y3" s="323"/>
      <c r="Z3" s="318">
        <v>654132.08380023192</v>
      </c>
      <c r="AA3" s="319">
        <v>244</v>
      </c>
    </row>
    <row r="4" spans="1:27" x14ac:dyDescent="0.25">
      <c r="A4" s="320" t="s">
        <v>475</v>
      </c>
      <c r="B4" s="309" t="s">
        <v>123</v>
      </c>
      <c r="C4" s="310" t="s">
        <v>499</v>
      </c>
      <c r="D4" s="311" t="s">
        <v>8</v>
      </c>
      <c r="E4" s="312">
        <v>0.2</v>
      </c>
      <c r="F4" s="312">
        <v>0.17510068289266328</v>
      </c>
      <c r="G4" s="313">
        <v>0.19</v>
      </c>
      <c r="H4" s="313">
        <v>0.16634564874803009</v>
      </c>
      <c r="I4" s="313">
        <v>0.73</v>
      </c>
      <c r="J4" s="313">
        <v>0.63911749255822092</v>
      </c>
      <c r="K4" s="313">
        <v>1.1200000000000001</v>
      </c>
      <c r="L4" s="313">
        <v>0.98056382419891441</v>
      </c>
      <c r="M4" s="314">
        <v>32</v>
      </c>
      <c r="N4" s="313">
        <v>28.016109262826124</v>
      </c>
      <c r="O4" s="321" t="s">
        <v>654</v>
      </c>
      <c r="P4" s="312">
        <v>1.105</v>
      </c>
      <c r="Q4" s="313">
        <v>0.96743127298196452</v>
      </c>
      <c r="R4" s="311" t="s">
        <v>59</v>
      </c>
      <c r="S4" s="315" t="s">
        <v>652</v>
      </c>
      <c r="T4" s="315">
        <v>0.17857142857142858</v>
      </c>
      <c r="U4" s="315">
        <v>0.16964285714285712</v>
      </c>
      <c r="V4" s="315">
        <v>0.65178571428571419</v>
      </c>
      <c r="W4" s="315">
        <v>1.0135746606334843</v>
      </c>
      <c r="X4" s="316">
        <v>747149.66611662495</v>
      </c>
      <c r="Y4" s="323"/>
      <c r="Z4" s="318">
        <v>654132.08380023192</v>
      </c>
      <c r="AA4" s="319">
        <v>244</v>
      </c>
    </row>
    <row r="5" spans="1:27" x14ac:dyDescent="0.25">
      <c r="A5" s="320" t="s">
        <v>475</v>
      </c>
      <c r="B5" s="309" t="s">
        <v>221</v>
      </c>
      <c r="C5" s="310" t="s">
        <v>812</v>
      </c>
      <c r="D5" s="311" t="s">
        <v>8</v>
      </c>
      <c r="E5" s="312">
        <v>0.2</v>
      </c>
      <c r="F5" s="312">
        <v>0.17510068289266328</v>
      </c>
      <c r="G5" s="313">
        <v>0.19</v>
      </c>
      <c r="H5" s="313">
        <v>0.16634564874803009</v>
      </c>
      <c r="I5" s="313">
        <v>0.85</v>
      </c>
      <c r="J5" s="313">
        <v>0.74417790229381886</v>
      </c>
      <c r="K5" s="313">
        <v>1.24</v>
      </c>
      <c r="L5" s="313">
        <v>1.0856242339345121</v>
      </c>
      <c r="M5" s="314">
        <v>35.428571428571423</v>
      </c>
      <c r="N5" s="313">
        <v>31.017835255271773</v>
      </c>
      <c r="O5" s="324" t="s">
        <v>655</v>
      </c>
      <c r="P5" s="312">
        <v>1.2350000000000001</v>
      </c>
      <c r="Q5" s="313">
        <v>1.0812467168621958</v>
      </c>
      <c r="R5" s="311" t="s">
        <v>59</v>
      </c>
      <c r="S5" s="315" t="s">
        <v>652</v>
      </c>
      <c r="T5" s="315">
        <v>0.16129032258064518</v>
      </c>
      <c r="U5" s="315">
        <v>0.15322580645161291</v>
      </c>
      <c r="V5" s="315">
        <v>0.68548387096774188</v>
      </c>
      <c r="W5" s="315">
        <v>1.0040485829959513</v>
      </c>
      <c r="X5" s="316">
        <v>747149.66611662495</v>
      </c>
      <c r="Y5" s="323"/>
      <c r="Z5" s="318">
        <v>654132.08380023192</v>
      </c>
      <c r="AA5" s="319">
        <v>244</v>
      </c>
    </row>
    <row r="6" spans="1:27" x14ac:dyDescent="0.25">
      <c r="A6" s="320" t="s">
        <v>475</v>
      </c>
      <c r="B6" s="325" t="s">
        <v>476</v>
      </c>
      <c r="C6" s="310" t="s">
        <v>812</v>
      </c>
      <c r="D6" s="311" t="s">
        <v>8</v>
      </c>
      <c r="E6" s="326">
        <v>0.09</v>
      </c>
      <c r="F6" s="326">
        <v>7.8795307301698467E-2</v>
      </c>
      <c r="G6" s="314">
        <v>0.14000000000000001</v>
      </c>
      <c r="H6" s="314">
        <v>0.1225704780248643</v>
      </c>
      <c r="I6" s="314">
        <v>2.0699999999999998</v>
      </c>
      <c r="J6" s="314">
        <v>1.8122920679390646</v>
      </c>
      <c r="K6" s="314">
        <v>2.29</v>
      </c>
      <c r="L6" s="313">
        <v>2.0049028191209946</v>
      </c>
      <c r="M6" s="314">
        <v>65.428571428571416</v>
      </c>
      <c r="N6" s="313">
        <v>57.282937689171256</v>
      </c>
      <c r="O6" s="314">
        <v>1.81</v>
      </c>
      <c r="P6" s="314">
        <v>1.81</v>
      </c>
      <c r="Q6" s="313">
        <v>1.5846611801786026</v>
      </c>
      <c r="R6" s="311" t="s">
        <v>62</v>
      </c>
      <c r="S6" s="315" t="s">
        <v>652</v>
      </c>
      <c r="T6" s="315">
        <v>3.9301310043668117E-2</v>
      </c>
      <c r="U6" s="315">
        <v>6.1135371179039305E-2</v>
      </c>
      <c r="V6" s="315">
        <v>0.9039301310043667</v>
      </c>
      <c r="W6" s="315">
        <v>1.2651933701657458</v>
      </c>
      <c r="X6" s="316">
        <v>336217.34975248098</v>
      </c>
      <c r="Y6" s="317">
        <v>261021.08880576122</v>
      </c>
      <c r="Z6" s="318">
        <v>294359.43771010416</v>
      </c>
      <c r="AA6" s="319">
        <v>2560</v>
      </c>
    </row>
    <row r="7" spans="1:27" x14ac:dyDescent="0.25">
      <c r="A7" s="320" t="s">
        <v>475</v>
      </c>
      <c r="B7" s="325" t="s">
        <v>477</v>
      </c>
      <c r="C7" s="310" t="s">
        <v>812</v>
      </c>
      <c r="D7" s="311" t="s">
        <v>8</v>
      </c>
      <c r="E7" s="326">
        <v>0.08</v>
      </c>
      <c r="F7" s="326">
        <v>7.0040273157065305E-2</v>
      </c>
      <c r="G7" s="314">
        <v>0.13</v>
      </c>
      <c r="H7" s="314">
        <v>0.11381544388023113</v>
      </c>
      <c r="I7" s="314">
        <v>1.04</v>
      </c>
      <c r="J7" s="314">
        <v>0.91052355104184901</v>
      </c>
      <c r="K7" s="314">
        <v>1.25</v>
      </c>
      <c r="L7" s="313">
        <v>1.0943792680791453</v>
      </c>
      <c r="M7" s="314">
        <v>35.714285714285708</v>
      </c>
      <c r="N7" s="313">
        <v>31.267979087975579</v>
      </c>
      <c r="O7" s="314">
        <v>0.8</v>
      </c>
      <c r="P7" s="314">
        <v>0.8</v>
      </c>
      <c r="Q7" s="313">
        <v>0.70040273157065314</v>
      </c>
      <c r="R7" s="311" t="s">
        <v>62</v>
      </c>
      <c r="S7" s="315" t="s">
        <v>652</v>
      </c>
      <c r="T7" s="315">
        <v>6.4000000000000001E-2</v>
      </c>
      <c r="U7" s="315">
        <v>0.10400000000000001</v>
      </c>
      <c r="V7" s="315">
        <v>0.83200000000000007</v>
      </c>
      <c r="W7" s="315">
        <v>1.5625</v>
      </c>
      <c r="X7" s="316">
        <v>298859.86644665</v>
      </c>
      <c r="Y7" s="317">
        <v>261311.51763731553</v>
      </c>
      <c r="Z7" s="318">
        <v>261652.8335200928</v>
      </c>
      <c r="AA7" s="319">
        <v>2560</v>
      </c>
    </row>
    <row r="8" spans="1:27" x14ac:dyDescent="0.25">
      <c r="A8" s="320" t="s">
        <v>475</v>
      </c>
      <c r="B8" s="325" t="s">
        <v>110</v>
      </c>
      <c r="C8" s="310" t="s">
        <v>812</v>
      </c>
      <c r="D8" s="311" t="s">
        <v>8</v>
      </c>
      <c r="E8" s="326">
        <v>0.33</v>
      </c>
      <c r="F8" s="326">
        <v>0.28891612677289441</v>
      </c>
      <c r="G8" s="314">
        <v>0.17</v>
      </c>
      <c r="H8" s="314">
        <v>0.1488355804587638</v>
      </c>
      <c r="I8" s="314">
        <v>1.59</v>
      </c>
      <c r="J8" s="314">
        <v>1.3920504289966731</v>
      </c>
      <c r="K8" s="314">
        <v>2.09</v>
      </c>
      <c r="L8" s="313">
        <v>1.829802136228331</v>
      </c>
      <c r="M8" s="314">
        <v>59.714285714285701</v>
      </c>
      <c r="N8" s="313">
        <v>52.280061035095166</v>
      </c>
      <c r="O8" s="314">
        <v>1.78</v>
      </c>
      <c r="P8" s="314">
        <v>1.78</v>
      </c>
      <c r="Q8" s="313">
        <v>1.558396077744703</v>
      </c>
      <c r="R8" s="311" t="s">
        <v>65</v>
      </c>
      <c r="S8" s="315" t="s">
        <v>652</v>
      </c>
      <c r="T8" s="315">
        <v>0.15789473684210528</v>
      </c>
      <c r="U8" s="315">
        <v>8.1339712918660295E-2</v>
      </c>
      <c r="V8" s="315">
        <v>0.76076555023923453</v>
      </c>
      <c r="W8" s="315">
        <v>1.1741573033707864</v>
      </c>
      <c r="X8" s="316">
        <v>1232796.9490924301</v>
      </c>
      <c r="Y8" s="323"/>
      <c r="Z8" s="318">
        <v>1079317.9382703817</v>
      </c>
      <c r="AA8" s="319">
        <v>220</v>
      </c>
    </row>
    <row r="9" spans="1:27" x14ac:dyDescent="0.25">
      <c r="A9" s="320" t="s">
        <v>475</v>
      </c>
      <c r="B9" s="309" t="s">
        <v>124</v>
      </c>
      <c r="C9" s="310" t="s">
        <v>499</v>
      </c>
      <c r="D9" s="311" t="s">
        <v>8</v>
      </c>
      <c r="E9" s="312">
        <v>0.1</v>
      </c>
      <c r="F9" s="312">
        <v>8.7550341446331642E-2</v>
      </c>
      <c r="G9" s="313">
        <v>0.13</v>
      </c>
      <c r="H9" s="313">
        <v>0.11381544388023113</v>
      </c>
      <c r="I9" s="313">
        <v>0.55000000000000004</v>
      </c>
      <c r="J9" s="313">
        <v>0.48152687795482402</v>
      </c>
      <c r="K9" s="313">
        <v>0.78</v>
      </c>
      <c r="L9" s="313">
        <v>0.68289266328138676</v>
      </c>
      <c r="M9" s="314">
        <v>22.285714285714285</v>
      </c>
      <c r="N9" s="313">
        <v>19.511218950896762</v>
      </c>
      <c r="O9" s="321" t="s">
        <v>656</v>
      </c>
      <c r="P9" s="312">
        <v>0.78</v>
      </c>
      <c r="Q9" s="313">
        <v>0.68289266328138676</v>
      </c>
      <c r="R9" s="311" t="s">
        <v>68</v>
      </c>
      <c r="S9" s="315" t="s">
        <v>652</v>
      </c>
      <c r="T9" s="315">
        <v>0.12820512820512822</v>
      </c>
      <c r="U9" s="315">
        <v>0.16666666666666666</v>
      </c>
      <c r="V9" s="315">
        <v>0.70512820512820518</v>
      </c>
      <c r="W9" s="315">
        <v>1</v>
      </c>
      <c r="X9" s="316">
        <v>373574.83305831201</v>
      </c>
      <c r="Y9" s="323"/>
      <c r="Z9" s="318">
        <v>327066.04190011555</v>
      </c>
      <c r="AA9" s="319"/>
    </row>
    <row r="10" spans="1:27" ht="31.5" x14ac:dyDescent="0.25">
      <c r="A10" s="320" t="s">
        <v>657</v>
      </c>
      <c r="B10" s="309" t="s">
        <v>568</v>
      </c>
      <c r="C10" s="310" t="s">
        <v>587</v>
      </c>
      <c r="D10" s="311" t="s">
        <v>7</v>
      </c>
      <c r="E10" s="312">
        <v>0.63</v>
      </c>
      <c r="F10" s="312">
        <v>0.55156715111188925</v>
      </c>
      <c r="G10" s="314">
        <v>0.62</v>
      </c>
      <c r="H10" s="314">
        <v>0.54281211696725606</v>
      </c>
      <c r="I10" s="314">
        <v>0.87</v>
      </c>
      <c r="J10" s="314">
        <v>0.76168797058308524</v>
      </c>
      <c r="K10" s="314">
        <v>2.12</v>
      </c>
      <c r="L10" s="313">
        <v>1.8560672386622308</v>
      </c>
      <c r="M10" s="314">
        <v>60.571428571428569</v>
      </c>
      <c r="N10" s="313">
        <v>53.030492533206591</v>
      </c>
      <c r="O10" s="327" t="s">
        <v>658</v>
      </c>
      <c r="P10" s="326">
        <v>2.0149999999999997</v>
      </c>
      <c r="Q10" s="313">
        <v>1.7641393801435821</v>
      </c>
      <c r="R10" s="328" t="s">
        <v>56</v>
      </c>
      <c r="S10" s="315" t="s">
        <v>652</v>
      </c>
      <c r="T10" s="315">
        <v>0.29716981132075471</v>
      </c>
      <c r="U10" s="315">
        <v>0.29245283018867924</v>
      </c>
      <c r="V10" s="315">
        <v>0.410377358490566</v>
      </c>
      <c r="W10" s="315">
        <v>1.0521091811414394</v>
      </c>
      <c r="X10" s="316">
        <v>2353521.4482673602</v>
      </c>
      <c r="Y10" s="317">
        <v>1480807.6023564939</v>
      </c>
      <c r="Z10" s="318">
        <v>2060516.0639707232</v>
      </c>
      <c r="AA10" s="319">
        <v>340</v>
      </c>
    </row>
    <row r="11" spans="1:27" ht="21" x14ac:dyDescent="0.25">
      <c r="A11" s="320" t="s">
        <v>657</v>
      </c>
      <c r="B11" s="309" t="s">
        <v>569</v>
      </c>
      <c r="C11" s="310" t="s">
        <v>586</v>
      </c>
      <c r="D11" s="311" t="s">
        <v>7</v>
      </c>
      <c r="E11" s="312">
        <v>0.64</v>
      </c>
      <c r="F11" s="312">
        <v>0.56032218525652244</v>
      </c>
      <c r="G11" s="313">
        <v>0.24</v>
      </c>
      <c r="H11" s="313">
        <v>0.2101208194711959</v>
      </c>
      <c r="I11" s="313">
        <v>0.37</v>
      </c>
      <c r="J11" s="313">
        <v>0.32393626335142706</v>
      </c>
      <c r="K11" s="313">
        <v>1.26</v>
      </c>
      <c r="L11" s="313">
        <v>1.1031343022237785</v>
      </c>
      <c r="M11" s="314">
        <v>36</v>
      </c>
      <c r="N11" s="313">
        <v>31.518122920679389</v>
      </c>
      <c r="O11" s="321" t="s">
        <v>659</v>
      </c>
      <c r="P11" s="312">
        <v>1.2</v>
      </c>
      <c r="Q11" s="313">
        <v>1.0506040973559796</v>
      </c>
      <c r="R11" s="311" t="s">
        <v>68</v>
      </c>
      <c r="S11" s="315" t="s">
        <v>652</v>
      </c>
      <c r="T11" s="315">
        <v>0.50793650793650791</v>
      </c>
      <c r="U11" s="315">
        <v>0.19047619047619047</v>
      </c>
      <c r="V11" s="315">
        <v>0.29365079365079366</v>
      </c>
      <c r="W11" s="315">
        <v>1.05</v>
      </c>
      <c r="X11" s="316">
        <v>2390878.9315732</v>
      </c>
      <c r="Y11" s="323"/>
      <c r="Z11" s="318">
        <v>2093222.6681607424</v>
      </c>
      <c r="AA11" s="319"/>
    </row>
    <row r="12" spans="1:27" ht="21" x14ac:dyDescent="0.25">
      <c r="A12" s="320" t="s">
        <v>657</v>
      </c>
      <c r="B12" s="309" t="s">
        <v>570</v>
      </c>
      <c r="C12" s="310" t="s">
        <v>588</v>
      </c>
      <c r="D12" s="311" t="s">
        <v>7</v>
      </c>
      <c r="E12" s="312">
        <v>0.67</v>
      </c>
      <c r="F12" s="312">
        <v>0.58658728769042201</v>
      </c>
      <c r="G12" s="313">
        <v>0.33</v>
      </c>
      <c r="H12" s="313">
        <v>0.28891612677289441</v>
      </c>
      <c r="I12" s="313">
        <v>0</v>
      </c>
      <c r="J12" s="313">
        <v>0</v>
      </c>
      <c r="K12" s="313">
        <v>1</v>
      </c>
      <c r="L12" s="313">
        <v>0.87550341446331637</v>
      </c>
      <c r="M12" s="314">
        <v>28.571428571428569</v>
      </c>
      <c r="N12" s="313">
        <v>25.014383270380463</v>
      </c>
      <c r="O12" s="321" t="s">
        <v>660</v>
      </c>
      <c r="P12" s="312">
        <v>0.85999999999999988</v>
      </c>
      <c r="Q12" s="313">
        <v>0.75293293643845194</v>
      </c>
      <c r="R12" s="311" t="s">
        <v>68</v>
      </c>
      <c r="S12" s="315" t="s">
        <v>652</v>
      </c>
      <c r="T12" s="315">
        <v>0.67</v>
      </c>
      <c r="U12" s="315">
        <v>0.33</v>
      </c>
      <c r="V12" s="315">
        <v>0</v>
      </c>
      <c r="W12" s="315">
        <v>1.1627906976744187</v>
      </c>
      <c r="X12" s="316">
        <v>2502951.3814906902</v>
      </c>
      <c r="Y12" s="323"/>
      <c r="Z12" s="318">
        <v>2191342.4807307739</v>
      </c>
      <c r="AA12" s="319"/>
    </row>
    <row r="13" spans="1:27" ht="21" x14ac:dyDescent="0.25">
      <c r="A13" s="320" t="s">
        <v>657</v>
      </c>
      <c r="B13" s="309" t="s">
        <v>32</v>
      </c>
      <c r="C13" s="310" t="s">
        <v>588</v>
      </c>
      <c r="D13" s="311" t="s">
        <v>7</v>
      </c>
      <c r="E13" s="312">
        <v>0.93</v>
      </c>
      <c r="F13" s="312">
        <v>0.81421817545088426</v>
      </c>
      <c r="G13" s="313">
        <v>0.34</v>
      </c>
      <c r="H13" s="313">
        <v>0.2976711609175276</v>
      </c>
      <c r="I13" s="313">
        <v>0</v>
      </c>
      <c r="J13" s="313">
        <v>0</v>
      </c>
      <c r="K13" s="313">
        <v>1.27</v>
      </c>
      <c r="L13" s="313">
        <v>1.1118893363684117</v>
      </c>
      <c r="M13" s="314">
        <v>36.285714285714285</v>
      </c>
      <c r="N13" s="313">
        <v>31.768266753383191</v>
      </c>
      <c r="O13" s="321" t="s">
        <v>661</v>
      </c>
      <c r="P13" s="312">
        <v>1.17</v>
      </c>
      <c r="Q13" s="313">
        <v>1.02433899492208</v>
      </c>
      <c r="R13" s="311" t="s">
        <v>59</v>
      </c>
      <c r="S13" s="315" t="s">
        <v>652</v>
      </c>
      <c r="T13" s="315">
        <v>0.73228346456692917</v>
      </c>
      <c r="U13" s="315">
        <v>0.26771653543307089</v>
      </c>
      <c r="V13" s="315">
        <v>0</v>
      </c>
      <c r="W13" s="315">
        <v>1.0854700854700856</v>
      </c>
      <c r="X13" s="316">
        <v>3474245.9474423002</v>
      </c>
      <c r="Y13" s="323"/>
      <c r="Z13" s="318">
        <v>3041714.1896710731</v>
      </c>
      <c r="AA13" s="319">
        <v>244</v>
      </c>
    </row>
    <row r="14" spans="1:27" ht="21" x14ac:dyDescent="0.25">
      <c r="A14" s="320" t="s">
        <v>657</v>
      </c>
      <c r="B14" s="325" t="s">
        <v>571</v>
      </c>
      <c r="C14" s="329" t="s">
        <v>586</v>
      </c>
      <c r="D14" s="328" t="s">
        <v>7</v>
      </c>
      <c r="E14" s="326">
        <v>1.03</v>
      </c>
      <c r="F14" s="326">
        <v>0.90176851689721582</v>
      </c>
      <c r="G14" s="314">
        <v>0.5</v>
      </c>
      <c r="H14" s="314">
        <v>0.43775170723165818</v>
      </c>
      <c r="I14" s="314">
        <v>0.75</v>
      </c>
      <c r="J14" s="314">
        <v>0.65662756084748719</v>
      </c>
      <c r="K14" s="314">
        <v>2.29</v>
      </c>
      <c r="L14" s="313">
        <v>2.0049028191209946</v>
      </c>
      <c r="M14" s="314">
        <v>65.428571428571416</v>
      </c>
      <c r="N14" s="313">
        <v>57.282937689171256</v>
      </c>
      <c r="O14" s="314">
        <v>1.95</v>
      </c>
      <c r="P14" s="314">
        <v>1.95</v>
      </c>
      <c r="Q14" s="313">
        <v>1.7072316582034668</v>
      </c>
      <c r="R14" s="311" t="s">
        <v>65</v>
      </c>
      <c r="S14" s="315" t="s">
        <v>652</v>
      </c>
      <c r="T14" s="315">
        <v>0.44978165938864628</v>
      </c>
      <c r="U14" s="315">
        <v>0.2183406113537118</v>
      </c>
      <c r="V14" s="315">
        <v>0.32751091703056767</v>
      </c>
      <c r="W14" s="315">
        <v>1.1743589743589744</v>
      </c>
      <c r="X14" s="316">
        <v>3847820.7805006201</v>
      </c>
      <c r="Y14" s="323"/>
      <c r="Z14" s="318">
        <v>3368780.2315711956</v>
      </c>
      <c r="AA14" s="319">
        <v>247</v>
      </c>
    </row>
    <row r="15" spans="1:27" ht="31.5" x14ac:dyDescent="0.25">
      <c r="A15" s="320" t="s">
        <v>662</v>
      </c>
      <c r="B15" s="309" t="s">
        <v>568</v>
      </c>
      <c r="C15" s="310" t="s">
        <v>587</v>
      </c>
      <c r="D15" s="311" t="s">
        <v>663</v>
      </c>
      <c r="E15" s="312">
        <v>0.28000000000000003</v>
      </c>
      <c r="F15" s="312">
        <v>0.2451409560497286</v>
      </c>
      <c r="G15" s="314">
        <v>0.54</v>
      </c>
      <c r="H15" s="314">
        <v>0.47277184381019083</v>
      </c>
      <c r="I15" s="314">
        <v>0.53</v>
      </c>
      <c r="J15" s="314">
        <v>0.46401680966555769</v>
      </c>
      <c r="K15" s="314">
        <v>1.34</v>
      </c>
      <c r="L15" s="313">
        <v>1.173174575380844</v>
      </c>
      <c r="M15" s="314">
        <v>38.285714285714285</v>
      </c>
      <c r="N15" s="313">
        <v>33.519273582309822</v>
      </c>
      <c r="O15" s="327" t="s">
        <v>664</v>
      </c>
      <c r="P15" s="326">
        <v>1.4249999999999998</v>
      </c>
      <c r="Q15" s="313">
        <v>1.2475923656102257</v>
      </c>
      <c r="R15" s="328" t="s">
        <v>56</v>
      </c>
      <c r="S15" s="315" t="s">
        <v>652</v>
      </c>
      <c r="T15" s="315">
        <v>0.20895522388059704</v>
      </c>
      <c r="U15" s="315">
        <v>0.40298507462686567</v>
      </c>
      <c r="V15" s="315">
        <v>0.39552238805970147</v>
      </c>
      <c r="W15" s="315">
        <v>0.9403508771929826</v>
      </c>
      <c r="X15" s="316">
        <v>1046009.53256327</v>
      </c>
      <c r="Y15" s="323"/>
      <c r="Z15" s="318">
        <v>915784.91732032027</v>
      </c>
      <c r="AA15" s="319">
        <v>540</v>
      </c>
    </row>
    <row r="16" spans="1:27" ht="52.5" x14ac:dyDescent="0.25">
      <c r="A16" s="320" t="s">
        <v>662</v>
      </c>
      <c r="B16" s="309" t="s">
        <v>665</v>
      </c>
      <c r="C16" s="310" t="s">
        <v>587</v>
      </c>
      <c r="D16" s="311" t="s">
        <v>663</v>
      </c>
      <c r="E16" s="312">
        <v>0.57999999999999996</v>
      </c>
      <c r="F16" s="312">
        <v>0.50779198038872342</v>
      </c>
      <c r="G16" s="314">
        <v>0.05</v>
      </c>
      <c r="H16" s="314">
        <v>4.3775170723165821E-2</v>
      </c>
      <c r="I16" s="314">
        <v>0.56000000000000005</v>
      </c>
      <c r="J16" s="314">
        <v>0.49028191209945721</v>
      </c>
      <c r="K16" s="314">
        <v>1.2</v>
      </c>
      <c r="L16" s="313">
        <v>1.0506040973559796</v>
      </c>
      <c r="M16" s="314">
        <v>34.285714285714285</v>
      </c>
      <c r="N16" s="313">
        <v>30.01725992445656</v>
      </c>
      <c r="O16" s="327" t="s">
        <v>666</v>
      </c>
      <c r="P16" s="326">
        <v>1.2</v>
      </c>
      <c r="Q16" s="313">
        <v>1.0506040973559796</v>
      </c>
      <c r="R16" s="311" t="s">
        <v>68</v>
      </c>
      <c r="S16" s="315" t="s">
        <v>652</v>
      </c>
      <c r="T16" s="315">
        <v>0.48333333333333334</v>
      </c>
      <c r="U16" s="315">
        <v>4.1666666666666671E-2</v>
      </c>
      <c r="V16" s="315">
        <v>0.46666666666666673</v>
      </c>
      <c r="W16" s="315">
        <v>1</v>
      </c>
      <c r="X16" s="316">
        <v>2166734.03173821</v>
      </c>
      <c r="Y16" s="323"/>
      <c r="Z16" s="318">
        <v>1896983.0430206705</v>
      </c>
      <c r="AA16" s="319"/>
    </row>
    <row r="17" spans="1:27" ht="52.5" x14ac:dyDescent="0.25">
      <c r="A17" s="320" t="s">
        <v>662</v>
      </c>
      <c r="B17" s="309" t="s">
        <v>667</v>
      </c>
      <c r="C17" s="310" t="s">
        <v>587</v>
      </c>
      <c r="D17" s="311" t="s">
        <v>663</v>
      </c>
      <c r="E17" s="312">
        <v>0.42</v>
      </c>
      <c r="F17" s="312">
        <v>0.36771143407459284</v>
      </c>
      <c r="G17" s="314">
        <v>0.48</v>
      </c>
      <c r="H17" s="314">
        <v>0.4202416389423918</v>
      </c>
      <c r="I17" s="314">
        <v>0.25</v>
      </c>
      <c r="J17" s="314">
        <v>0.21887585361582909</v>
      </c>
      <c r="K17" s="314">
        <v>1.1499999999999999</v>
      </c>
      <c r="L17" s="313">
        <v>1.0068289266328136</v>
      </c>
      <c r="M17" s="314">
        <v>32.857142857142854</v>
      </c>
      <c r="N17" s="313">
        <v>28.766540760937534</v>
      </c>
      <c r="O17" s="327" t="s">
        <v>668</v>
      </c>
      <c r="P17" s="326">
        <v>1.1499999999999999</v>
      </c>
      <c r="Q17" s="313">
        <v>1.0068289266328136</v>
      </c>
      <c r="R17" s="311" t="s">
        <v>68</v>
      </c>
      <c r="S17" s="315" t="s">
        <v>652</v>
      </c>
      <c r="T17" s="315">
        <v>0.36521739130434783</v>
      </c>
      <c r="U17" s="315">
        <v>0.41739130434782612</v>
      </c>
      <c r="V17" s="315">
        <v>0.21739130434782611</v>
      </c>
      <c r="W17" s="315">
        <v>1</v>
      </c>
      <c r="X17" s="316">
        <v>1569014.29884491</v>
      </c>
      <c r="Y17" s="323"/>
      <c r="Z17" s="318">
        <v>1373677.375980485</v>
      </c>
      <c r="AA17" s="319"/>
    </row>
    <row r="18" spans="1:27" ht="42" x14ac:dyDescent="0.25">
      <c r="A18" s="320" t="s">
        <v>662</v>
      </c>
      <c r="B18" s="309" t="s">
        <v>669</v>
      </c>
      <c r="C18" s="310" t="s">
        <v>587</v>
      </c>
      <c r="D18" s="311" t="s">
        <v>663</v>
      </c>
      <c r="E18" s="312">
        <v>0.35</v>
      </c>
      <c r="F18" s="312">
        <v>0.30642619506216068</v>
      </c>
      <c r="G18" s="314">
        <v>0.28000000000000003</v>
      </c>
      <c r="H18" s="314">
        <v>0.2451409560497286</v>
      </c>
      <c r="I18" s="314">
        <v>0.24</v>
      </c>
      <c r="J18" s="314">
        <v>0.2101208194711959</v>
      </c>
      <c r="K18" s="314">
        <v>0.87</v>
      </c>
      <c r="L18" s="313">
        <v>0.76168797058308524</v>
      </c>
      <c r="M18" s="314">
        <v>24.857142857142854</v>
      </c>
      <c r="N18" s="313">
        <v>21.762513445231004</v>
      </c>
      <c r="O18" s="314">
        <v>0.9</v>
      </c>
      <c r="P18" s="314">
        <v>0.9</v>
      </c>
      <c r="Q18" s="313">
        <v>0.7879530730169847</v>
      </c>
      <c r="R18" s="328" t="s">
        <v>70</v>
      </c>
      <c r="S18" s="315" t="s">
        <v>652</v>
      </c>
      <c r="T18" s="315">
        <v>0.4022988505747126</v>
      </c>
      <c r="U18" s="315">
        <v>0.32183908045977017</v>
      </c>
      <c r="V18" s="315">
        <v>0.27586206896551724</v>
      </c>
      <c r="W18" s="315">
        <v>0.96666666666666667</v>
      </c>
      <c r="X18" s="316">
        <v>1307511.9157040899</v>
      </c>
      <c r="Y18" s="323"/>
      <c r="Z18" s="318">
        <v>1144731.1466504026</v>
      </c>
      <c r="AA18" s="319"/>
    </row>
    <row r="19" spans="1:27" ht="31.5" x14ac:dyDescent="0.25">
      <c r="A19" s="320" t="s">
        <v>662</v>
      </c>
      <c r="B19" s="309" t="s">
        <v>670</v>
      </c>
      <c r="C19" s="310" t="s">
        <v>586</v>
      </c>
      <c r="D19" s="311" t="s">
        <v>663</v>
      </c>
      <c r="E19" s="312">
        <v>1.21</v>
      </c>
      <c r="F19" s="312">
        <v>1.0593591315006128</v>
      </c>
      <c r="G19" s="314">
        <v>0.95</v>
      </c>
      <c r="H19" s="314">
        <v>0.83172824374015042</v>
      </c>
      <c r="I19" s="314">
        <v>0.15</v>
      </c>
      <c r="J19" s="314">
        <v>0.13132551216949745</v>
      </c>
      <c r="K19" s="314">
        <v>2.31</v>
      </c>
      <c r="L19" s="313">
        <v>2.0224128874102609</v>
      </c>
      <c r="M19" s="314">
        <v>66</v>
      </c>
      <c r="N19" s="313">
        <v>57.783225354578875</v>
      </c>
      <c r="O19" s="330" t="s">
        <v>671</v>
      </c>
      <c r="P19" s="326">
        <v>1.56</v>
      </c>
      <c r="Q19" s="313">
        <v>1.3657853265627735</v>
      </c>
      <c r="R19" s="311" t="s">
        <v>59</v>
      </c>
      <c r="S19" s="315" t="s">
        <v>652</v>
      </c>
      <c r="T19" s="315">
        <v>0.52380952380952384</v>
      </c>
      <c r="U19" s="315">
        <v>0.41125541125541121</v>
      </c>
      <c r="V19" s="315">
        <v>6.4935064935064929E-2</v>
      </c>
      <c r="W19" s="315">
        <v>1.4807692307692308</v>
      </c>
      <c r="X19" s="316">
        <v>4520255.48000558</v>
      </c>
      <c r="Y19" s="323"/>
      <c r="Z19" s="318">
        <v>3957499.1069914023</v>
      </c>
      <c r="AA19" s="319">
        <v>244</v>
      </c>
    </row>
    <row r="20" spans="1:27" ht="52.5" x14ac:dyDescent="0.25">
      <c r="A20" s="320" t="s">
        <v>160</v>
      </c>
      <c r="B20" s="309" t="s">
        <v>543</v>
      </c>
      <c r="C20" s="310" t="s">
        <v>10</v>
      </c>
      <c r="D20" s="311" t="s">
        <v>10</v>
      </c>
      <c r="E20" s="312">
        <v>0.57999999999999996</v>
      </c>
      <c r="F20" s="312">
        <v>0.50779198038872342</v>
      </c>
      <c r="G20" s="314">
        <v>0.96</v>
      </c>
      <c r="H20" s="314">
        <v>0.84048327788478361</v>
      </c>
      <c r="I20" s="314">
        <v>1.1100000000000001</v>
      </c>
      <c r="J20" s="314">
        <v>0.97180879005428122</v>
      </c>
      <c r="K20" s="314">
        <v>2.65</v>
      </c>
      <c r="L20" s="313">
        <v>2.320084048327788</v>
      </c>
      <c r="M20" s="314">
        <v>75.714285714285708</v>
      </c>
      <c r="N20" s="313">
        <v>66.288115666508233</v>
      </c>
      <c r="O20" s="327" t="s">
        <v>672</v>
      </c>
      <c r="P20" s="326">
        <v>2.665</v>
      </c>
      <c r="Q20" s="313">
        <v>2.333216599544738</v>
      </c>
      <c r="R20" s="328" t="s">
        <v>56</v>
      </c>
      <c r="S20" s="315" t="s">
        <v>652</v>
      </c>
      <c r="T20" s="315">
        <v>0.21886792452830187</v>
      </c>
      <c r="U20" s="315">
        <v>0.3622641509433962</v>
      </c>
      <c r="V20" s="315">
        <v>0.41886792452830196</v>
      </c>
      <c r="W20" s="315">
        <v>0.99437148217636018</v>
      </c>
      <c r="X20" s="316">
        <v>2166734.03173821</v>
      </c>
      <c r="Y20" s="317"/>
      <c r="Z20" s="318">
        <v>1896983.0430206705</v>
      </c>
      <c r="AA20" s="319">
        <v>269.92</v>
      </c>
    </row>
    <row r="21" spans="1:27" x14ac:dyDescent="0.25">
      <c r="A21" s="320" t="s">
        <v>160</v>
      </c>
      <c r="B21" s="309" t="s">
        <v>544</v>
      </c>
      <c r="C21" s="310" t="s">
        <v>10</v>
      </c>
      <c r="D21" s="311" t="s">
        <v>10</v>
      </c>
      <c r="E21" s="312">
        <v>0.1</v>
      </c>
      <c r="F21" s="312">
        <v>8.7550341446331642E-2</v>
      </c>
      <c r="G21" s="313">
        <v>0.23</v>
      </c>
      <c r="H21" s="313">
        <v>0.20136578532656277</v>
      </c>
      <c r="I21" s="313">
        <v>1.23</v>
      </c>
      <c r="J21" s="313">
        <v>1.0768691997898792</v>
      </c>
      <c r="K21" s="313">
        <v>1.56</v>
      </c>
      <c r="L21" s="313">
        <v>1.3657853265627735</v>
      </c>
      <c r="M21" s="314">
        <v>44.571428571428569</v>
      </c>
      <c r="N21" s="313">
        <v>39.022437901793523</v>
      </c>
      <c r="O21" s="313">
        <v>0.75</v>
      </c>
      <c r="P21" s="313">
        <v>0.75</v>
      </c>
      <c r="Q21" s="313" t="s">
        <v>482</v>
      </c>
      <c r="R21" s="311" t="s">
        <v>71</v>
      </c>
      <c r="S21" s="315" t="s">
        <v>652</v>
      </c>
      <c r="T21" s="315">
        <v>6.4102564102564111E-2</v>
      </c>
      <c r="U21" s="315">
        <v>0.14743589743589744</v>
      </c>
      <c r="V21" s="315">
        <v>0.78846153846153844</v>
      </c>
      <c r="W21" s="315">
        <v>2.08</v>
      </c>
      <c r="X21" s="316">
        <v>373574.83305831201</v>
      </c>
      <c r="Y21" s="317">
        <v>562085.0233740448</v>
      </c>
      <c r="Z21" s="331">
        <v>562085.0233740448</v>
      </c>
      <c r="AA21" s="319">
        <v>119.19000000000001</v>
      </c>
    </row>
    <row r="22" spans="1:27" x14ac:dyDescent="0.25">
      <c r="A22" s="320" t="s">
        <v>160</v>
      </c>
      <c r="B22" s="309" t="s">
        <v>545</v>
      </c>
      <c r="C22" s="310" t="s">
        <v>10</v>
      </c>
      <c r="D22" s="311" t="s">
        <v>10</v>
      </c>
      <c r="E22" s="312">
        <v>0.05</v>
      </c>
      <c r="F22" s="312">
        <v>4.3775170723165821E-2</v>
      </c>
      <c r="G22" s="313">
        <v>0.16</v>
      </c>
      <c r="H22" s="313">
        <v>0.14008054631413061</v>
      </c>
      <c r="I22" s="313">
        <v>1.38</v>
      </c>
      <c r="J22" s="313">
        <v>1.2081947119593763</v>
      </c>
      <c r="K22" s="313">
        <v>1.59</v>
      </c>
      <c r="L22" s="313">
        <v>1.3920504289966731</v>
      </c>
      <c r="M22" s="314">
        <v>45.428571428571423</v>
      </c>
      <c r="N22" s="313">
        <v>39.772869399904934</v>
      </c>
      <c r="O22" s="321" t="s">
        <v>673</v>
      </c>
      <c r="P22" s="312">
        <v>0.74</v>
      </c>
      <c r="Q22" s="313" t="s">
        <v>482</v>
      </c>
      <c r="R22" s="311" t="s">
        <v>71</v>
      </c>
      <c r="S22" s="315" t="s">
        <v>652</v>
      </c>
      <c r="T22" s="315">
        <v>3.1446540880503145E-2</v>
      </c>
      <c r="U22" s="315">
        <v>0.10062893081761005</v>
      </c>
      <c r="V22" s="315">
        <v>0.86792452830188671</v>
      </c>
      <c r="W22" s="315">
        <v>2.1486486486486487</v>
      </c>
      <c r="X22" s="316">
        <v>186787.41652915601</v>
      </c>
      <c r="Y22" s="317">
        <v>395088.6343271326</v>
      </c>
      <c r="Z22" s="331">
        <v>395088.6343271326</v>
      </c>
      <c r="AA22" s="319">
        <v>120.495</v>
      </c>
    </row>
    <row r="23" spans="1:27" x14ac:dyDescent="0.25">
      <c r="A23" s="320" t="s">
        <v>160</v>
      </c>
      <c r="B23" s="309" t="s">
        <v>545</v>
      </c>
      <c r="C23" s="310" t="s">
        <v>10</v>
      </c>
      <c r="D23" s="311" t="s">
        <v>10</v>
      </c>
      <c r="E23" s="312">
        <v>0.05</v>
      </c>
      <c r="F23" s="312">
        <v>4.3775170723165821E-2</v>
      </c>
      <c r="G23" s="313">
        <v>0.16</v>
      </c>
      <c r="H23" s="313">
        <v>0.14008054631413061</v>
      </c>
      <c r="I23" s="313">
        <v>1.38</v>
      </c>
      <c r="J23" s="313">
        <v>1.2081947119593763</v>
      </c>
      <c r="K23" s="313">
        <v>1.59</v>
      </c>
      <c r="L23" s="313">
        <v>1.3920504289966731</v>
      </c>
      <c r="M23" s="314">
        <v>45.428571428571423</v>
      </c>
      <c r="N23" s="313">
        <v>39.772869399904934</v>
      </c>
      <c r="O23" s="321" t="s">
        <v>673</v>
      </c>
      <c r="P23" s="312">
        <v>0.74</v>
      </c>
      <c r="Q23" s="313" t="s">
        <v>482</v>
      </c>
      <c r="R23" s="311" t="s">
        <v>71</v>
      </c>
      <c r="S23" s="315" t="s">
        <v>652</v>
      </c>
      <c r="T23" s="315">
        <v>3.1446540880503145E-2</v>
      </c>
      <c r="U23" s="315">
        <v>0.10062893081761005</v>
      </c>
      <c r="V23" s="315">
        <v>0.86792452830188671</v>
      </c>
      <c r="W23" s="315">
        <v>2.1486486486486487</v>
      </c>
      <c r="X23" s="316">
        <v>186787.41652915601</v>
      </c>
      <c r="Y23" s="317">
        <v>676679.07915665256</v>
      </c>
      <c r="Z23" s="331">
        <v>676679.07915665256</v>
      </c>
      <c r="AA23" s="319">
        <v>121.04900000000001</v>
      </c>
    </row>
    <row r="24" spans="1:27" ht="21" x14ac:dyDescent="0.25">
      <c r="A24" s="320" t="s">
        <v>160</v>
      </c>
      <c r="B24" s="309" t="s">
        <v>546</v>
      </c>
      <c r="C24" s="310" t="s">
        <v>10</v>
      </c>
      <c r="D24" s="311" t="s">
        <v>10</v>
      </c>
      <c r="E24" s="312">
        <v>0.24</v>
      </c>
      <c r="F24" s="312">
        <v>0.2101208194711959</v>
      </c>
      <c r="G24" s="314">
        <v>0.38</v>
      </c>
      <c r="H24" s="314">
        <v>0.33269129749606019</v>
      </c>
      <c r="I24" s="314">
        <v>1.03</v>
      </c>
      <c r="J24" s="314">
        <v>0.90176851689721582</v>
      </c>
      <c r="K24" s="314">
        <v>1.65</v>
      </c>
      <c r="L24" s="313">
        <v>1.4445806338644718</v>
      </c>
      <c r="M24" s="314">
        <v>47.142857142857139</v>
      </c>
      <c r="N24" s="313">
        <v>41.27373239612777</v>
      </c>
      <c r="O24" s="314">
        <v>1.2</v>
      </c>
      <c r="P24" s="314">
        <v>1.2</v>
      </c>
      <c r="Q24" s="313">
        <v>1.0506040973559796</v>
      </c>
      <c r="R24" s="311" t="s">
        <v>62</v>
      </c>
      <c r="S24" s="315" t="s">
        <v>652</v>
      </c>
      <c r="T24" s="315">
        <v>0.14545454545454545</v>
      </c>
      <c r="U24" s="315">
        <v>0.23030303030303031</v>
      </c>
      <c r="V24" s="315">
        <v>0.62424242424242427</v>
      </c>
      <c r="W24" s="315">
        <v>1.375</v>
      </c>
      <c r="X24" s="316">
        <v>896579.59933995001</v>
      </c>
      <c r="Y24" s="317">
        <v>698793.49552411214</v>
      </c>
      <c r="Z24" s="318">
        <v>784958.50056027831</v>
      </c>
      <c r="AA24" s="319">
        <v>2540</v>
      </c>
    </row>
    <row r="25" spans="1:27" ht="21" x14ac:dyDescent="0.25">
      <c r="A25" s="320" t="s">
        <v>160</v>
      </c>
      <c r="B25" s="309" t="s">
        <v>547</v>
      </c>
      <c r="C25" s="310" t="s">
        <v>10</v>
      </c>
      <c r="D25" s="311" t="s">
        <v>10</v>
      </c>
      <c r="E25" s="312">
        <v>0.09</v>
      </c>
      <c r="F25" s="312">
        <v>7.8795307301698467E-2</v>
      </c>
      <c r="G25" s="314">
        <v>0.32</v>
      </c>
      <c r="H25" s="314">
        <v>0.28016109262826122</v>
      </c>
      <c r="I25" s="314">
        <v>0.85</v>
      </c>
      <c r="J25" s="314">
        <v>0.74417790229381886</v>
      </c>
      <c r="K25" s="314">
        <v>1.25</v>
      </c>
      <c r="L25" s="313">
        <v>1.0943792680791453</v>
      </c>
      <c r="M25" s="314">
        <v>35.714285714285708</v>
      </c>
      <c r="N25" s="313">
        <v>31.267979087975579</v>
      </c>
      <c r="O25" s="314">
        <v>0.75</v>
      </c>
      <c r="P25" s="314">
        <v>0.75</v>
      </c>
      <c r="Q25" s="313">
        <v>0.65662756084748719</v>
      </c>
      <c r="R25" s="311" t="s">
        <v>62</v>
      </c>
      <c r="S25" s="315" t="s">
        <v>652</v>
      </c>
      <c r="T25" s="315">
        <v>7.1999999999999995E-2</v>
      </c>
      <c r="U25" s="315">
        <v>0.25600000000000001</v>
      </c>
      <c r="V25" s="315">
        <v>0.67999999999999994</v>
      </c>
      <c r="W25" s="315">
        <v>1.6666666666666667</v>
      </c>
      <c r="X25" s="316">
        <v>336217.34975248098</v>
      </c>
      <c r="Y25" s="317">
        <v>258124.2188519116</v>
      </c>
      <c r="Z25" s="318">
        <v>294359.43771010416</v>
      </c>
      <c r="AA25" s="319">
        <v>2560</v>
      </c>
    </row>
    <row r="26" spans="1:27" ht="31.5" x14ac:dyDescent="0.25">
      <c r="A26" s="320" t="s">
        <v>160</v>
      </c>
      <c r="B26" s="309" t="s">
        <v>548</v>
      </c>
      <c r="C26" s="310" t="s">
        <v>10</v>
      </c>
      <c r="D26" s="311" t="s">
        <v>10</v>
      </c>
      <c r="E26" s="312">
        <v>0.47</v>
      </c>
      <c r="F26" s="312">
        <v>0.41148660479775867</v>
      </c>
      <c r="G26" s="314">
        <v>0.31</v>
      </c>
      <c r="H26" s="314">
        <v>0.27140605848362803</v>
      </c>
      <c r="I26" s="314">
        <v>0.82</v>
      </c>
      <c r="J26" s="314">
        <v>0.71791279985991929</v>
      </c>
      <c r="K26" s="314">
        <v>1.6</v>
      </c>
      <c r="L26" s="313">
        <v>1.4008054631413063</v>
      </c>
      <c r="M26" s="314">
        <v>45.714285714285715</v>
      </c>
      <c r="N26" s="313">
        <v>40.023013232608747</v>
      </c>
      <c r="O26" s="314">
        <v>1.1100000000000001</v>
      </c>
      <c r="P26" s="314">
        <v>1.1100000000000001</v>
      </c>
      <c r="Q26" s="313">
        <v>0.97180879005428122</v>
      </c>
      <c r="R26" s="328" t="s">
        <v>74</v>
      </c>
      <c r="S26" s="315" t="s">
        <v>652</v>
      </c>
      <c r="T26" s="315">
        <v>0.29374999999999996</v>
      </c>
      <c r="U26" s="315">
        <v>0.19374999999999998</v>
      </c>
      <c r="V26" s="315">
        <v>0.51249999999999996</v>
      </c>
      <c r="W26" s="315">
        <v>1.4414414414414414</v>
      </c>
      <c r="X26" s="316">
        <v>1755801.71537406</v>
      </c>
      <c r="Y26" s="323"/>
      <c r="Z26" s="318">
        <v>1537210.3969305374</v>
      </c>
      <c r="AA26" s="319">
        <v>436</v>
      </c>
    </row>
    <row r="27" spans="1:27" ht="31.5" x14ac:dyDescent="0.25">
      <c r="A27" s="320" t="s">
        <v>160</v>
      </c>
      <c r="B27" s="309" t="s">
        <v>549</v>
      </c>
      <c r="C27" s="310" t="s">
        <v>10</v>
      </c>
      <c r="D27" s="311" t="s">
        <v>10</v>
      </c>
      <c r="E27" s="312">
        <v>0.73</v>
      </c>
      <c r="F27" s="312">
        <v>0.63911749255822092</v>
      </c>
      <c r="G27" s="314">
        <v>0.5</v>
      </c>
      <c r="H27" s="314">
        <v>0.43775170723165818</v>
      </c>
      <c r="I27" s="314">
        <v>0.55000000000000004</v>
      </c>
      <c r="J27" s="314">
        <v>0.48152687795482402</v>
      </c>
      <c r="K27" s="314">
        <v>1.79</v>
      </c>
      <c r="L27" s="313">
        <v>1.5671511118893362</v>
      </c>
      <c r="M27" s="314">
        <v>51.142857142857139</v>
      </c>
      <c r="N27" s="313">
        <v>44.775746053981031</v>
      </c>
      <c r="O27" s="314">
        <v>1.62</v>
      </c>
      <c r="P27" s="314">
        <v>1.62</v>
      </c>
      <c r="Q27" s="313">
        <v>1.4183155314305727</v>
      </c>
      <c r="R27" s="328" t="s">
        <v>74</v>
      </c>
      <c r="S27" s="315" t="s">
        <v>652</v>
      </c>
      <c r="T27" s="315">
        <v>0.40782122905027929</v>
      </c>
      <c r="U27" s="315">
        <v>0.27932960893854747</v>
      </c>
      <c r="V27" s="315">
        <v>0.30726256983240224</v>
      </c>
      <c r="W27" s="315">
        <v>1.1049382716049383</v>
      </c>
      <c r="X27" s="316">
        <v>2727096.2813256802</v>
      </c>
      <c r="Y27" s="316"/>
      <c r="Z27" s="318">
        <v>2387582.1058708457</v>
      </c>
      <c r="AA27" s="319">
        <v>307</v>
      </c>
    </row>
    <row r="28" spans="1:27" x14ac:dyDescent="0.25">
      <c r="A28" s="320" t="s">
        <v>160</v>
      </c>
      <c r="B28" s="309" t="s">
        <v>158</v>
      </c>
      <c r="C28" s="310" t="s">
        <v>10</v>
      </c>
      <c r="D28" s="311" t="s">
        <v>10</v>
      </c>
      <c r="E28" s="312" t="s">
        <v>482</v>
      </c>
      <c r="F28" s="312" t="s">
        <v>482</v>
      </c>
      <c r="G28" s="324" t="s">
        <v>482</v>
      </c>
      <c r="H28" s="324" t="s">
        <v>482</v>
      </c>
      <c r="I28" s="324" t="s">
        <v>482</v>
      </c>
      <c r="J28" s="324" t="s">
        <v>482</v>
      </c>
      <c r="K28" s="324">
        <v>0.93</v>
      </c>
      <c r="L28" s="313">
        <v>0.81421817545088426</v>
      </c>
      <c r="M28" s="314">
        <v>26.571428571428569</v>
      </c>
      <c r="N28" s="313">
        <v>23.263376441453833</v>
      </c>
      <c r="O28" s="313">
        <v>0.96</v>
      </c>
      <c r="P28" s="313">
        <v>0.96</v>
      </c>
      <c r="Q28" s="313">
        <v>0.84048327788478361</v>
      </c>
      <c r="R28" s="311" t="s">
        <v>77</v>
      </c>
      <c r="S28" s="315" t="s">
        <v>652</v>
      </c>
      <c r="T28" s="315" t="e">
        <v>#VALUE!</v>
      </c>
      <c r="U28" s="315" t="e">
        <v>#VALUE!</v>
      </c>
      <c r="V28" s="315" t="e">
        <v>#VALUE!</v>
      </c>
      <c r="W28" s="315">
        <v>0.96875000000000011</v>
      </c>
      <c r="X28" s="316" t="s">
        <v>482</v>
      </c>
      <c r="Y28" s="316"/>
      <c r="Z28" s="332" t="s">
        <v>482</v>
      </c>
      <c r="AA28" s="319">
        <v>500</v>
      </c>
    </row>
    <row r="29" spans="1:27" x14ac:dyDescent="0.25">
      <c r="A29" s="320" t="s">
        <v>160</v>
      </c>
      <c r="B29" s="309" t="s">
        <v>256</v>
      </c>
      <c r="C29" s="310" t="s">
        <v>10</v>
      </c>
      <c r="D29" s="311" t="s">
        <v>10</v>
      </c>
      <c r="E29" s="312" t="s">
        <v>482</v>
      </c>
      <c r="F29" s="312" t="s">
        <v>482</v>
      </c>
      <c r="G29" s="324" t="s">
        <v>482</v>
      </c>
      <c r="H29" s="324" t="s">
        <v>482</v>
      </c>
      <c r="I29" s="324" t="s">
        <v>482</v>
      </c>
      <c r="J29" s="324" t="s">
        <v>482</v>
      </c>
      <c r="K29" s="324">
        <v>0.97</v>
      </c>
      <c r="L29" s="313">
        <v>0.8492383120294168</v>
      </c>
      <c r="M29" s="314">
        <v>27.714285714285712</v>
      </c>
      <c r="N29" s="313">
        <v>24.263951772269049</v>
      </c>
      <c r="O29" s="313">
        <v>1.01</v>
      </c>
      <c r="P29" s="313">
        <v>1.01</v>
      </c>
      <c r="Q29" s="313">
        <v>0.88425844860794944</v>
      </c>
      <c r="R29" s="311" t="s">
        <v>77</v>
      </c>
      <c r="S29" s="315" t="s">
        <v>652</v>
      </c>
      <c r="T29" s="315" t="e">
        <v>#VALUE!</v>
      </c>
      <c r="U29" s="315" t="e">
        <v>#VALUE!</v>
      </c>
      <c r="V29" s="315" t="e">
        <v>#VALUE!</v>
      </c>
      <c r="W29" s="315">
        <v>0.96039603960396036</v>
      </c>
      <c r="X29" s="316" t="s">
        <v>482</v>
      </c>
      <c r="Y29" s="316"/>
      <c r="Z29" s="332" t="s">
        <v>482</v>
      </c>
      <c r="AA29" s="319">
        <v>500</v>
      </c>
    </row>
    <row r="30" spans="1:27" x14ac:dyDescent="0.25">
      <c r="A30" s="320" t="s">
        <v>160</v>
      </c>
      <c r="B30" s="309" t="s">
        <v>550</v>
      </c>
      <c r="C30" s="310" t="s">
        <v>10</v>
      </c>
      <c r="D30" s="311" t="s">
        <v>10</v>
      </c>
      <c r="E30" s="312" t="s">
        <v>482</v>
      </c>
      <c r="F30" s="312" t="s">
        <v>482</v>
      </c>
      <c r="G30" s="324" t="s">
        <v>482</v>
      </c>
      <c r="H30" s="324" t="s">
        <v>482</v>
      </c>
      <c r="I30" s="324" t="s">
        <v>482</v>
      </c>
      <c r="J30" s="324" t="s">
        <v>482</v>
      </c>
      <c r="K30" s="324">
        <v>1.34</v>
      </c>
      <c r="L30" s="313">
        <v>1.173174575380844</v>
      </c>
      <c r="M30" s="314">
        <v>38.285714285714285</v>
      </c>
      <c r="N30" s="313">
        <v>33.519273582309822</v>
      </c>
      <c r="O30" s="313">
        <v>1.38</v>
      </c>
      <c r="P30" s="313">
        <v>1.38</v>
      </c>
      <c r="Q30" s="313">
        <v>1.2081947119593763</v>
      </c>
      <c r="R30" s="311" t="s">
        <v>77</v>
      </c>
      <c r="S30" s="315" t="s">
        <v>652</v>
      </c>
      <c r="T30" s="315" t="e">
        <v>#VALUE!</v>
      </c>
      <c r="U30" s="315" t="e">
        <v>#VALUE!</v>
      </c>
      <c r="V30" s="315" t="e">
        <v>#VALUE!</v>
      </c>
      <c r="W30" s="315">
        <v>0.97101449275362328</v>
      </c>
      <c r="X30" s="316" t="s">
        <v>482</v>
      </c>
      <c r="Y30" s="316"/>
      <c r="Z30" s="332" t="s">
        <v>482</v>
      </c>
      <c r="AA30" s="319">
        <v>500</v>
      </c>
    </row>
    <row r="31" spans="1:27" ht="21" x14ac:dyDescent="0.25">
      <c r="A31" s="320" t="s">
        <v>160</v>
      </c>
      <c r="B31" s="309" t="s">
        <v>551</v>
      </c>
      <c r="C31" s="310" t="s">
        <v>10</v>
      </c>
      <c r="D31" s="311" t="s">
        <v>10</v>
      </c>
      <c r="E31" s="312">
        <v>0.75</v>
      </c>
      <c r="F31" s="312">
        <v>0.65662756084748719</v>
      </c>
      <c r="G31" s="314">
        <v>0.83</v>
      </c>
      <c r="H31" s="314">
        <v>0.72666783400455248</v>
      </c>
      <c r="I31" s="314">
        <v>0.94</v>
      </c>
      <c r="J31" s="314">
        <v>0.82297320959551734</v>
      </c>
      <c r="K31" s="314">
        <v>2.52</v>
      </c>
      <c r="L31" s="313">
        <v>2.206268604447557</v>
      </c>
      <c r="M31" s="314">
        <v>72</v>
      </c>
      <c r="N31" s="313">
        <v>63.036245841358777</v>
      </c>
      <c r="O31" s="314">
        <v>2.0299999999999998</v>
      </c>
      <c r="P31" s="314">
        <v>2.0299999999999998</v>
      </c>
      <c r="Q31" s="313">
        <v>1.7772719313605321</v>
      </c>
      <c r="R31" s="311" t="s">
        <v>65</v>
      </c>
      <c r="S31" s="315" t="s">
        <v>652</v>
      </c>
      <c r="T31" s="315">
        <v>0.29761904761904762</v>
      </c>
      <c r="U31" s="315">
        <v>0.32936507936507936</v>
      </c>
      <c r="V31" s="315">
        <v>0.37301587301587297</v>
      </c>
      <c r="W31" s="315">
        <v>1.2413793103448276</v>
      </c>
      <c r="X31" s="316">
        <v>2801811.2479373398</v>
      </c>
      <c r="Y31" s="316"/>
      <c r="Z31" s="318">
        <v>2452995.3142508664</v>
      </c>
      <c r="AA31" s="319">
        <v>210</v>
      </c>
    </row>
    <row r="32" spans="1:27" ht="31.5" x14ac:dyDescent="0.25">
      <c r="A32" s="333" t="s">
        <v>674</v>
      </c>
      <c r="B32" s="309" t="s">
        <v>675</v>
      </c>
      <c r="C32" s="310" t="s">
        <v>663</v>
      </c>
      <c r="D32" s="311" t="s">
        <v>663</v>
      </c>
      <c r="E32" s="312">
        <v>0.64</v>
      </c>
      <c r="F32" s="312">
        <v>0.56032218525652244</v>
      </c>
      <c r="G32" s="314">
        <v>0.17</v>
      </c>
      <c r="H32" s="314">
        <v>0.1488355804587638</v>
      </c>
      <c r="I32" s="314">
        <v>0.69</v>
      </c>
      <c r="J32" s="314">
        <v>0.60409735597968817</v>
      </c>
      <c r="K32" s="314">
        <v>1.5</v>
      </c>
      <c r="L32" s="313">
        <v>1.3132551216949744</v>
      </c>
      <c r="M32" s="314">
        <v>42.857142857142854</v>
      </c>
      <c r="N32" s="313">
        <v>37.521574905570695</v>
      </c>
      <c r="O32" s="327" t="s">
        <v>676</v>
      </c>
      <c r="P32" s="326">
        <v>1.53</v>
      </c>
      <c r="Q32" s="313">
        <v>1.3395202241288739</v>
      </c>
      <c r="R32" s="311" t="s">
        <v>59</v>
      </c>
      <c r="S32" s="315" t="s">
        <v>652</v>
      </c>
      <c r="T32" s="315">
        <v>0.42666666666666669</v>
      </c>
      <c r="U32" s="315">
        <v>0.11333333333333334</v>
      </c>
      <c r="V32" s="315">
        <v>0.45999999999999996</v>
      </c>
      <c r="W32" s="315">
        <v>0.98039215686274506</v>
      </c>
      <c r="X32" s="316">
        <v>2390878.9315732</v>
      </c>
      <c r="Y32" s="316"/>
      <c r="Z32" s="318">
        <v>2093222.6681607424</v>
      </c>
      <c r="AA32" s="319">
        <v>244</v>
      </c>
    </row>
    <row r="33" spans="1:27" ht="31.5" x14ac:dyDescent="0.25">
      <c r="A33" s="333" t="s">
        <v>674</v>
      </c>
      <c r="B33" s="309" t="s">
        <v>677</v>
      </c>
      <c r="C33" s="310" t="s">
        <v>663</v>
      </c>
      <c r="D33" s="311" t="s">
        <v>663</v>
      </c>
      <c r="E33" s="312">
        <v>0.56000000000000005</v>
      </c>
      <c r="F33" s="312">
        <v>0.49028191209945721</v>
      </c>
      <c r="G33" s="314">
        <v>0.26</v>
      </c>
      <c r="H33" s="314">
        <v>0.22763088776046225</v>
      </c>
      <c r="I33" s="314">
        <v>1.02</v>
      </c>
      <c r="J33" s="314">
        <v>0.89301348275258263</v>
      </c>
      <c r="K33" s="314">
        <v>1.84</v>
      </c>
      <c r="L33" s="313">
        <v>1.6109262826125021</v>
      </c>
      <c r="M33" s="314">
        <v>52.571428571428569</v>
      </c>
      <c r="N33" s="313">
        <v>46.026465217500053</v>
      </c>
      <c r="O33" s="330" t="s">
        <v>678</v>
      </c>
      <c r="P33" s="326">
        <v>1.7000000000000002</v>
      </c>
      <c r="Q33" s="313">
        <v>1.4883558045876379</v>
      </c>
      <c r="R33" s="311" t="s">
        <v>59</v>
      </c>
      <c r="S33" s="315" t="s">
        <v>652</v>
      </c>
      <c r="T33" s="315">
        <v>0.30434782608695654</v>
      </c>
      <c r="U33" s="315">
        <v>0.14130434782608695</v>
      </c>
      <c r="V33" s="315">
        <v>0.55434782608695654</v>
      </c>
      <c r="W33" s="315">
        <v>1.0823529411764705</v>
      </c>
      <c r="X33" s="316">
        <v>2092019.0651265499</v>
      </c>
      <c r="Y33" s="316"/>
      <c r="Z33" s="318">
        <v>1831569.8346406494</v>
      </c>
      <c r="AA33" s="319">
        <v>244</v>
      </c>
    </row>
    <row r="34" spans="1:27" ht="31.5" x14ac:dyDescent="0.25">
      <c r="A34" s="333" t="s">
        <v>674</v>
      </c>
      <c r="B34" s="309" t="s">
        <v>679</v>
      </c>
      <c r="C34" s="310" t="s">
        <v>663</v>
      </c>
      <c r="D34" s="311" t="s">
        <v>663</v>
      </c>
      <c r="E34" s="312">
        <v>1.26</v>
      </c>
      <c r="F34" s="312">
        <v>1.1031343022237785</v>
      </c>
      <c r="G34" s="314">
        <v>0.71</v>
      </c>
      <c r="H34" s="314">
        <v>0.62160742426895454</v>
      </c>
      <c r="I34" s="314">
        <v>0.46</v>
      </c>
      <c r="J34" s="314">
        <v>0.40273157065312554</v>
      </c>
      <c r="K34" s="314">
        <v>2.4300000000000002</v>
      </c>
      <c r="L34" s="313">
        <v>2.1274732971458588</v>
      </c>
      <c r="M34" s="314">
        <v>69.428571428571431</v>
      </c>
      <c r="N34" s="313">
        <v>60.784951347024538</v>
      </c>
      <c r="O34" s="327" t="s">
        <v>680</v>
      </c>
      <c r="P34" s="326">
        <v>2.54</v>
      </c>
      <c r="Q34" s="313">
        <v>2.2237786727368234</v>
      </c>
      <c r="R34" s="311" t="s">
        <v>59</v>
      </c>
      <c r="S34" s="315" t="s">
        <v>652</v>
      </c>
      <c r="T34" s="315">
        <v>0.51851851851851849</v>
      </c>
      <c r="U34" s="315">
        <v>0.29218106995884768</v>
      </c>
      <c r="V34" s="315">
        <v>0.18930041152263374</v>
      </c>
      <c r="W34" s="315">
        <v>0.95669291338582685</v>
      </c>
      <c r="X34" s="316">
        <v>4707042.8965347297</v>
      </c>
      <c r="Y34" s="316"/>
      <c r="Z34" s="318">
        <v>4121032.1279414543</v>
      </c>
      <c r="AA34" s="319">
        <v>244</v>
      </c>
    </row>
    <row r="35" spans="1:27" ht="31.5" x14ac:dyDescent="0.25">
      <c r="A35" s="333" t="s">
        <v>674</v>
      </c>
      <c r="B35" s="309" t="s">
        <v>681</v>
      </c>
      <c r="C35" s="310" t="s">
        <v>663</v>
      </c>
      <c r="D35" s="311" t="s">
        <v>663</v>
      </c>
      <c r="E35" s="312">
        <v>0.76</v>
      </c>
      <c r="F35" s="312">
        <v>0.66538259499212038</v>
      </c>
      <c r="G35" s="314">
        <v>0.53</v>
      </c>
      <c r="H35" s="314">
        <v>0.46401680966555769</v>
      </c>
      <c r="I35" s="314">
        <v>0.75</v>
      </c>
      <c r="J35" s="314">
        <v>0.65662756084748719</v>
      </c>
      <c r="K35" s="314">
        <v>2.0499999999999998</v>
      </c>
      <c r="L35" s="313">
        <v>1.7947819996497982</v>
      </c>
      <c r="M35" s="314">
        <v>58.571428571428562</v>
      </c>
      <c r="N35" s="313">
        <v>51.279485704279949</v>
      </c>
      <c r="O35" s="314">
        <v>1.99</v>
      </c>
      <c r="P35" s="314">
        <v>1.99</v>
      </c>
      <c r="Q35" s="313">
        <v>1.7422517947819995</v>
      </c>
      <c r="R35" s="311" t="s">
        <v>65</v>
      </c>
      <c r="S35" s="315" t="s">
        <v>652</v>
      </c>
      <c r="T35" s="315">
        <v>0.37073170731707322</v>
      </c>
      <c r="U35" s="315">
        <v>0.25853658536585372</v>
      </c>
      <c r="V35" s="315">
        <v>0.36585365853658541</v>
      </c>
      <c r="W35" s="315">
        <v>1.0301507537688441</v>
      </c>
      <c r="X35" s="316">
        <v>2839168.7312431699</v>
      </c>
      <c r="Y35" s="316"/>
      <c r="Z35" s="318">
        <v>2485701.918440877</v>
      </c>
      <c r="AA35" s="319">
        <v>215</v>
      </c>
    </row>
    <row r="36" spans="1:27" ht="31.5" x14ac:dyDescent="0.25">
      <c r="A36" s="320" t="s">
        <v>682</v>
      </c>
      <c r="B36" s="325" t="s">
        <v>683</v>
      </c>
      <c r="C36" s="310" t="s">
        <v>663</v>
      </c>
      <c r="D36" s="311" t="s">
        <v>663</v>
      </c>
      <c r="E36" s="326">
        <v>0.51</v>
      </c>
      <c r="F36" s="326">
        <v>0.44650674137629132</v>
      </c>
      <c r="G36" s="314">
        <v>0.24</v>
      </c>
      <c r="H36" s="314">
        <v>0.2101208194711959</v>
      </c>
      <c r="I36" s="314">
        <v>0.47</v>
      </c>
      <c r="J36" s="314">
        <v>0.41148660479775867</v>
      </c>
      <c r="K36" s="314">
        <v>1.21</v>
      </c>
      <c r="L36" s="313">
        <v>1.0593591315006128</v>
      </c>
      <c r="M36" s="314">
        <v>34.571428571428569</v>
      </c>
      <c r="N36" s="313">
        <v>30.267403757160363</v>
      </c>
      <c r="O36" s="327" t="s">
        <v>684</v>
      </c>
      <c r="P36" s="326">
        <v>0.61499999999999999</v>
      </c>
      <c r="Q36" s="313">
        <v>0.53843459989493958</v>
      </c>
      <c r="R36" s="311" t="s">
        <v>80</v>
      </c>
      <c r="S36" s="315" t="s">
        <v>652</v>
      </c>
      <c r="T36" s="315">
        <v>0.42148760330578516</v>
      </c>
      <c r="U36" s="315">
        <v>0.19834710743801653</v>
      </c>
      <c r="V36" s="315">
        <v>0.38842975206611569</v>
      </c>
      <c r="W36" s="315">
        <v>1.967479674796748</v>
      </c>
      <c r="X36" s="316">
        <v>1905231.6485973899</v>
      </c>
      <c r="Y36" s="316"/>
      <c r="Z36" s="318">
        <v>1668036.8136905881</v>
      </c>
      <c r="AA36" s="319"/>
    </row>
    <row r="37" spans="1:27" x14ac:dyDescent="0.25">
      <c r="A37" s="320"/>
      <c r="B37" s="325" t="s">
        <v>179</v>
      </c>
      <c r="C37" s="310" t="s">
        <v>663</v>
      </c>
      <c r="D37" s="311" t="s">
        <v>663</v>
      </c>
      <c r="E37" s="326">
        <v>0.72</v>
      </c>
      <c r="F37" s="326">
        <v>0.63036245841358773</v>
      </c>
      <c r="G37" s="314">
        <v>0.11</v>
      </c>
      <c r="H37" s="314">
        <v>9.630537559096479E-2</v>
      </c>
      <c r="I37" s="314">
        <v>0.69</v>
      </c>
      <c r="J37" s="314">
        <v>0.60409735597968817</v>
      </c>
      <c r="K37" s="314">
        <v>1.52</v>
      </c>
      <c r="L37" s="313">
        <v>1.3307651899842408</v>
      </c>
      <c r="M37" s="314">
        <v>43.428571428571423</v>
      </c>
      <c r="N37" s="313">
        <v>38.021862570978307</v>
      </c>
      <c r="O37" s="330" t="s">
        <v>685</v>
      </c>
      <c r="P37" s="326">
        <v>0.8600000000000001</v>
      </c>
      <c r="Q37" s="313">
        <v>0.75293293643845216</v>
      </c>
      <c r="R37" s="311" t="s">
        <v>80</v>
      </c>
      <c r="S37" s="315" t="s">
        <v>652</v>
      </c>
      <c r="T37" s="315">
        <v>0.47368421052631576</v>
      </c>
      <c r="U37" s="315">
        <v>7.2368421052631582E-2</v>
      </c>
      <c r="V37" s="315">
        <v>0.4539473684210526</v>
      </c>
      <c r="W37" s="315">
        <v>1.7674418604651161</v>
      </c>
      <c r="X37" s="316">
        <v>2689738.7980198502</v>
      </c>
      <c r="Y37" s="316"/>
      <c r="Z37" s="318">
        <v>2354875.5016808352</v>
      </c>
      <c r="AA37" s="319"/>
    </row>
    <row r="38" spans="1:27" x14ac:dyDescent="0.25">
      <c r="A38" s="320"/>
      <c r="B38" s="325" t="s">
        <v>686</v>
      </c>
      <c r="C38" s="310" t="s">
        <v>663</v>
      </c>
      <c r="D38" s="311" t="s">
        <v>663</v>
      </c>
      <c r="E38" s="326">
        <v>1.08</v>
      </c>
      <c r="F38" s="326">
        <v>0.94554368762038166</v>
      </c>
      <c r="G38" s="314">
        <v>0.4</v>
      </c>
      <c r="H38" s="314">
        <v>0.35020136578532657</v>
      </c>
      <c r="I38" s="314">
        <v>1.1000000000000001</v>
      </c>
      <c r="J38" s="314">
        <v>0.96305375590964803</v>
      </c>
      <c r="K38" s="314">
        <v>2.59</v>
      </c>
      <c r="L38" s="313">
        <v>2.2675538434599893</v>
      </c>
      <c r="M38" s="314">
        <v>73.999999999999986</v>
      </c>
      <c r="N38" s="313">
        <v>64.787252670285397</v>
      </c>
      <c r="O38" s="314">
        <v>1.18</v>
      </c>
      <c r="P38" s="314">
        <v>1.18</v>
      </c>
      <c r="Q38" s="313">
        <v>1.0330940290667132</v>
      </c>
      <c r="R38" s="311" t="s">
        <v>80</v>
      </c>
      <c r="S38" s="315" t="s">
        <v>652</v>
      </c>
      <c r="T38" s="315">
        <v>0.41698841698841704</v>
      </c>
      <c r="U38" s="315">
        <v>0.15444015444015446</v>
      </c>
      <c r="V38" s="315">
        <v>0.42471042471042475</v>
      </c>
      <c r="W38" s="315">
        <v>2.1949152542372881</v>
      </c>
      <c r="X38" s="316">
        <v>4034608.1970297699</v>
      </c>
      <c r="Y38" s="316"/>
      <c r="Z38" s="318">
        <v>3532313.2525212481</v>
      </c>
      <c r="AA38" s="319"/>
    </row>
    <row r="39" spans="1:27" ht="31.5" x14ac:dyDescent="0.25">
      <c r="A39" s="320" t="s">
        <v>687</v>
      </c>
      <c r="B39" s="309" t="s">
        <v>688</v>
      </c>
      <c r="C39" s="310" t="s">
        <v>663</v>
      </c>
      <c r="D39" s="311" t="s">
        <v>663</v>
      </c>
      <c r="E39" s="312">
        <v>0.28000000000000003</v>
      </c>
      <c r="F39" s="312">
        <v>0.2451409560497286</v>
      </c>
      <c r="G39" s="314">
        <v>0.15</v>
      </c>
      <c r="H39" s="314">
        <v>0.13132551216949745</v>
      </c>
      <c r="I39" s="314">
        <v>2.85</v>
      </c>
      <c r="J39" s="314">
        <v>2.4951847312204518</v>
      </c>
      <c r="K39" s="314">
        <v>3.28</v>
      </c>
      <c r="L39" s="313">
        <v>2.8716511994396772</v>
      </c>
      <c r="M39" s="314">
        <v>93.714285714285694</v>
      </c>
      <c r="N39" s="313">
        <v>82.047177126847913</v>
      </c>
      <c r="O39" s="314">
        <v>2.58</v>
      </c>
      <c r="P39" s="314">
        <v>2.58</v>
      </c>
      <c r="Q39" s="313">
        <v>2.2587988093153561</v>
      </c>
      <c r="R39" s="311" t="s">
        <v>62</v>
      </c>
      <c r="S39" s="315" t="s">
        <v>652</v>
      </c>
      <c r="T39" s="315">
        <v>8.5365853658536592E-2</v>
      </c>
      <c r="U39" s="315">
        <v>4.573170731707317E-2</v>
      </c>
      <c r="V39" s="315">
        <v>0.86890243902439035</v>
      </c>
      <c r="W39" s="315">
        <v>1.2713178294573642</v>
      </c>
      <c r="X39" s="316">
        <v>1046009.53256327</v>
      </c>
      <c r="Y39" s="316"/>
      <c r="Z39" s="318">
        <v>915784.91732032027</v>
      </c>
      <c r="AA39" s="319"/>
    </row>
    <row r="40" spans="1:27" ht="31.5" x14ac:dyDescent="0.25">
      <c r="A40" s="320" t="s">
        <v>687</v>
      </c>
      <c r="B40" s="325" t="s">
        <v>689</v>
      </c>
      <c r="C40" s="310" t="s">
        <v>663</v>
      </c>
      <c r="D40" s="311" t="s">
        <v>663</v>
      </c>
      <c r="E40" s="326">
        <v>0.28000000000000003</v>
      </c>
      <c r="F40" s="326">
        <v>0.2451409560497286</v>
      </c>
      <c r="G40" s="314">
        <v>0.15</v>
      </c>
      <c r="H40" s="314">
        <v>0.13132551216949745</v>
      </c>
      <c r="I40" s="314">
        <v>2.2400000000000002</v>
      </c>
      <c r="J40" s="314">
        <v>1.9611276483978288</v>
      </c>
      <c r="K40" s="314">
        <v>2.67</v>
      </c>
      <c r="L40" s="313">
        <v>2.3375941166170544</v>
      </c>
      <c r="M40" s="314">
        <v>76.285714285714278</v>
      </c>
      <c r="N40" s="313">
        <v>66.788403331915845</v>
      </c>
      <c r="O40" s="314">
        <v>1.97</v>
      </c>
      <c r="P40" s="314">
        <v>1.97</v>
      </c>
      <c r="Q40" s="313">
        <v>1.7247417264927332</v>
      </c>
      <c r="R40" s="311" t="s">
        <v>62</v>
      </c>
      <c r="S40" s="315" t="s">
        <v>652</v>
      </c>
      <c r="T40" s="315">
        <v>0.10486891385767791</v>
      </c>
      <c r="U40" s="315">
        <v>5.6179775280898875E-2</v>
      </c>
      <c r="V40" s="315">
        <v>0.83895131086142327</v>
      </c>
      <c r="W40" s="315">
        <v>1.3553299492385786</v>
      </c>
      <c r="X40" s="316">
        <v>1046009.53256327</v>
      </c>
      <c r="Y40" s="316"/>
      <c r="Z40" s="318">
        <v>915784.91732032027</v>
      </c>
      <c r="AA40" s="319"/>
    </row>
    <row r="41" spans="1:27" ht="31.5" x14ac:dyDescent="0.25">
      <c r="A41" s="320" t="s">
        <v>687</v>
      </c>
      <c r="B41" s="325" t="s">
        <v>690</v>
      </c>
      <c r="C41" s="310" t="s">
        <v>663</v>
      </c>
      <c r="D41" s="311" t="s">
        <v>663</v>
      </c>
      <c r="E41" s="326">
        <v>0.42</v>
      </c>
      <c r="F41" s="326">
        <v>0.36771143407459284</v>
      </c>
      <c r="G41" s="314">
        <v>0.43</v>
      </c>
      <c r="H41" s="314">
        <v>0.37646646821922602</v>
      </c>
      <c r="I41" s="314">
        <v>1.1399999999999999</v>
      </c>
      <c r="J41" s="314">
        <v>0.99807389248818057</v>
      </c>
      <c r="K41" s="314">
        <v>2</v>
      </c>
      <c r="L41" s="313">
        <v>1.7510068289266327</v>
      </c>
      <c r="M41" s="314">
        <v>57.142857142857139</v>
      </c>
      <c r="N41" s="313">
        <v>50.028766540760927</v>
      </c>
      <c r="O41" s="314">
        <v>1.52</v>
      </c>
      <c r="P41" s="314">
        <v>1.52</v>
      </c>
      <c r="Q41" s="313">
        <v>1.3307651899842408</v>
      </c>
      <c r="R41" s="311" t="s">
        <v>62</v>
      </c>
      <c r="S41" s="315" t="s">
        <v>652</v>
      </c>
      <c r="T41" s="315">
        <v>0.21</v>
      </c>
      <c r="U41" s="315">
        <v>0.215</v>
      </c>
      <c r="V41" s="315">
        <v>0.56999999999999995</v>
      </c>
      <c r="W41" s="315">
        <v>1.3157894736842106</v>
      </c>
      <c r="X41" s="316">
        <v>1569014.29884491</v>
      </c>
      <c r="Y41" s="316"/>
      <c r="Z41" s="318">
        <v>1373677.375980485</v>
      </c>
      <c r="AA41" s="319"/>
    </row>
    <row r="42" spans="1:27" ht="31.5" x14ac:dyDescent="0.25">
      <c r="A42" s="320" t="s">
        <v>687</v>
      </c>
      <c r="B42" s="325" t="s">
        <v>691</v>
      </c>
      <c r="C42" s="310" t="s">
        <v>663</v>
      </c>
      <c r="D42" s="311" t="s">
        <v>663</v>
      </c>
      <c r="E42" s="326">
        <v>0.4</v>
      </c>
      <c r="F42" s="326">
        <v>0.35020136578532657</v>
      </c>
      <c r="G42" s="314">
        <v>0.48</v>
      </c>
      <c r="H42" s="314">
        <v>0.4202416389423918</v>
      </c>
      <c r="I42" s="314">
        <v>0.51</v>
      </c>
      <c r="J42" s="314">
        <v>0.44650674137629132</v>
      </c>
      <c r="K42" s="314">
        <v>1.38</v>
      </c>
      <c r="L42" s="313">
        <v>1.2081947119593763</v>
      </c>
      <c r="M42" s="314">
        <v>39.428571428571423</v>
      </c>
      <c r="N42" s="313">
        <v>34.519848913125038</v>
      </c>
      <c r="O42" s="314">
        <v>0.95</v>
      </c>
      <c r="P42" s="314">
        <v>0.95</v>
      </c>
      <c r="Q42" s="313">
        <v>0.83172824374015042</v>
      </c>
      <c r="R42" s="311" t="s">
        <v>62</v>
      </c>
      <c r="S42" s="315" t="s">
        <v>652</v>
      </c>
      <c r="T42" s="315">
        <v>0.28985507246376818</v>
      </c>
      <c r="U42" s="315">
        <v>0.34782608695652173</v>
      </c>
      <c r="V42" s="315">
        <v>0.36956521739130438</v>
      </c>
      <c r="W42" s="315">
        <v>1.4526315789473683</v>
      </c>
      <c r="X42" s="316">
        <v>1494299.3322332499</v>
      </c>
      <c r="Y42" s="316"/>
      <c r="Z42" s="318">
        <v>1308264.1676004638</v>
      </c>
      <c r="AA42" s="319"/>
    </row>
    <row r="43" spans="1:27" ht="42" x14ac:dyDescent="0.25">
      <c r="A43" s="334" t="s">
        <v>692</v>
      </c>
      <c r="B43" s="309" t="s">
        <v>568</v>
      </c>
      <c r="C43" s="310" t="s">
        <v>663</v>
      </c>
      <c r="D43" s="311" t="s">
        <v>663</v>
      </c>
      <c r="E43" s="312">
        <v>0.23</v>
      </c>
      <c r="F43" s="312">
        <v>0.20136578532656277</v>
      </c>
      <c r="G43" s="314">
        <v>0.38</v>
      </c>
      <c r="H43" s="314">
        <v>0.33269129749606019</v>
      </c>
      <c r="I43" s="314">
        <v>0.39</v>
      </c>
      <c r="J43" s="314">
        <v>0.34144633164069338</v>
      </c>
      <c r="K43" s="314">
        <v>1</v>
      </c>
      <c r="L43" s="313">
        <v>0.87550341446331637</v>
      </c>
      <c r="M43" s="314">
        <v>28.571428571428569</v>
      </c>
      <c r="N43" s="313">
        <v>25.014383270380463</v>
      </c>
      <c r="O43" s="327" t="s">
        <v>693</v>
      </c>
      <c r="P43" s="326">
        <v>0.995</v>
      </c>
      <c r="Q43" s="313">
        <v>0.87112589739099977</v>
      </c>
      <c r="R43" s="328" t="s">
        <v>56</v>
      </c>
      <c r="S43" s="315" t="s">
        <v>652</v>
      </c>
      <c r="T43" s="315">
        <v>0.23</v>
      </c>
      <c r="U43" s="315">
        <v>0.38</v>
      </c>
      <c r="V43" s="315">
        <v>0.39</v>
      </c>
      <c r="W43" s="315">
        <v>1.0050251256281406</v>
      </c>
      <c r="X43" s="316">
        <v>859222.11603411904</v>
      </c>
      <c r="Y43" s="316"/>
      <c r="Z43" s="318">
        <v>752251.89637026703</v>
      </c>
      <c r="AA43" s="319">
        <v>720</v>
      </c>
    </row>
    <row r="44" spans="1:27" ht="42" x14ac:dyDescent="0.25">
      <c r="A44" s="334" t="s">
        <v>692</v>
      </c>
      <c r="B44" s="309" t="s">
        <v>694</v>
      </c>
      <c r="C44" s="310" t="s">
        <v>663</v>
      </c>
      <c r="D44" s="311" t="s">
        <v>663</v>
      </c>
      <c r="E44" s="312">
        <v>2.41</v>
      </c>
      <c r="F44" s="312">
        <v>2.1099632288565924</v>
      </c>
      <c r="G44" s="313">
        <v>1.06</v>
      </c>
      <c r="H44" s="313">
        <v>0.92803361933111539</v>
      </c>
      <c r="I44" s="313">
        <v>0.7</v>
      </c>
      <c r="J44" s="313">
        <v>0.61285239012432136</v>
      </c>
      <c r="K44" s="313">
        <v>4.17</v>
      </c>
      <c r="L44" s="313">
        <v>3.6508492383120292</v>
      </c>
      <c r="M44" s="314">
        <v>119.14285714285712</v>
      </c>
      <c r="N44" s="313">
        <v>104.30997823748653</v>
      </c>
      <c r="O44" s="321" t="s">
        <v>695</v>
      </c>
      <c r="P44" s="312">
        <v>2.835</v>
      </c>
      <c r="Q44" s="313">
        <v>2.4820521800035018</v>
      </c>
      <c r="R44" s="311" t="s">
        <v>59</v>
      </c>
      <c r="S44" s="315" t="s">
        <v>652</v>
      </c>
      <c r="T44" s="315">
        <v>0.57793764988009599</v>
      </c>
      <c r="U44" s="315">
        <v>0.25419664268585135</v>
      </c>
      <c r="V44" s="315">
        <v>0.16786570743405274</v>
      </c>
      <c r="W44" s="315">
        <v>1.4708994708994709</v>
      </c>
      <c r="X44" s="316">
        <v>9003153.4767053295</v>
      </c>
      <c r="Y44" s="316"/>
      <c r="Z44" s="318">
        <v>7882291.6097927932</v>
      </c>
      <c r="AA44" s="319">
        <v>244</v>
      </c>
    </row>
    <row r="45" spans="1:27" ht="31.5" x14ac:dyDescent="0.25">
      <c r="A45" s="334" t="s">
        <v>696</v>
      </c>
      <c r="B45" s="309" t="s">
        <v>568</v>
      </c>
      <c r="C45" s="310" t="s">
        <v>663</v>
      </c>
      <c r="D45" s="311" t="s">
        <v>663</v>
      </c>
      <c r="E45" s="312">
        <v>0.91</v>
      </c>
      <c r="F45" s="312">
        <v>0.79670810716161788</v>
      </c>
      <c r="G45" s="314">
        <v>2.34</v>
      </c>
      <c r="H45" s="314">
        <v>2.0486779898441601</v>
      </c>
      <c r="I45" s="314">
        <v>1.82</v>
      </c>
      <c r="J45" s="314">
        <v>1.5934162143232358</v>
      </c>
      <c r="K45" s="314">
        <v>5.07</v>
      </c>
      <c r="L45" s="313">
        <v>4.438802311329014</v>
      </c>
      <c r="M45" s="314">
        <v>144.85714285714286</v>
      </c>
      <c r="N45" s="313">
        <v>126.82292318082897</v>
      </c>
      <c r="O45" s="327" t="s">
        <v>697</v>
      </c>
      <c r="P45" s="326">
        <v>5.0649999999999995</v>
      </c>
      <c r="Q45" s="313">
        <v>4.4344247942566968</v>
      </c>
      <c r="R45" s="328" t="s">
        <v>56</v>
      </c>
      <c r="S45" s="315" t="s">
        <v>652</v>
      </c>
      <c r="T45" s="315">
        <v>0.17948717948717949</v>
      </c>
      <c r="U45" s="315">
        <v>0.46153846153846151</v>
      </c>
      <c r="V45" s="315">
        <v>0.35897435897435898</v>
      </c>
      <c r="W45" s="315">
        <v>1.0009871668311947</v>
      </c>
      <c r="X45" s="316">
        <v>3399530.9808306401</v>
      </c>
      <c r="Y45" s="316"/>
      <c r="Z45" s="318">
        <v>2976300.981291052</v>
      </c>
      <c r="AA45" s="319">
        <v>241.4</v>
      </c>
    </row>
    <row r="46" spans="1:27" ht="42" x14ac:dyDescent="0.25">
      <c r="A46" s="335" t="s">
        <v>698</v>
      </c>
      <c r="B46" s="325" t="s">
        <v>694</v>
      </c>
      <c r="C46" s="310" t="s">
        <v>663</v>
      </c>
      <c r="D46" s="311" t="s">
        <v>663</v>
      </c>
      <c r="E46" s="326">
        <v>1.38</v>
      </c>
      <c r="F46" s="326">
        <v>1.2081947119593763</v>
      </c>
      <c r="G46" s="314">
        <v>0.78</v>
      </c>
      <c r="H46" s="314">
        <v>0.68289266328138676</v>
      </c>
      <c r="I46" s="314">
        <v>0.38</v>
      </c>
      <c r="J46" s="314">
        <v>0.33269129749606019</v>
      </c>
      <c r="K46" s="314">
        <v>2.54</v>
      </c>
      <c r="L46" s="313">
        <v>2.2237786727368234</v>
      </c>
      <c r="M46" s="314">
        <v>72.571428571428569</v>
      </c>
      <c r="N46" s="313">
        <v>63.536533506766382</v>
      </c>
      <c r="O46" s="314">
        <v>1.73</v>
      </c>
      <c r="P46" s="314">
        <v>1.73</v>
      </c>
      <c r="Q46" s="313">
        <v>1.5146209070215373</v>
      </c>
      <c r="R46" s="311" t="s">
        <v>59</v>
      </c>
      <c r="S46" s="315" t="s">
        <v>652</v>
      </c>
      <c r="T46" s="315">
        <v>0.54330708661417315</v>
      </c>
      <c r="U46" s="315">
        <v>0.30708661417322836</v>
      </c>
      <c r="V46" s="315">
        <v>0.14960629921259844</v>
      </c>
      <c r="W46" s="315">
        <v>1.4682080924855492</v>
      </c>
      <c r="X46" s="316">
        <v>5155332.6962047098</v>
      </c>
      <c r="Y46" s="316"/>
      <c r="Z46" s="318">
        <v>4513511.3782215985</v>
      </c>
      <c r="AA46" s="319">
        <v>244</v>
      </c>
    </row>
    <row r="47" spans="1:27" ht="31.5" x14ac:dyDescent="0.25">
      <c r="A47" s="320" t="s">
        <v>699</v>
      </c>
      <c r="B47" s="309" t="s">
        <v>700</v>
      </c>
      <c r="C47" s="310" t="s">
        <v>663</v>
      </c>
      <c r="D47" s="311" t="s">
        <v>663</v>
      </c>
      <c r="E47" s="312" t="s">
        <v>482</v>
      </c>
      <c r="F47" s="312" t="s">
        <v>482</v>
      </c>
      <c r="G47" s="336" t="s">
        <v>482</v>
      </c>
      <c r="H47" s="336" t="s">
        <v>482</v>
      </c>
      <c r="I47" s="336" t="s">
        <v>482</v>
      </c>
      <c r="J47" s="336" t="s">
        <v>482</v>
      </c>
      <c r="K47" s="336" t="s">
        <v>482</v>
      </c>
      <c r="L47" s="313" t="e">
        <v>#VALUE!</v>
      </c>
      <c r="M47" s="314"/>
      <c r="N47" s="313">
        <v>0</v>
      </c>
      <c r="O47" s="314">
        <v>3.81</v>
      </c>
      <c r="P47" s="314">
        <v>3.81</v>
      </c>
      <c r="Q47" s="313">
        <v>3.3356680091052353</v>
      </c>
      <c r="R47" s="328" t="s">
        <v>82</v>
      </c>
      <c r="S47" s="315" t="s">
        <v>652</v>
      </c>
      <c r="T47" s="315" t="e">
        <v>#VALUE!</v>
      </c>
      <c r="U47" s="315" t="e">
        <v>#VALUE!</v>
      </c>
      <c r="V47" s="315" t="e">
        <v>#VALUE!</v>
      </c>
      <c r="W47" s="315" t="e">
        <v>#VALUE!</v>
      </c>
      <c r="X47" s="316" t="s">
        <v>482</v>
      </c>
      <c r="Y47" s="316"/>
      <c r="Z47" s="332" t="s">
        <v>482</v>
      </c>
      <c r="AA47" s="319"/>
    </row>
    <row r="48" spans="1:27" ht="31.5" x14ac:dyDescent="0.25">
      <c r="A48" s="320" t="s">
        <v>699</v>
      </c>
      <c r="B48" s="309" t="s">
        <v>701</v>
      </c>
      <c r="C48" s="310" t="s">
        <v>663</v>
      </c>
      <c r="D48" s="311" t="s">
        <v>663</v>
      </c>
      <c r="E48" s="312" t="s">
        <v>482</v>
      </c>
      <c r="F48" s="312" t="s">
        <v>482</v>
      </c>
      <c r="G48" s="336" t="s">
        <v>482</v>
      </c>
      <c r="H48" s="336" t="s">
        <v>482</v>
      </c>
      <c r="I48" s="336" t="s">
        <v>482</v>
      </c>
      <c r="J48" s="336" t="s">
        <v>482</v>
      </c>
      <c r="K48" s="336" t="s">
        <v>482</v>
      </c>
      <c r="L48" s="313" t="e">
        <v>#VALUE!</v>
      </c>
      <c r="M48" s="314"/>
      <c r="N48" s="313">
        <v>0</v>
      </c>
      <c r="O48" s="314">
        <v>3.46</v>
      </c>
      <c r="P48" s="314">
        <v>3.46</v>
      </c>
      <c r="Q48" s="313">
        <v>3.0292418140430746</v>
      </c>
      <c r="R48" s="328" t="s">
        <v>82</v>
      </c>
      <c r="S48" s="315" t="s">
        <v>652</v>
      </c>
      <c r="T48" s="315" t="e">
        <v>#VALUE!</v>
      </c>
      <c r="U48" s="315" t="e">
        <v>#VALUE!</v>
      </c>
      <c r="V48" s="315" t="e">
        <v>#VALUE!</v>
      </c>
      <c r="W48" s="315" t="e">
        <v>#VALUE!</v>
      </c>
      <c r="X48" s="316" t="s">
        <v>482</v>
      </c>
      <c r="Y48" s="316"/>
      <c r="Z48" s="332" t="s">
        <v>482</v>
      </c>
      <c r="AA48" s="319"/>
    </row>
    <row r="49" spans="1:27" x14ac:dyDescent="0.25">
      <c r="A49" s="337" t="s">
        <v>475</v>
      </c>
      <c r="B49" s="338" t="s">
        <v>221</v>
      </c>
      <c r="C49" s="339" t="s">
        <v>812</v>
      </c>
      <c r="D49" s="340" t="s">
        <v>8</v>
      </c>
      <c r="E49" s="341">
        <v>0.37715691339564106</v>
      </c>
      <c r="F49" s="341">
        <v>0.33020216546632902</v>
      </c>
      <c r="G49" s="341">
        <v>0.11704869726071057</v>
      </c>
      <c r="H49" s="341">
        <v>0.10247653411023512</v>
      </c>
      <c r="I49" s="341">
        <v>0.76731923759803167</v>
      </c>
      <c r="J49" s="341">
        <v>0.67179061250046546</v>
      </c>
      <c r="K49" s="341">
        <v>1.2615248482543833</v>
      </c>
      <c r="L49" s="342">
        <v>1.1044693120770295</v>
      </c>
      <c r="M49" s="343">
        <v>36.002421468447011</v>
      </c>
      <c r="N49" s="342">
        <v>31.520242924572759</v>
      </c>
      <c r="O49" s="341">
        <v>1.2615248482543833</v>
      </c>
      <c r="P49" s="341">
        <v>1.2615248482543833</v>
      </c>
      <c r="Q49" s="342">
        <v>1.1044693120770295</v>
      </c>
      <c r="R49" s="340" t="s">
        <v>85</v>
      </c>
      <c r="S49" s="344" t="s">
        <v>702</v>
      </c>
      <c r="T49" s="344">
        <v>0.298969072164949</v>
      </c>
      <c r="U49" s="344">
        <v>9.278350515463489E-2</v>
      </c>
      <c r="V49" s="344">
        <v>0.60824742268041609</v>
      </c>
      <c r="W49" s="344">
        <v>1</v>
      </c>
      <c r="X49" s="345">
        <v>1064024.8168066801</v>
      </c>
      <c r="Y49" s="346">
        <v>276426.90888362238</v>
      </c>
      <c r="Z49" s="346">
        <v>276426.90888362238</v>
      </c>
      <c r="AA49" s="347">
        <v>504.10958904109594</v>
      </c>
    </row>
    <row r="50" spans="1:27" x14ac:dyDescent="0.25">
      <c r="A50" s="337" t="s">
        <v>475</v>
      </c>
      <c r="B50" s="338" t="s">
        <v>477</v>
      </c>
      <c r="C50" s="339" t="s">
        <v>812</v>
      </c>
      <c r="D50" s="340" t="s">
        <v>8</v>
      </c>
      <c r="E50" s="341">
        <v>0.37715691339564106</v>
      </c>
      <c r="F50" s="341">
        <v>0.33020216546632902</v>
      </c>
      <c r="G50" s="341">
        <v>0.14305951887420629</v>
      </c>
      <c r="H50" s="341">
        <v>0.12524909724584685</v>
      </c>
      <c r="I50" s="341">
        <v>0.65027054033731535</v>
      </c>
      <c r="J50" s="341">
        <v>0.5693140783902253</v>
      </c>
      <c r="K50" s="341">
        <v>1.1704869726071627</v>
      </c>
      <c r="L50" s="342">
        <v>1.0247653411024011</v>
      </c>
      <c r="M50" s="343">
        <v>33.404308578971538</v>
      </c>
      <c r="N50" s="342">
        <v>29.245586218675832</v>
      </c>
      <c r="O50" s="341">
        <v>1.1704869726071627</v>
      </c>
      <c r="P50" s="341">
        <v>1.1704869726071627</v>
      </c>
      <c r="Q50" s="342">
        <v>1.0247653411024011</v>
      </c>
      <c r="R50" s="340" t="s">
        <v>85</v>
      </c>
      <c r="S50" s="344" t="s">
        <v>702</v>
      </c>
      <c r="T50" s="344">
        <v>0.32222222222222202</v>
      </c>
      <c r="U50" s="344">
        <v>0.12222222222222009</v>
      </c>
      <c r="V50" s="344">
        <v>0.55555555555555791</v>
      </c>
      <c r="W50" s="344">
        <v>1</v>
      </c>
      <c r="X50" s="345">
        <v>1064024.8168066801</v>
      </c>
      <c r="Y50" s="346">
        <v>276426.90888362238</v>
      </c>
      <c r="Z50" s="346">
        <v>276426.90888362238</v>
      </c>
      <c r="AA50" s="347">
        <v>504.10958904109594</v>
      </c>
    </row>
    <row r="51" spans="1:27" x14ac:dyDescent="0.25">
      <c r="A51" s="337" t="s">
        <v>475</v>
      </c>
      <c r="B51" s="338" t="s">
        <v>478</v>
      </c>
      <c r="C51" s="339" t="s">
        <v>812</v>
      </c>
      <c r="D51" s="340" t="s">
        <v>8</v>
      </c>
      <c r="E51" s="341">
        <v>0.36415150258889489</v>
      </c>
      <c r="F51" s="341">
        <v>0.31881588389852467</v>
      </c>
      <c r="G51" s="341">
        <v>0.14305951887420965</v>
      </c>
      <c r="H51" s="341">
        <v>0.12524909724584979</v>
      </c>
      <c r="I51" s="341">
        <v>0.61125430791707602</v>
      </c>
      <c r="J51" s="341">
        <v>0.53515523368681139</v>
      </c>
      <c r="K51" s="341">
        <v>1.1184653293801805</v>
      </c>
      <c r="L51" s="342">
        <v>0.97922021483118582</v>
      </c>
      <c r="M51" s="343">
        <v>31.919672642128443</v>
      </c>
      <c r="N51" s="342">
        <v>27.945782386734759</v>
      </c>
      <c r="O51" s="341">
        <v>1.1184653293801805</v>
      </c>
      <c r="P51" s="341">
        <v>1.1184653293801805</v>
      </c>
      <c r="Q51" s="342">
        <v>0.97922021483118582</v>
      </c>
      <c r="R51" s="340" t="s">
        <v>85</v>
      </c>
      <c r="S51" s="344" t="s">
        <v>702</v>
      </c>
      <c r="T51" s="344">
        <v>0.32558139534883623</v>
      </c>
      <c r="U51" s="344">
        <v>0.1279069767441865</v>
      </c>
      <c r="V51" s="344">
        <v>0.54651162790697727</v>
      </c>
      <c r="W51" s="344">
        <v>1</v>
      </c>
      <c r="X51" s="345">
        <v>1008023.51065896</v>
      </c>
      <c r="Y51" s="346">
        <v>276426.90888362238</v>
      </c>
      <c r="Z51" s="346">
        <v>276426.90888362238</v>
      </c>
      <c r="AA51" s="347">
        <v>504.10958904109594</v>
      </c>
    </row>
    <row r="52" spans="1:27" x14ac:dyDescent="0.25">
      <c r="A52" s="337" t="s">
        <v>475</v>
      </c>
      <c r="B52" s="338" t="s">
        <v>124</v>
      </c>
      <c r="C52" s="339" t="s">
        <v>499</v>
      </c>
      <c r="D52" s="340" t="s">
        <v>8</v>
      </c>
      <c r="E52" s="341">
        <v>0.37715691339564106</v>
      </c>
      <c r="F52" s="341">
        <v>0.33020216546632902</v>
      </c>
      <c r="G52" s="341">
        <v>0.10404328645397024</v>
      </c>
      <c r="H52" s="341">
        <v>9.1090252542435843E-2</v>
      </c>
      <c r="I52" s="341">
        <v>0.53322184307659792</v>
      </c>
      <c r="J52" s="341">
        <v>0.46683754427998414</v>
      </c>
      <c r="K52" s="341">
        <v>1.0144220429262092</v>
      </c>
      <c r="L52" s="342">
        <v>0.88812996228874896</v>
      </c>
      <c r="M52" s="343">
        <v>28.950400768442044</v>
      </c>
      <c r="N52" s="342">
        <v>25.346174722852428</v>
      </c>
      <c r="O52" s="348">
        <v>1.0144220429262092</v>
      </c>
      <c r="P52" s="341">
        <v>1.0144220429262092</v>
      </c>
      <c r="Q52" s="342">
        <v>0.88812996228874896</v>
      </c>
      <c r="R52" s="340" t="s">
        <v>85</v>
      </c>
      <c r="S52" s="344" t="s">
        <v>702</v>
      </c>
      <c r="T52" s="344">
        <v>0.37179487179487097</v>
      </c>
      <c r="U52" s="344">
        <v>0.10256410256410263</v>
      </c>
      <c r="V52" s="344">
        <v>0.52564102564102644</v>
      </c>
      <c r="W52" s="344">
        <v>1</v>
      </c>
      <c r="X52" s="345">
        <v>1064024.8168066801</v>
      </c>
      <c r="Y52" s="346">
        <v>276426.90888362238</v>
      </c>
      <c r="Z52" s="346">
        <v>276426.90888362238</v>
      </c>
      <c r="AA52" s="347">
        <v>504.10958904109594</v>
      </c>
    </row>
    <row r="53" spans="1:27" x14ac:dyDescent="0.25">
      <c r="A53" s="337" t="s">
        <v>657</v>
      </c>
      <c r="B53" s="338" t="s">
        <v>32</v>
      </c>
      <c r="C53" s="339" t="s">
        <v>588</v>
      </c>
      <c r="D53" s="340" t="s">
        <v>7</v>
      </c>
      <c r="E53" s="341">
        <v>1.2485194374476325</v>
      </c>
      <c r="F53" s="341">
        <v>1.0930830305092212</v>
      </c>
      <c r="G53" s="341">
        <v>0.31525115795552994</v>
      </c>
      <c r="H53" s="341">
        <v>0.27600346520358071</v>
      </c>
      <c r="I53" s="341">
        <v>8.0922556131954738E-4</v>
      </c>
      <c r="J53" s="341">
        <v>7.0847974200625747E-4</v>
      </c>
      <c r="K53" s="341">
        <v>1.5645798209644819</v>
      </c>
      <c r="L53" s="342">
        <v>1.369794975454808</v>
      </c>
      <c r="M53" s="343">
        <v>44.651250598301424</v>
      </c>
      <c r="N53" s="342">
        <v>39.092322358870092</v>
      </c>
      <c r="O53" s="348">
        <v>1.5645798209644819</v>
      </c>
      <c r="P53" s="341">
        <v>1.5645798209644819</v>
      </c>
      <c r="Q53" s="342">
        <v>1.369794975454808</v>
      </c>
      <c r="R53" s="340" t="s">
        <v>85</v>
      </c>
      <c r="S53" s="344" t="s">
        <v>702</v>
      </c>
      <c r="T53" s="344">
        <v>0.79799024678586572</v>
      </c>
      <c r="U53" s="344">
        <v>0.20149253731343283</v>
      </c>
      <c r="V53" s="344">
        <v>5.1721590070150721E-4</v>
      </c>
      <c r="W53" s="344">
        <v>1</v>
      </c>
      <c r="X53" s="345">
        <v>3500081.6342325201</v>
      </c>
      <c r="Y53" s="346">
        <v>1180363.0780797016</v>
      </c>
      <c r="Z53" s="346">
        <v>1180363.0780797016</v>
      </c>
      <c r="AA53" s="347">
        <v>504.10958904109594</v>
      </c>
    </row>
    <row r="54" spans="1:27" x14ac:dyDescent="0.25">
      <c r="A54" s="337" t="s">
        <v>657</v>
      </c>
      <c r="B54" s="338" t="s">
        <v>554</v>
      </c>
      <c r="C54" s="339" t="s">
        <v>587</v>
      </c>
      <c r="D54" s="340" t="s">
        <v>7</v>
      </c>
      <c r="E54" s="341">
        <v>1.2615248482543835</v>
      </c>
      <c r="F54" s="341">
        <v>1.1044693120770297</v>
      </c>
      <c r="G54" s="341">
        <v>0.3121298593619139</v>
      </c>
      <c r="H54" s="341">
        <v>0.27327075762731035</v>
      </c>
      <c r="I54" s="341">
        <v>0.49420561065635482</v>
      </c>
      <c r="J54" s="341">
        <v>0.43267869957656696</v>
      </c>
      <c r="K54" s="341">
        <v>2.0678603182726523</v>
      </c>
      <c r="L54" s="342">
        <v>1.8104187692809071</v>
      </c>
      <c r="M54" s="343">
        <v>59.014278489516336</v>
      </c>
      <c r="N54" s="342">
        <v>51.667202319660596</v>
      </c>
      <c r="O54" s="348">
        <v>2.0678603182726523</v>
      </c>
      <c r="P54" s="341">
        <v>2.0678603182726523</v>
      </c>
      <c r="Q54" s="342">
        <v>1.8104187692809071</v>
      </c>
      <c r="R54" s="340" t="s">
        <v>85</v>
      </c>
      <c r="S54" s="344" t="s">
        <v>702</v>
      </c>
      <c r="T54" s="344">
        <v>0.61006289308176009</v>
      </c>
      <c r="U54" s="344">
        <v>0.15094339622641709</v>
      </c>
      <c r="V54" s="344">
        <v>0.23899371069182276</v>
      </c>
      <c r="W54" s="344">
        <v>1</v>
      </c>
      <c r="X54" s="345">
        <v>3528082.28730638</v>
      </c>
      <c r="Y54" s="346">
        <v>1180363.0780797016</v>
      </c>
      <c r="Z54" s="346">
        <v>1180363.0780797016</v>
      </c>
      <c r="AA54" s="347">
        <v>504.10958904109594</v>
      </c>
    </row>
    <row r="55" spans="1:27" x14ac:dyDescent="0.25">
      <c r="A55" s="337" t="s">
        <v>657</v>
      </c>
      <c r="B55" s="338" t="s">
        <v>555</v>
      </c>
      <c r="C55" s="339" t="s">
        <v>586</v>
      </c>
      <c r="D55" s="340" t="s">
        <v>7</v>
      </c>
      <c r="E55" s="341">
        <v>1.2615248482543835</v>
      </c>
      <c r="F55" s="341">
        <v>1.1044693120770297</v>
      </c>
      <c r="G55" s="341">
        <v>0.3121298593619139</v>
      </c>
      <c r="H55" s="341">
        <v>0.27327075762731035</v>
      </c>
      <c r="I55" s="341">
        <v>0.61125430791707702</v>
      </c>
      <c r="J55" s="341">
        <v>0.53515523368681228</v>
      </c>
      <c r="K55" s="341">
        <v>2.1849090155333744</v>
      </c>
      <c r="L55" s="342">
        <v>1.9128953033911522</v>
      </c>
      <c r="M55" s="343">
        <v>62.354709347413646</v>
      </c>
      <c r="N55" s="342">
        <v>54.591760941528314</v>
      </c>
      <c r="O55" s="348">
        <v>2.1849090155333744</v>
      </c>
      <c r="P55" s="341">
        <v>2.1849090155333744</v>
      </c>
      <c r="Q55" s="342">
        <v>1.9128953033911522</v>
      </c>
      <c r="R55" s="340" t="s">
        <v>85</v>
      </c>
      <c r="S55" s="344" t="s">
        <v>702</v>
      </c>
      <c r="T55" s="344">
        <v>0.57738095238095</v>
      </c>
      <c r="U55" s="344">
        <v>0.14285714285714435</v>
      </c>
      <c r="V55" s="344">
        <v>0.27976190476190571</v>
      </c>
      <c r="W55" s="344">
        <v>1</v>
      </c>
      <c r="X55" s="345">
        <v>3528082.28730638</v>
      </c>
      <c r="Y55" s="346">
        <v>1180363.0780797016</v>
      </c>
      <c r="Z55" s="346">
        <v>1180363.0780797016</v>
      </c>
      <c r="AA55" s="347">
        <v>504.10958904109594</v>
      </c>
    </row>
    <row r="56" spans="1:27" x14ac:dyDescent="0.25">
      <c r="A56" s="337" t="s">
        <v>699</v>
      </c>
      <c r="B56" s="338" t="s">
        <v>703</v>
      </c>
      <c r="C56" s="339" t="s">
        <v>663</v>
      </c>
      <c r="D56" s="340" t="s">
        <v>663</v>
      </c>
      <c r="E56" s="341">
        <v>0.6242597187238208</v>
      </c>
      <c r="F56" s="341">
        <v>0.54654151525461458</v>
      </c>
      <c r="G56" s="341">
        <v>0.19508116210119145</v>
      </c>
      <c r="H56" s="341">
        <v>0.1707942235170648</v>
      </c>
      <c r="I56" s="341">
        <v>1.9638170318186876</v>
      </c>
      <c r="J56" s="341">
        <v>1.7193285167384762</v>
      </c>
      <c r="K56" s="341">
        <v>2.7831579126436998</v>
      </c>
      <c r="L56" s="342">
        <v>2.4366642555101556</v>
      </c>
      <c r="M56" s="343">
        <v>79.428022621110145</v>
      </c>
      <c r="N56" s="342">
        <v>69.539505008851464</v>
      </c>
      <c r="O56" s="348">
        <v>2.7831579126436998</v>
      </c>
      <c r="P56" s="341">
        <v>2.7831579126436998</v>
      </c>
      <c r="Q56" s="342">
        <v>2.4366642555101556</v>
      </c>
      <c r="R56" s="340" t="s">
        <v>85</v>
      </c>
      <c r="S56" s="344" t="s">
        <v>702</v>
      </c>
      <c r="T56" s="344">
        <v>0.22429906542056086</v>
      </c>
      <c r="U56" s="344">
        <v>7.0093457943924353E-2</v>
      </c>
      <c r="V56" s="344">
        <v>0.70560747663551482</v>
      </c>
      <c r="W56" s="344">
        <v>1</v>
      </c>
      <c r="X56" s="345">
        <v>1736040.4905793299</v>
      </c>
      <c r="Y56" s="346" t="s">
        <v>482</v>
      </c>
      <c r="Z56" s="346" t="s">
        <v>482</v>
      </c>
      <c r="AA56" s="347">
        <v>504.10958904109594</v>
      </c>
    </row>
    <row r="57" spans="1:27" x14ac:dyDescent="0.25">
      <c r="A57" s="337" t="s">
        <v>160</v>
      </c>
      <c r="B57" s="338" t="s">
        <v>552</v>
      </c>
      <c r="C57" s="339" t="s">
        <v>10</v>
      </c>
      <c r="D57" s="340" t="s">
        <v>10</v>
      </c>
      <c r="E57" s="341">
        <v>1.0924545077666872</v>
      </c>
      <c r="F57" s="341">
        <v>0.95644765169557611</v>
      </c>
      <c r="G57" s="341">
        <v>0.2080865729079428</v>
      </c>
      <c r="H57" s="341">
        <v>0.18218050508487374</v>
      </c>
      <c r="I57" s="341">
        <v>0.65027054033731169</v>
      </c>
      <c r="J57" s="341">
        <v>0.56931407839022208</v>
      </c>
      <c r="K57" s="341">
        <v>1.9508116210119417</v>
      </c>
      <c r="L57" s="342">
        <v>1.7079422351706719</v>
      </c>
      <c r="M57" s="343">
        <v>55.673847631619338</v>
      </c>
      <c r="N57" s="342">
        <v>48.742643697793149</v>
      </c>
      <c r="O57" s="348">
        <v>1.9508116210119417</v>
      </c>
      <c r="P57" s="341">
        <v>1.9508116210119417</v>
      </c>
      <c r="Q57" s="342">
        <v>1.7079422351706719</v>
      </c>
      <c r="R57" s="340" t="s">
        <v>85</v>
      </c>
      <c r="S57" s="344" t="s">
        <v>702</v>
      </c>
      <c r="T57" s="344">
        <v>0.55999999999999994</v>
      </c>
      <c r="U57" s="344">
        <v>0.10666666666666787</v>
      </c>
      <c r="V57" s="344">
        <v>0.3333333333333322</v>
      </c>
      <c r="W57" s="344">
        <v>1</v>
      </c>
      <c r="X57" s="345">
        <v>3052071.1850507502</v>
      </c>
      <c r="Y57" s="346">
        <v>716288.70550135733</v>
      </c>
      <c r="Z57" s="346">
        <v>716288.70550135733</v>
      </c>
      <c r="AA57" s="347">
        <v>504.10958904109594</v>
      </c>
    </row>
    <row r="58" spans="1:27" x14ac:dyDescent="0.25">
      <c r="A58" s="337" t="s">
        <v>160</v>
      </c>
      <c r="B58" s="338" t="s">
        <v>553</v>
      </c>
      <c r="C58" s="339" t="s">
        <v>10</v>
      </c>
      <c r="D58" s="340" t="s">
        <v>10</v>
      </c>
      <c r="E58" s="341">
        <v>0.8323462916317611</v>
      </c>
      <c r="F58" s="341">
        <v>0.72872202033948608</v>
      </c>
      <c r="G58" s="341">
        <v>0.23409739452143255</v>
      </c>
      <c r="H58" s="341">
        <v>0.20495306822048023</v>
      </c>
      <c r="I58" s="341">
        <v>0.85835711324524655</v>
      </c>
      <c r="J58" s="341">
        <v>0.7514945834750888</v>
      </c>
      <c r="K58" s="341">
        <v>1.9248007993984402</v>
      </c>
      <c r="L58" s="342">
        <v>1.6851696720350551</v>
      </c>
      <c r="M58" s="343">
        <v>54.931529663197495</v>
      </c>
      <c r="N58" s="342">
        <v>48.092741781822355</v>
      </c>
      <c r="O58" s="348">
        <v>1.9248007993984402</v>
      </c>
      <c r="P58" s="341">
        <v>1.9248007993984402</v>
      </c>
      <c r="Q58" s="342">
        <v>1.6851696720350551</v>
      </c>
      <c r="R58" s="340" t="s">
        <v>85</v>
      </c>
      <c r="S58" s="344" t="s">
        <v>702</v>
      </c>
      <c r="T58" s="344">
        <v>0.43243243243243407</v>
      </c>
      <c r="U58" s="344">
        <v>0.12162162162162195</v>
      </c>
      <c r="V58" s="344">
        <v>0.445945945945944</v>
      </c>
      <c r="W58" s="344">
        <v>1</v>
      </c>
      <c r="X58" s="345">
        <v>2324054.2051303899</v>
      </c>
      <c r="Y58" s="346">
        <v>716288.70550135733</v>
      </c>
      <c r="Z58" s="346">
        <v>716288.70550135733</v>
      </c>
      <c r="AA58" s="347">
        <v>504.10958904109594</v>
      </c>
    </row>
    <row r="59" spans="1:27" x14ac:dyDescent="0.25">
      <c r="A59" s="337" t="s">
        <v>160</v>
      </c>
      <c r="B59" s="338" t="s">
        <v>554</v>
      </c>
      <c r="C59" s="339" t="s">
        <v>10</v>
      </c>
      <c r="D59" s="340" t="s">
        <v>10</v>
      </c>
      <c r="E59" s="341">
        <v>2.2889523019873455</v>
      </c>
      <c r="F59" s="341">
        <v>2.0039855559335891</v>
      </c>
      <c r="G59" s="341">
        <v>2.6010821613501663E-2</v>
      </c>
      <c r="H59" s="341">
        <v>2.2772563135616933E-2</v>
      </c>
      <c r="I59" s="341">
        <v>0.44218396742936344</v>
      </c>
      <c r="J59" s="341">
        <v>0.38713357330534354</v>
      </c>
      <c r="K59" s="341">
        <v>2.7571470910302103</v>
      </c>
      <c r="L59" s="342">
        <v>2.4138916923745493</v>
      </c>
      <c r="M59" s="343">
        <v>78.685704652688642</v>
      </c>
      <c r="N59" s="342">
        <v>68.889603092880961</v>
      </c>
      <c r="O59" s="348">
        <v>2.7571470910302103</v>
      </c>
      <c r="P59" s="341">
        <v>2.7571470910302103</v>
      </c>
      <c r="Q59" s="342">
        <v>2.4138916923745493</v>
      </c>
      <c r="R59" s="340" t="s">
        <v>85</v>
      </c>
      <c r="S59" s="344" t="s">
        <v>702</v>
      </c>
      <c r="T59" s="344">
        <v>0.83018867924528339</v>
      </c>
      <c r="U59" s="344">
        <v>9.4339622641542494E-3</v>
      </c>
      <c r="V59" s="344">
        <v>0.16037735849056245</v>
      </c>
      <c r="W59" s="344">
        <v>1</v>
      </c>
      <c r="X59" s="345">
        <v>6412149.5539139695</v>
      </c>
      <c r="Y59" s="346">
        <v>1105707.6355344895</v>
      </c>
      <c r="Z59" s="346">
        <v>1105707.6355344895</v>
      </c>
      <c r="AA59" s="347">
        <v>504.10958904109594</v>
      </c>
    </row>
    <row r="60" spans="1:27" x14ac:dyDescent="0.25">
      <c r="A60" s="337" t="s">
        <v>160</v>
      </c>
      <c r="B60" s="338" t="s">
        <v>555</v>
      </c>
      <c r="C60" s="339" t="s">
        <v>10</v>
      </c>
      <c r="D60" s="340" t="s">
        <v>10</v>
      </c>
      <c r="E60" s="341">
        <v>2.2889523019873455</v>
      </c>
      <c r="F60" s="341">
        <v>2.0039855559335891</v>
      </c>
      <c r="G60" s="341">
        <v>2.6010821613501663E-2</v>
      </c>
      <c r="H60" s="341">
        <v>2.2772563135616933E-2</v>
      </c>
      <c r="I60" s="341">
        <v>0.54622725388333482</v>
      </c>
      <c r="J60" s="341">
        <v>0.47822382584778039</v>
      </c>
      <c r="K60" s="341">
        <v>2.8611903774841818</v>
      </c>
      <c r="L60" s="342">
        <v>2.5049819449169863</v>
      </c>
      <c r="M60" s="343">
        <v>81.654976526375066</v>
      </c>
      <c r="N60" s="342">
        <v>71.489210756763313</v>
      </c>
      <c r="O60" s="348">
        <v>2.8611903774841818</v>
      </c>
      <c r="P60" s="341">
        <v>2.8611903774841818</v>
      </c>
      <c r="Q60" s="342">
        <v>2.5049819449169863</v>
      </c>
      <c r="R60" s="340" t="s">
        <v>85</v>
      </c>
      <c r="S60" s="344" t="s">
        <v>702</v>
      </c>
      <c r="T60" s="344">
        <v>0.8</v>
      </c>
      <c r="U60" s="344">
        <v>9.090909090912272E-3</v>
      </c>
      <c r="V60" s="344">
        <v>0.19090909090908778</v>
      </c>
      <c r="W60" s="344">
        <v>1</v>
      </c>
      <c r="X60" s="345">
        <v>6412149.5539139695</v>
      </c>
      <c r="Y60" s="346">
        <v>1105707.6355344895</v>
      </c>
      <c r="Z60" s="346">
        <v>1105707.6355344895</v>
      </c>
      <c r="AA60" s="347">
        <v>504.10958904109594</v>
      </c>
    </row>
    <row r="61" spans="1:27" x14ac:dyDescent="0.25">
      <c r="A61" s="337" t="s">
        <v>696</v>
      </c>
      <c r="B61" s="338" t="s">
        <v>704</v>
      </c>
      <c r="C61" s="339" t="s">
        <v>663</v>
      </c>
      <c r="D61" s="340" t="s">
        <v>663</v>
      </c>
      <c r="E61" s="341">
        <v>2.0548549074659128</v>
      </c>
      <c r="F61" s="341">
        <v>1.7990324877131085</v>
      </c>
      <c r="G61" s="341">
        <v>1.885784566978211</v>
      </c>
      <c r="H61" s="341">
        <v>1.6510108273316502</v>
      </c>
      <c r="I61" s="341">
        <v>0.55923266469008559</v>
      </c>
      <c r="J61" s="341">
        <v>0.4896101074155888</v>
      </c>
      <c r="K61" s="341">
        <v>4.4998721391342098</v>
      </c>
      <c r="L61" s="342">
        <v>3.9396534224603479</v>
      </c>
      <c r="M61" s="343">
        <v>128.42100853693523</v>
      </c>
      <c r="N61" s="342">
        <v>112.4330314629095</v>
      </c>
      <c r="O61" s="348">
        <v>4.4998721391342098</v>
      </c>
      <c r="P61" s="341">
        <v>4.4998721391342098</v>
      </c>
      <c r="Q61" s="342">
        <v>3.9396534224603479</v>
      </c>
      <c r="R61" s="340" t="s">
        <v>85</v>
      </c>
      <c r="S61" s="344" t="s">
        <v>702</v>
      </c>
      <c r="T61" s="344">
        <v>0.45664739884393107</v>
      </c>
      <c r="U61" s="344">
        <v>0.41907514450867089</v>
      </c>
      <c r="V61" s="344">
        <v>0.12427745664739794</v>
      </c>
      <c r="W61" s="344">
        <v>1</v>
      </c>
      <c r="X61" s="345">
        <v>5740133.88014133</v>
      </c>
      <c r="Y61" s="346">
        <v>1901944.1499112465</v>
      </c>
      <c r="Z61" s="346">
        <v>1901944.1499112465</v>
      </c>
      <c r="AA61" s="347">
        <v>133.69863013698631</v>
      </c>
    </row>
    <row r="62" spans="1:27" x14ac:dyDescent="0.25">
      <c r="A62" s="349" t="s">
        <v>657</v>
      </c>
      <c r="B62" s="350" t="s">
        <v>572</v>
      </c>
      <c r="C62" s="351" t="s">
        <v>586</v>
      </c>
      <c r="D62" s="352" t="s">
        <v>7</v>
      </c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>
        <v>1.0265655237576765</v>
      </c>
      <c r="R62" s="352" t="s">
        <v>88</v>
      </c>
      <c r="S62" s="354" t="s">
        <v>705</v>
      </c>
      <c r="T62" s="354"/>
      <c r="U62" s="354"/>
      <c r="V62" s="354"/>
      <c r="W62" s="354"/>
      <c r="X62" s="355"/>
      <c r="Y62" s="356">
        <v>1357050.4133426507</v>
      </c>
      <c r="Z62" s="356">
        <v>1357050.4133426507</v>
      </c>
      <c r="AA62" s="357">
        <v>318.463698630137</v>
      </c>
    </row>
    <row r="63" spans="1:27" x14ac:dyDescent="0.25">
      <c r="A63" s="349" t="s">
        <v>657</v>
      </c>
      <c r="B63" s="350" t="s">
        <v>572</v>
      </c>
      <c r="C63" s="351" t="s">
        <v>586</v>
      </c>
      <c r="D63" s="352" t="s">
        <v>7</v>
      </c>
      <c r="E63" s="353"/>
      <c r="F63" s="353"/>
      <c r="G63" s="353"/>
      <c r="H63" s="353"/>
      <c r="I63" s="353"/>
      <c r="J63" s="353"/>
      <c r="K63" s="353"/>
      <c r="L63" s="353"/>
      <c r="M63" s="358"/>
      <c r="N63" s="358"/>
      <c r="O63" s="359"/>
      <c r="P63" s="353"/>
      <c r="Q63" s="353">
        <v>0.95961559829521925</v>
      </c>
      <c r="R63" s="352" t="s">
        <v>88</v>
      </c>
      <c r="S63" s="354" t="s">
        <v>705</v>
      </c>
      <c r="T63" s="354"/>
      <c r="U63" s="354"/>
      <c r="V63" s="354"/>
      <c r="W63" s="354"/>
      <c r="X63" s="355"/>
      <c r="Y63" s="356">
        <v>1108161.9634284994</v>
      </c>
      <c r="Z63" s="356">
        <v>1108161.9634284994</v>
      </c>
      <c r="AA63" s="357">
        <v>275.24383561643833</v>
      </c>
    </row>
    <row r="64" spans="1:27" x14ac:dyDescent="0.25">
      <c r="A64" s="349" t="s">
        <v>657</v>
      </c>
      <c r="B64" s="350" t="s">
        <v>573</v>
      </c>
      <c r="C64" s="351" t="s">
        <v>586</v>
      </c>
      <c r="D64" s="352" t="s">
        <v>7</v>
      </c>
      <c r="E64" s="353"/>
      <c r="F64" s="353"/>
      <c r="G64" s="353"/>
      <c r="H64" s="353"/>
      <c r="I64" s="353"/>
      <c r="J64" s="353"/>
      <c r="K64" s="353"/>
      <c r="L64" s="353"/>
      <c r="M64" s="358"/>
      <c r="N64" s="358"/>
      <c r="O64" s="359"/>
      <c r="P64" s="353"/>
      <c r="Q64" s="353">
        <v>0.96115024520731174</v>
      </c>
      <c r="R64" s="352" t="s">
        <v>91</v>
      </c>
      <c r="S64" s="354" t="s">
        <v>705</v>
      </c>
      <c r="T64" s="354"/>
      <c r="U64" s="354"/>
      <c r="V64" s="354"/>
      <c r="W64" s="354"/>
      <c r="X64" s="355"/>
      <c r="Y64" s="356">
        <v>2419060.1193510327</v>
      </c>
      <c r="Z64" s="356">
        <v>2419060.1193510327</v>
      </c>
      <c r="AA64" s="357">
        <v>244.65753424657538</v>
      </c>
    </row>
    <row r="65" spans="1:27" x14ac:dyDescent="0.25">
      <c r="A65" s="349" t="s">
        <v>657</v>
      </c>
      <c r="B65" s="350" t="s">
        <v>217</v>
      </c>
      <c r="C65" s="351" t="s">
        <v>587</v>
      </c>
      <c r="D65" s="352" t="s">
        <v>7</v>
      </c>
      <c r="E65" s="353"/>
      <c r="F65" s="353"/>
      <c r="G65" s="353"/>
      <c r="H65" s="353"/>
      <c r="I65" s="353"/>
      <c r="J65" s="353"/>
      <c r="K65" s="353"/>
      <c r="L65" s="353"/>
      <c r="M65" s="358"/>
      <c r="N65" s="358"/>
      <c r="O65" s="359"/>
      <c r="P65" s="353"/>
      <c r="Q65" s="353">
        <v>1.1354127275588812</v>
      </c>
      <c r="R65" s="352" t="s">
        <v>94</v>
      </c>
      <c r="S65" s="354" t="s">
        <v>705</v>
      </c>
      <c r="T65" s="354"/>
      <c r="U65" s="354"/>
      <c r="V65" s="354"/>
      <c r="W65" s="354"/>
      <c r="X65" s="355"/>
      <c r="Y65" s="356">
        <v>1663828.6791558466</v>
      </c>
      <c r="Z65" s="356">
        <v>1663828.6791558466</v>
      </c>
      <c r="AA65" s="357">
        <v>267.97800000000001</v>
      </c>
    </row>
    <row r="66" spans="1:27" x14ac:dyDescent="0.25">
      <c r="A66" s="349" t="s">
        <v>657</v>
      </c>
      <c r="B66" s="350" t="s">
        <v>217</v>
      </c>
      <c r="C66" s="351" t="s">
        <v>587</v>
      </c>
      <c r="D66" s="352" t="s">
        <v>7</v>
      </c>
      <c r="E66" s="353"/>
      <c r="F66" s="353"/>
      <c r="G66" s="353"/>
      <c r="H66" s="353"/>
      <c r="I66" s="353"/>
      <c r="J66" s="353"/>
      <c r="K66" s="353"/>
      <c r="L66" s="353"/>
      <c r="M66" s="358"/>
      <c r="N66" s="358"/>
      <c r="O66" s="359"/>
      <c r="P66" s="353"/>
      <c r="Q66" s="353">
        <v>1.0171405684381645</v>
      </c>
      <c r="R66" s="352" t="s">
        <v>94</v>
      </c>
      <c r="S66" s="354" t="s">
        <v>705</v>
      </c>
      <c r="T66" s="354"/>
      <c r="U66" s="354"/>
      <c r="V66" s="354"/>
      <c r="W66" s="354"/>
      <c r="X66" s="355"/>
      <c r="Y66" s="356">
        <v>2024658.9951173551</v>
      </c>
      <c r="Z66" s="356">
        <v>2024658.9951173551</v>
      </c>
      <c r="AA66" s="357">
        <v>267.97800000000001</v>
      </c>
    </row>
    <row r="67" spans="1:27" x14ac:dyDescent="0.25">
      <c r="A67" s="349" t="s">
        <v>657</v>
      </c>
      <c r="B67" s="350" t="s">
        <v>574</v>
      </c>
      <c r="C67" s="351" t="s">
        <v>586</v>
      </c>
      <c r="D67" s="352" t="s">
        <v>7</v>
      </c>
      <c r="E67" s="353"/>
      <c r="F67" s="353"/>
      <c r="G67" s="353"/>
      <c r="H67" s="353"/>
      <c r="I67" s="353"/>
      <c r="J67" s="353"/>
      <c r="K67" s="353"/>
      <c r="L67" s="353"/>
      <c r="M67" s="358"/>
      <c r="N67" s="358"/>
      <c r="O67" s="359"/>
      <c r="P67" s="353"/>
      <c r="Q67" s="353">
        <v>1.4233622183708838</v>
      </c>
      <c r="R67" s="352" t="s">
        <v>96</v>
      </c>
      <c r="S67" s="354" t="s">
        <v>705</v>
      </c>
      <c r="T67" s="354"/>
      <c r="U67" s="354"/>
      <c r="V67" s="354"/>
      <c r="W67" s="354"/>
      <c r="X67" s="355"/>
      <c r="Y67" s="356">
        <v>3135258.4361300846</v>
      </c>
      <c r="Z67" s="356">
        <v>3135258.4361300846</v>
      </c>
      <c r="AA67" s="357">
        <v>326.40000000000003</v>
      </c>
    </row>
    <row r="68" spans="1:27" x14ac:dyDescent="0.25">
      <c r="A68" s="349" t="s">
        <v>657</v>
      </c>
      <c r="B68" s="350" t="s">
        <v>574</v>
      </c>
      <c r="C68" s="351" t="s">
        <v>586</v>
      </c>
      <c r="D68" s="352" t="s">
        <v>7</v>
      </c>
      <c r="E68" s="353"/>
      <c r="F68" s="353"/>
      <c r="G68" s="353"/>
      <c r="H68" s="353"/>
      <c r="I68" s="353"/>
      <c r="J68" s="353"/>
      <c r="K68" s="353"/>
      <c r="L68" s="353"/>
      <c r="M68" s="358"/>
      <c r="N68" s="358"/>
      <c r="O68" s="359"/>
      <c r="P68" s="353"/>
      <c r="Q68" s="353">
        <v>1.3988214904679377</v>
      </c>
      <c r="R68" s="352" t="s">
        <v>96</v>
      </c>
      <c r="S68" s="354" t="s">
        <v>705</v>
      </c>
      <c r="T68" s="354"/>
      <c r="U68" s="354"/>
      <c r="V68" s="354"/>
      <c r="W68" s="354"/>
      <c r="X68" s="355"/>
      <c r="Y68" s="356">
        <v>3567578.2444693651</v>
      </c>
      <c r="Z68" s="356">
        <v>3567578.2444693651</v>
      </c>
      <c r="AA68" s="357">
        <v>326.40000000000003</v>
      </c>
    </row>
    <row r="69" spans="1:27" x14ac:dyDescent="0.25">
      <c r="A69" s="349" t="s">
        <v>657</v>
      </c>
      <c r="B69" s="350" t="s">
        <v>560</v>
      </c>
      <c r="C69" s="351" t="s">
        <v>586</v>
      </c>
      <c r="D69" s="352" t="s">
        <v>7</v>
      </c>
      <c r="E69" s="353"/>
      <c r="F69" s="360"/>
      <c r="G69" s="353"/>
      <c r="H69" s="353"/>
      <c r="I69" s="353"/>
      <c r="J69" s="353"/>
      <c r="K69" s="353"/>
      <c r="L69" s="353"/>
      <c r="M69" s="358"/>
      <c r="N69" s="358"/>
      <c r="O69" s="359"/>
      <c r="P69" s="353"/>
      <c r="Q69" s="353">
        <v>1.1975378842667594</v>
      </c>
      <c r="R69" s="352" t="s">
        <v>195</v>
      </c>
      <c r="S69" s="354" t="s">
        <v>705</v>
      </c>
      <c r="T69" s="354"/>
      <c r="U69" s="354"/>
      <c r="V69" s="354"/>
      <c r="W69" s="354"/>
      <c r="X69" s="355"/>
      <c r="Y69" s="356">
        <v>4683813.312709732</v>
      </c>
      <c r="Z69" s="356">
        <v>4683813.312709732</v>
      </c>
      <c r="AA69" s="357">
        <v>129.81744421906694</v>
      </c>
    </row>
    <row r="70" spans="1:27" x14ac:dyDescent="0.25">
      <c r="A70" s="349" t="s">
        <v>657</v>
      </c>
      <c r="B70" s="350" t="s">
        <v>575</v>
      </c>
      <c r="C70" s="351" t="s">
        <v>586</v>
      </c>
      <c r="D70" s="352" t="s">
        <v>7</v>
      </c>
      <c r="E70" s="353"/>
      <c r="F70" s="360"/>
      <c r="G70" s="353"/>
      <c r="H70" s="353"/>
      <c r="I70" s="353"/>
      <c r="J70" s="353"/>
      <c r="K70" s="353"/>
      <c r="L70" s="353"/>
      <c r="M70" s="358"/>
      <c r="N70" s="358"/>
      <c r="O70" s="359"/>
      <c r="P70" s="353"/>
      <c r="Q70" s="353">
        <v>1.0508733838609008</v>
      </c>
      <c r="R70" s="352" t="s">
        <v>706</v>
      </c>
      <c r="S70" s="354" t="s">
        <v>705</v>
      </c>
      <c r="T70" s="354"/>
      <c r="U70" s="354"/>
      <c r="V70" s="354"/>
      <c r="W70" s="354"/>
      <c r="X70" s="355"/>
      <c r="Y70" s="356">
        <v>1109298.1443178414</v>
      </c>
      <c r="Z70" s="356">
        <v>1109298.1443178414</v>
      </c>
      <c r="AA70" s="357">
        <v>1465.0670553935859</v>
      </c>
    </row>
    <row r="71" spans="1:27" x14ac:dyDescent="0.25">
      <c r="A71" s="349" t="s">
        <v>657</v>
      </c>
      <c r="B71" s="350" t="s">
        <v>559</v>
      </c>
      <c r="C71" s="351" t="s">
        <v>586</v>
      </c>
      <c r="D71" s="352" t="s">
        <v>7</v>
      </c>
      <c r="E71" s="353"/>
      <c r="F71" s="360"/>
      <c r="G71" s="353"/>
      <c r="H71" s="353"/>
      <c r="I71" s="353"/>
      <c r="J71" s="353"/>
      <c r="K71" s="353"/>
      <c r="L71" s="353"/>
      <c r="M71" s="358"/>
      <c r="N71" s="358"/>
      <c r="O71" s="359"/>
      <c r="P71" s="353"/>
      <c r="Q71" s="353">
        <v>1.3707044137316098</v>
      </c>
      <c r="R71" s="352" t="s">
        <v>706</v>
      </c>
      <c r="S71" s="354" t="s">
        <v>705</v>
      </c>
      <c r="T71" s="354"/>
      <c r="U71" s="354"/>
      <c r="V71" s="354"/>
      <c r="W71" s="354"/>
      <c r="X71" s="355"/>
      <c r="Y71" s="356">
        <v>1165894.9884156904</v>
      </c>
      <c r="Z71" s="356">
        <v>1165894.9884156904</v>
      </c>
      <c r="AA71" s="357">
        <v>1464</v>
      </c>
    </row>
    <row r="72" spans="1:27" x14ac:dyDescent="0.25">
      <c r="A72" s="349" t="s">
        <v>657</v>
      </c>
      <c r="B72" s="350" t="s">
        <v>556</v>
      </c>
      <c r="C72" s="351" t="s">
        <v>587</v>
      </c>
      <c r="D72" s="352" t="s">
        <v>7</v>
      </c>
      <c r="E72" s="353"/>
      <c r="F72" s="360"/>
      <c r="G72" s="353"/>
      <c r="H72" s="353"/>
      <c r="I72" s="353"/>
      <c r="J72" s="353"/>
      <c r="K72" s="353"/>
      <c r="L72" s="353"/>
      <c r="M72" s="358"/>
      <c r="N72" s="358"/>
      <c r="O72" s="359"/>
      <c r="P72" s="353"/>
      <c r="Q72" s="353">
        <v>0.89886840931744749</v>
      </c>
      <c r="R72" s="352" t="s">
        <v>707</v>
      </c>
      <c r="S72" s="354" t="s">
        <v>705</v>
      </c>
      <c r="T72" s="354"/>
      <c r="U72" s="354"/>
      <c r="V72" s="354"/>
      <c r="W72" s="354"/>
      <c r="X72" s="355"/>
      <c r="Y72" s="356">
        <v>1566103.801916271</v>
      </c>
      <c r="Z72" s="356">
        <v>1566103.801916271</v>
      </c>
      <c r="AA72" s="357">
        <v>285.84320000000002</v>
      </c>
    </row>
    <row r="73" spans="1:27" x14ac:dyDescent="0.25">
      <c r="A73" s="349" t="s">
        <v>657</v>
      </c>
      <c r="B73" s="350" t="s">
        <v>556</v>
      </c>
      <c r="C73" s="351" t="s">
        <v>587</v>
      </c>
      <c r="D73" s="352" t="s">
        <v>7</v>
      </c>
      <c r="E73" s="353"/>
      <c r="F73" s="360"/>
      <c r="G73" s="353"/>
      <c r="H73" s="353"/>
      <c r="I73" s="353"/>
      <c r="J73" s="353"/>
      <c r="K73" s="353"/>
      <c r="L73" s="353"/>
      <c r="M73" s="358"/>
      <c r="N73" s="358"/>
      <c r="O73" s="359"/>
      <c r="P73" s="353"/>
      <c r="Q73" s="353">
        <v>1.0171405684381642</v>
      </c>
      <c r="R73" s="352" t="s">
        <v>707</v>
      </c>
      <c r="S73" s="354" t="s">
        <v>705</v>
      </c>
      <c r="T73" s="354"/>
      <c r="U73" s="354"/>
      <c r="V73" s="354"/>
      <c r="W73" s="354"/>
      <c r="X73" s="355"/>
      <c r="Y73" s="356">
        <v>1478401.9890089601</v>
      </c>
      <c r="Z73" s="356">
        <v>1478401.9890089601</v>
      </c>
      <c r="AA73" s="357">
        <v>369.416</v>
      </c>
    </row>
    <row r="74" spans="1:27" x14ac:dyDescent="0.25">
      <c r="A74" s="349" t="s">
        <v>657</v>
      </c>
      <c r="B74" s="350" t="s">
        <v>573</v>
      </c>
      <c r="C74" s="351" t="s">
        <v>586</v>
      </c>
      <c r="D74" s="352" t="s">
        <v>7</v>
      </c>
      <c r="E74" s="353"/>
      <c r="F74" s="360"/>
      <c r="G74" s="353"/>
      <c r="H74" s="353"/>
      <c r="I74" s="353"/>
      <c r="J74" s="353"/>
      <c r="K74" s="353"/>
      <c r="L74" s="353"/>
      <c r="M74" s="358"/>
      <c r="N74" s="358"/>
      <c r="O74" s="359"/>
      <c r="P74" s="353"/>
      <c r="Q74" s="353">
        <v>1.3809563758389263</v>
      </c>
      <c r="R74" s="352" t="s">
        <v>708</v>
      </c>
      <c r="S74" s="354" t="s">
        <v>705</v>
      </c>
      <c r="T74" s="354"/>
      <c r="U74" s="354"/>
      <c r="V74" s="354"/>
      <c r="W74" s="354"/>
      <c r="X74" s="355"/>
      <c r="Y74" s="356">
        <v>2748207.2958534299</v>
      </c>
      <c r="Z74" s="356">
        <v>2748207.2958534299</v>
      </c>
      <c r="AA74" s="357">
        <v>83.884</v>
      </c>
    </row>
    <row r="75" spans="1:27" x14ac:dyDescent="0.25">
      <c r="A75" s="349" t="s">
        <v>657</v>
      </c>
      <c r="B75" s="350" t="s">
        <v>576</v>
      </c>
      <c r="C75" s="351" t="s">
        <v>587</v>
      </c>
      <c r="D75" s="352" t="s">
        <v>7</v>
      </c>
      <c r="E75" s="353"/>
      <c r="F75" s="360"/>
      <c r="G75" s="353"/>
      <c r="H75" s="353"/>
      <c r="I75" s="353"/>
      <c r="J75" s="353"/>
      <c r="K75" s="353"/>
      <c r="L75" s="353"/>
      <c r="M75" s="358"/>
      <c r="N75" s="358"/>
      <c r="O75" s="359"/>
      <c r="P75" s="353"/>
      <c r="Q75" s="353" t="s">
        <v>482</v>
      </c>
      <c r="R75" s="352" t="s">
        <v>709</v>
      </c>
      <c r="S75" s="354" t="s">
        <v>705</v>
      </c>
      <c r="T75" s="354"/>
      <c r="U75" s="354"/>
      <c r="V75" s="354"/>
      <c r="W75" s="354"/>
      <c r="X75" s="355"/>
      <c r="Y75" s="356">
        <v>664666.12237240758</v>
      </c>
      <c r="Z75" s="356">
        <v>664666.12237240758</v>
      </c>
      <c r="AA75" s="357">
        <v>675.80439999999999</v>
      </c>
    </row>
    <row r="76" spans="1:27" x14ac:dyDescent="0.25">
      <c r="A76" s="349" t="s">
        <v>657</v>
      </c>
      <c r="B76" s="350" t="s">
        <v>576</v>
      </c>
      <c r="C76" s="351" t="s">
        <v>587</v>
      </c>
      <c r="D76" s="352" t="s">
        <v>7</v>
      </c>
      <c r="E76" s="353"/>
      <c r="F76" s="360"/>
      <c r="G76" s="353"/>
      <c r="H76" s="353"/>
      <c r="I76" s="353"/>
      <c r="J76" s="353"/>
      <c r="K76" s="353"/>
      <c r="L76" s="353"/>
      <c r="M76" s="358"/>
      <c r="N76" s="358"/>
      <c r="O76" s="359"/>
      <c r="P76" s="353"/>
      <c r="Q76" s="353">
        <v>0.59941718429003021</v>
      </c>
      <c r="R76" s="352" t="s">
        <v>710</v>
      </c>
      <c r="S76" s="354" t="s">
        <v>705</v>
      </c>
      <c r="T76" s="354"/>
      <c r="U76" s="354"/>
      <c r="V76" s="354"/>
      <c r="W76" s="354"/>
      <c r="X76" s="355"/>
      <c r="Y76" s="356">
        <v>1637687.3193730435</v>
      </c>
      <c r="Z76" s="356">
        <v>1637687.3193730435</v>
      </c>
      <c r="AA76" s="357">
        <v>454.52054794520546</v>
      </c>
    </row>
    <row r="77" spans="1:27" x14ac:dyDescent="0.25">
      <c r="A77" s="349" t="s">
        <v>475</v>
      </c>
      <c r="B77" s="350" t="s">
        <v>221</v>
      </c>
      <c r="C77" s="351" t="s">
        <v>812</v>
      </c>
      <c r="D77" s="352" t="s">
        <v>8</v>
      </c>
      <c r="E77" s="353"/>
      <c r="F77" s="360"/>
      <c r="G77" s="353"/>
      <c r="H77" s="353"/>
      <c r="I77" s="353"/>
      <c r="J77" s="353"/>
      <c r="K77" s="353"/>
      <c r="L77" s="353"/>
      <c r="M77" s="358"/>
      <c r="N77" s="358"/>
      <c r="O77" s="359"/>
      <c r="P77" s="353"/>
      <c r="Q77" s="353">
        <v>0.87479411913451033</v>
      </c>
      <c r="R77" s="352" t="s">
        <v>711</v>
      </c>
      <c r="S77" s="354" t="s">
        <v>705</v>
      </c>
      <c r="T77" s="354"/>
      <c r="U77" s="354"/>
      <c r="V77" s="354"/>
      <c r="W77" s="354"/>
      <c r="X77" s="355"/>
      <c r="Y77" s="356">
        <v>253578.97642851429</v>
      </c>
      <c r="Z77" s="356">
        <v>253578.97642851429</v>
      </c>
      <c r="AA77" s="357">
        <v>768.07345587287682</v>
      </c>
    </row>
    <row r="78" spans="1:27" x14ac:dyDescent="0.25">
      <c r="A78" s="349" t="s">
        <v>475</v>
      </c>
      <c r="B78" s="350" t="s">
        <v>479</v>
      </c>
      <c r="C78" s="351" t="s">
        <v>812</v>
      </c>
      <c r="D78" s="352" t="s">
        <v>8</v>
      </c>
      <c r="E78" s="353"/>
      <c r="F78" s="360"/>
      <c r="G78" s="353"/>
      <c r="H78" s="353"/>
      <c r="I78" s="353"/>
      <c r="J78" s="353"/>
      <c r="K78" s="353"/>
      <c r="L78" s="353"/>
      <c r="M78" s="358"/>
      <c r="N78" s="358"/>
      <c r="O78" s="359"/>
      <c r="P78" s="353"/>
      <c r="Q78" s="353">
        <v>3.5458371904651709</v>
      </c>
      <c r="R78" s="352" t="s">
        <v>712</v>
      </c>
      <c r="S78" s="354" t="s">
        <v>705</v>
      </c>
      <c r="T78" s="354"/>
      <c r="U78" s="354"/>
      <c r="V78" s="354"/>
      <c r="W78" s="354"/>
      <c r="X78" s="355"/>
      <c r="Y78" s="356">
        <v>1346332.5678287037</v>
      </c>
      <c r="Z78" s="356">
        <v>1346332.5678287037</v>
      </c>
      <c r="AA78" s="357">
        <v>216.90000000000003</v>
      </c>
    </row>
    <row r="79" spans="1:27" x14ac:dyDescent="0.25">
      <c r="A79" s="349" t="s">
        <v>475</v>
      </c>
      <c r="B79" s="350" t="s">
        <v>480</v>
      </c>
      <c r="C79" s="351" t="s">
        <v>812</v>
      </c>
      <c r="D79" s="352" t="s">
        <v>8</v>
      </c>
      <c r="E79" s="353"/>
      <c r="F79" s="360"/>
      <c r="G79" s="353"/>
      <c r="H79" s="353"/>
      <c r="I79" s="353"/>
      <c r="J79" s="353"/>
      <c r="K79" s="353"/>
      <c r="L79" s="353"/>
      <c r="M79" s="358"/>
      <c r="N79" s="358"/>
      <c r="O79" s="359"/>
      <c r="P79" s="353"/>
      <c r="Q79" s="353" t="s">
        <v>482</v>
      </c>
      <c r="R79" s="352" t="s">
        <v>713</v>
      </c>
      <c r="S79" s="354" t="s">
        <v>705</v>
      </c>
      <c r="T79" s="354"/>
      <c r="U79" s="354"/>
      <c r="V79" s="354"/>
      <c r="W79" s="354"/>
      <c r="X79" s="355"/>
      <c r="Y79" s="356">
        <v>340436.37269295304</v>
      </c>
      <c r="Z79" s="356">
        <v>340436.37269295304</v>
      </c>
      <c r="AA79" s="357">
        <v>2191.7808219178082</v>
      </c>
    </row>
    <row r="80" spans="1:27" x14ac:dyDescent="0.25">
      <c r="A80" s="349" t="s">
        <v>475</v>
      </c>
      <c r="B80" s="350" t="s">
        <v>480</v>
      </c>
      <c r="C80" s="351" t="s">
        <v>812</v>
      </c>
      <c r="D80" s="352" t="s">
        <v>8</v>
      </c>
      <c r="E80" s="353"/>
      <c r="F80" s="360"/>
      <c r="G80" s="353"/>
      <c r="H80" s="353"/>
      <c r="I80" s="353"/>
      <c r="J80" s="353"/>
      <c r="K80" s="353"/>
      <c r="L80" s="353"/>
      <c r="M80" s="358"/>
      <c r="N80" s="358"/>
      <c r="O80" s="359"/>
      <c r="P80" s="353"/>
      <c r="Q80" s="353" t="s">
        <v>482</v>
      </c>
      <c r="R80" s="352" t="s">
        <v>713</v>
      </c>
      <c r="S80" s="354" t="s">
        <v>705</v>
      </c>
      <c r="T80" s="354"/>
      <c r="U80" s="354"/>
      <c r="V80" s="354"/>
      <c r="W80" s="354"/>
      <c r="X80" s="355"/>
      <c r="Y80" s="356">
        <v>290753.93285760621</v>
      </c>
      <c r="Z80" s="356">
        <v>290753.93285760621</v>
      </c>
      <c r="AA80" s="357">
        <v>2172.0350487473775</v>
      </c>
    </row>
    <row r="81" spans="1:27" x14ac:dyDescent="0.25">
      <c r="A81" s="349" t="s">
        <v>475</v>
      </c>
      <c r="B81" s="350" t="s">
        <v>481</v>
      </c>
      <c r="C81" s="351" t="s">
        <v>499</v>
      </c>
      <c r="D81" s="352" t="s">
        <v>8</v>
      </c>
      <c r="E81" s="353"/>
      <c r="F81" s="360"/>
      <c r="G81" s="353"/>
      <c r="H81" s="353"/>
      <c r="I81" s="353"/>
      <c r="J81" s="353"/>
      <c r="K81" s="353"/>
      <c r="L81" s="353"/>
      <c r="M81" s="358"/>
      <c r="N81" s="358"/>
      <c r="O81" s="359"/>
      <c r="P81" s="353"/>
      <c r="Q81" s="353" t="s">
        <v>482</v>
      </c>
      <c r="R81" s="352" t="s">
        <v>714</v>
      </c>
      <c r="S81" s="354" t="s">
        <v>705</v>
      </c>
      <c r="T81" s="354"/>
      <c r="U81" s="354"/>
      <c r="V81" s="354"/>
      <c r="W81" s="354"/>
      <c r="X81" s="355"/>
      <c r="Y81" s="356">
        <v>214926.37699606572</v>
      </c>
      <c r="Z81" s="356">
        <v>214926.37699606572</v>
      </c>
      <c r="AA81" s="357">
        <v>1369.8630136986301</v>
      </c>
    </row>
    <row r="82" spans="1:27" x14ac:dyDescent="0.25">
      <c r="A82" s="349" t="s">
        <v>160</v>
      </c>
      <c r="B82" s="350" t="s">
        <v>556</v>
      </c>
      <c r="C82" s="351" t="s">
        <v>10</v>
      </c>
      <c r="D82" s="352" t="s">
        <v>10</v>
      </c>
      <c r="E82" s="353"/>
      <c r="F82" s="360"/>
      <c r="G82" s="353"/>
      <c r="H82" s="353"/>
      <c r="I82" s="353"/>
      <c r="J82" s="353"/>
      <c r="K82" s="353"/>
      <c r="L82" s="353"/>
      <c r="M82" s="358"/>
      <c r="N82" s="358"/>
      <c r="O82" s="359"/>
      <c r="P82" s="353"/>
      <c r="Q82" s="353" t="s">
        <v>482</v>
      </c>
      <c r="R82" s="352" t="s">
        <v>715</v>
      </c>
      <c r="S82" s="354" t="s">
        <v>705</v>
      </c>
      <c r="T82" s="354"/>
      <c r="U82" s="354"/>
      <c r="V82" s="354"/>
      <c r="W82" s="354"/>
      <c r="X82" s="355"/>
      <c r="Y82" s="356">
        <v>1484001.1151161315</v>
      </c>
      <c r="Z82" s="356">
        <v>1484001.1151161315</v>
      </c>
      <c r="AA82" s="357">
        <v>443.78250000000003</v>
      </c>
    </row>
    <row r="83" spans="1:27" x14ac:dyDescent="0.25">
      <c r="A83" s="349" t="s">
        <v>160</v>
      </c>
      <c r="B83" s="350" t="s">
        <v>556</v>
      </c>
      <c r="C83" s="351" t="s">
        <v>10</v>
      </c>
      <c r="D83" s="352" t="s">
        <v>10</v>
      </c>
      <c r="E83" s="353"/>
      <c r="F83" s="360"/>
      <c r="G83" s="353"/>
      <c r="H83" s="353"/>
      <c r="I83" s="353"/>
      <c r="J83" s="353"/>
      <c r="K83" s="353"/>
      <c r="L83" s="353"/>
      <c r="M83" s="358"/>
      <c r="N83" s="358"/>
      <c r="O83" s="359"/>
      <c r="P83" s="353"/>
      <c r="Q83" s="353" t="s">
        <v>482</v>
      </c>
      <c r="R83" s="352" t="s">
        <v>716</v>
      </c>
      <c r="S83" s="354" t="s">
        <v>705</v>
      </c>
      <c r="T83" s="354"/>
      <c r="U83" s="354"/>
      <c r="V83" s="354"/>
      <c r="W83" s="354"/>
      <c r="X83" s="355"/>
      <c r="Y83" s="356">
        <v>1566538.7141073442</v>
      </c>
      <c r="Z83" s="356">
        <v>1566538.7141073442</v>
      </c>
      <c r="AA83" s="357">
        <v>429.5625</v>
      </c>
    </row>
    <row r="84" spans="1:27" x14ac:dyDescent="0.25">
      <c r="A84" s="349" t="s">
        <v>160</v>
      </c>
      <c r="B84" s="350" t="s">
        <v>556</v>
      </c>
      <c r="C84" s="351" t="s">
        <v>10</v>
      </c>
      <c r="D84" s="352" t="s">
        <v>10</v>
      </c>
      <c r="E84" s="353"/>
      <c r="F84" s="360"/>
      <c r="G84" s="353"/>
      <c r="H84" s="353"/>
      <c r="I84" s="353"/>
      <c r="J84" s="353"/>
      <c r="K84" s="353"/>
      <c r="L84" s="353"/>
      <c r="M84" s="358"/>
      <c r="N84" s="358"/>
      <c r="O84" s="359"/>
      <c r="P84" s="353"/>
      <c r="Q84" s="353" t="s">
        <v>482</v>
      </c>
      <c r="R84" s="352" t="s">
        <v>717</v>
      </c>
      <c r="S84" s="354" t="s">
        <v>705</v>
      </c>
      <c r="T84" s="354"/>
      <c r="U84" s="354"/>
      <c r="V84" s="354"/>
      <c r="W84" s="354"/>
      <c r="X84" s="355"/>
      <c r="Y84" s="356">
        <v>1558117.3397111518</v>
      </c>
      <c r="Z84" s="356">
        <v>1558117.3397111518</v>
      </c>
      <c r="AA84" s="357">
        <v>468.07499999999999</v>
      </c>
    </row>
    <row r="85" spans="1:27" x14ac:dyDescent="0.25">
      <c r="A85" s="349" t="s">
        <v>160</v>
      </c>
      <c r="B85" s="350" t="s">
        <v>557</v>
      </c>
      <c r="C85" s="351" t="s">
        <v>10</v>
      </c>
      <c r="D85" s="352" t="s">
        <v>10</v>
      </c>
      <c r="E85" s="353"/>
      <c r="F85" s="360"/>
      <c r="G85" s="353"/>
      <c r="H85" s="353"/>
      <c r="I85" s="353"/>
      <c r="J85" s="353"/>
      <c r="K85" s="353"/>
      <c r="L85" s="353"/>
      <c r="M85" s="358"/>
      <c r="N85" s="358"/>
      <c r="O85" s="359"/>
      <c r="P85" s="353"/>
      <c r="Q85" s="353" t="s">
        <v>482</v>
      </c>
      <c r="R85" s="352" t="s">
        <v>718</v>
      </c>
      <c r="S85" s="354" t="s">
        <v>705</v>
      </c>
      <c r="T85" s="354"/>
      <c r="U85" s="354"/>
      <c r="V85" s="354"/>
      <c r="W85" s="354"/>
      <c r="X85" s="355"/>
      <c r="Y85" s="356">
        <v>894909.28201280267</v>
      </c>
      <c r="Z85" s="356">
        <v>894909.28201280267</v>
      </c>
      <c r="AA85" s="357">
        <v>798.64636209813875</v>
      </c>
    </row>
    <row r="86" spans="1:27" x14ac:dyDescent="0.25">
      <c r="A86" s="349" t="s">
        <v>160</v>
      </c>
      <c r="B86" s="350" t="s">
        <v>558</v>
      </c>
      <c r="C86" s="351" t="s">
        <v>10</v>
      </c>
      <c r="D86" s="352" t="s">
        <v>10</v>
      </c>
      <c r="E86" s="353"/>
      <c r="F86" s="360"/>
      <c r="G86" s="353"/>
      <c r="H86" s="353"/>
      <c r="I86" s="353"/>
      <c r="J86" s="353"/>
      <c r="K86" s="353"/>
      <c r="L86" s="353"/>
      <c r="M86" s="358"/>
      <c r="N86" s="358"/>
      <c r="O86" s="359"/>
      <c r="P86" s="353"/>
      <c r="Q86" s="353" t="s">
        <v>482</v>
      </c>
      <c r="R86" s="352" t="s">
        <v>719</v>
      </c>
      <c r="S86" s="354" t="s">
        <v>705</v>
      </c>
      <c r="T86" s="354"/>
      <c r="U86" s="354"/>
      <c r="V86" s="354"/>
      <c r="W86" s="354"/>
      <c r="X86" s="355"/>
      <c r="Y86" s="356">
        <v>1212798.9056743106</v>
      </c>
      <c r="Z86" s="356">
        <v>1212798.9056743106</v>
      </c>
      <c r="AA86" s="357">
        <v>450.01404000000002</v>
      </c>
    </row>
    <row r="87" spans="1:27" x14ac:dyDescent="0.25">
      <c r="A87" s="349" t="s">
        <v>160</v>
      </c>
      <c r="B87" s="350" t="s">
        <v>559</v>
      </c>
      <c r="C87" s="351" t="s">
        <v>10</v>
      </c>
      <c r="D87" s="352" t="s">
        <v>10</v>
      </c>
      <c r="E87" s="353"/>
      <c r="F87" s="360"/>
      <c r="G87" s="353"/>
      <c r="H87" s="353"/>
      <c r="I87" s="353"/>
      <c r="J87" s="353"/>
      <c r="K87" s="353"/>
      <c r="L87" s="353"/>
      <c r="M87" s="358"/>
      <c r="N87" s="358"/>
      <c r="O87" s="359"/>
      <c r="P87" s="353"/>
      <c r="Q87" s="353" t="s">
        <v>482</v>
      </c>
      <c r="R87" s="352" t="s">
        <v>719</v>
      </c>
      <c r="S87" s="354" t="s">
        <v>705</v>
      </c>
      <c r="T87" s="354"/>
      <c r="U87" s="354"/>
      <c r="V87" s="354"/>
      <c r="W87" s="354"/>
      <c r="X87" s="355"/>
      <c r="Y87" s="356">
        <v>1211506.9975770181</v>
      </c>
      <c r="Z87" s="356">
        <v>1211506.9975770181</v>
      </c>
      <c r="AA87" s="357">
        <v>422.84088000000003</v>
      </c>
    </row>
    <row r="88" spans="1:27" x14ac:dyDescent="0.25">
      <c r="A88" s="349" t="s">
        <v>160</v>
      </c>
      <c r="B88" s="350" t="s">
        <v>560</v>
      </c>
      <c r="C88" s="351" t="s">
        <v>10</v>
      </c>
      <c r="D88" s="352" t="s">
        <v>10</v>
      </c>
      <c r="E88" s="353"/>
      <c r="F88" s="360"/>
      <c r="G88" s="353"/>
      <c r="H88" s="353"/>
      <c r="I88" s="353"/>
      <c r="J88" s="353"/>
      <c r="K88" s="353"/>
      <c r="L88" s="353"/>
      <c r="M88" s="358"/>
      <c r="N88" s="358"/>
      <c r="O88" s="359"/>
      <c r="P88" s="353"/>
      <c r="Q88" s="353" t="s">
        <v>482</v>
      </c>
      <c r="R88" s="352" t="s">
        <v>719</v>
      </c>
      <c r="S88" s="354" t="s">
        <v>705</v>
      </c>
      <c r="T88" s="354"/>
      <c r="U88" s="354"/>
      <c r="V88" s="354"/>
      <c r="W88" s="354"/>
      <c r="X88" s="355"/>
      <c r="Y88" s="356">
        <v>1211637.5880798083</v>
      </c>
      <c r="Z88" s="356">
        <v>1211637.5880798083</v>
      </c>
      <c r="AA88" s="357">
        <v>409.66944166990294</v>
      </c>
    </row>
    <row r="89" spans="1:27" x14ac:dyDescent="0.25">
      <c r="A89" s="361" t="s">
        <v>160</v>
      </c>
      <c r="B89" s="362" t="s">
        <v>550</v>
      </c>
      <c r="C89" s="363" t="s">
        <v>10</v>
      </c>
      <c r="D89" s="364" t="s">
        <v>10</v>
      </c>
      <c r="E89" s="365"/>
      <c r="F89" s="366"/>
      <c r="G89" s="365"/>
      <c r="H89" s="365"/>
      <c r="I89" s="365"/>
      <c r="J89" s="365"/>
      <c r="K89" s="365"/>
      <c r="L89" s="365"/>
      <c r="M89" s="367"/>
      <c r="N89" s="367"/>
      <c r="O89" s="368"/>
      <c r="P89" s="365"/>
      <c r="Q89" s="365" t="s">
        <v>482</v>
      </c>
      <c r="R89" s="364" t="s">
        <v>719</v>
      </c>
      <c r="S89" s="354" t="s">
        <v>705</v>
      </c>
      <c r="T89" s="369"/>
      <c r="U89" s="369"/>
      <c r="V89" s="369"/>
      <c r="W89" s="369"/>
      <c r="X89" s="370"/>
      <c r="Y89" s="371">
        <v>1210457.259187178</v>
      </c>
      <c r="Z89" s="371">
        <v>1210457.259187178</v>
      </c>
      <c r="AA89" s="372">
        <v>432.00288894757279</v>
      </c>
    </row>
    <row r="93" spans="1:27" x14ac:dyDescent="0.25">
      <c r="A93" s="374" t="s">
        <v>720</v>
      </c>
      <c r="B93" s="374"/>
      <c r="C93" s="374"/>
      <c r="D93" s="374"/>
      <c r="F93" s="386"/>
    </row>
    <row r="94" spans="1:27" x14ac:dyDescent="0.25">
      <c r="A94" s="374"/>
      <c r="B94" s="375" t="s">
        <v>721</v>
      </c>
      <c r="C94" s="374"/>
      <c r="D94" s="374"/>
    </row>
  </sheetData>
  <autoFilter ref="A1:AA89" xr:uid="{4AFC6162-E2E4-4169-BA68-9742298357E2}"/>
  <hyperlinks>
    <hyperlink ref="B94" r:id="rId1" xr:uid="{AD8E7C91-2449-47C8-BA94-6FDD15DF9A73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3ECD-44E6-42FD-BAEE-4312D5C51D83}">
  <dimension ref="A1:D39"/>
  <sheetViews>
    <sheetView topLeftCell="A28" workbookViewId="0">
      <selection activeCell="D37" sqref="D37"/>
    </sheetView>
  </sheetViews>
  <sheetFormatPr baseColWidth="10" defaultRowHeight="15" x14ac:dyDescent="0.25"/>
  <cols>
    <col min="2" max="2" width="112.140625" bestFit="1" customWidth="1"/>
    <col min="3" max="3" width="31.85546875" customWidth="1"/>
  </cols>
  <sheetData>
    <row r="1" spans="1:4" x14ac:dyDescent="0.25">
      <c r="A1" t="s">
        <v>722</v>
      </c>
      <c r="B1" t="s">
        <v>723</v>
      </c>
      <c r="C1" t="s">
        <v>724</v>
      </c>
      <c r="D1" t="s">
        <v>191</v>
      </c>
    </row>
    <row r="2" spans="1:4" x14ac:dyDescent="0.25">
      <c r="A2" t="s">
        <v>56</v>
      </c>
      <c r="B2" t="s">
        <v>95</v>
      </c>
      <c r="C2" t="s">
        <v>725</v>
      </c>
      <c r="D2" s="373" t="s">
        <v>726</v>
      </c>
    </row>
    <row r="3" spans="1:4" x14ac:dyDescent="0.25">
      <c r="A3" t="s">
        <v>59</v>
      </c>
      <c r="B3" t="s">
        <v>727</v>
      </c>
      <c r="C3" t="s">
        <v>728</v>
      </c>
      <c r="D3" s="373" t="s">
        <v>729</v>
      </c>
    </row>
    <row r="4" spans="1:4" x14ac:dyDescent="0.25">
      <c r="A4" t="s">
        <v>62</v>
      </c>
      <c r="B4" t="s">
        <v>730</v>
      </c>
      <c r="C4" t="s">
        <v>731</v>
      </c>
      <c r="D4" s="373" t="s">
        <v>732</v>
      </c>
    </row>
    <row r="5" spans="1:4" x14ac:dyDescent="0.25">
      <c r="A5" t="s">
        <v>65</v>
      </c>
      <c r="B5" t="s">
        <v>733</v>
      </c>
      <c r="C5" t="s">
        <v>734</v>
      </c>
      <c r="D5" s="373" t="s">
        <v>735</v>
      </c>
    </row>
    <row r="6" spans="1:4" x14ac:dyDescent="0.25">
      <c r="A6" t="s">
        <v>68</v>
      </c>
      <c r="B6" t="s">
        <v>736</v>
      </c>
      <c r="C6" t="s">
        <v>737</v>
      </c>
      <c r="D6" s="373" t="s">
        <v>738</v>
      </c>
    </row>
    <row r="7" spans="1:4" x14ac:dyDescent="0.25">
      <c r="A7" t="s">
        <v>70</v>
      </c>
      <c r="B7" s="376" t="s">
        <v>739</v>
      </c>
      <c r="C7" s="376" t="s">
        <v>740</v>
      </c>
      <c r="D7" s="373" t="s">
        <v>741</v>
      </c>
    </row>
    <row r="8" spans="1:4" x14ac:dyDescent="0.25">
      <c r="A8" t="s">
        <v>71</v>
      </c>
      <c r="B8" s="376" t="s">
        <v>742</v>
      </c>
      <c r="C8" s="376" t="s">
        <v>743</v>
      </c>
      <c r="D8" s="373" t="s">
        <v>744</v>
      </c>
    </row>
    <row r="9" spans="1:4" x14ac:dyDescent="0.25">
      <c r="A9" t="s">
        <v>74</v>
      </c>
      <c r="B9" s="376" t="s">
        <v>745</v>
      </c>
      <c r="C9" s="376" t="s">
        <v>746</v>
      </c>
      <c r="D9" s="373" t="s">
        <v>747</v>
      </c>
    </row>
    <row r="10" spans="1:4" x14ac:dyDescent="0.25">
      <c r="A10" t="s">
        <v>77</v>
      </c>
      <c r="B10" t="s">
        <v>748</v>
      </c>
      <c r="C10" s="376" t="s">
        <v>749</v>
      </c>
      <c r="D10" s="373" t="s">
        <v>750</v>
      </c>
    </row>
    <row r="11" spans="1:4" x14ac:dyDescent="0.25">
      <c r="A11" t="s">
        <v>80</v>
      </c>
      <c r="B11" t="s">
        <v>751</v>
      </c>
      <c r="C11" s="376" t="s">
        <v>752</v>
      </c>
      <c r="D11" s="373" t="s">
        <v>753</v>
      </c>
    </row>
    <row r="12" spans="1:4" x14ac:dyDescent="0.25">
      <c r="A12" t="s">
        <v>82</v>
      </c>
      <c r="B12" t="s">
        <v>754</v>
      </c>
      <c r="C12" s="376" t="s">
        <v>755</v>
      </c>
      <c r="D12" s="373" t="s">
        <v>756</v>
      </c>
    </row>
    <row r="13" spans="1:4" x14ac:dyDescent="0.25">
      <c r="A13" t="s">
        <v>85</v>
      </c>
      <c r="B13" t="s">
        <v>757</v>
      </c>
      <c r="C13" s="376" t="s">
        <v>758</v>
      </c>
      <c r="D13" s="373" t="s">
        <v>759</v>
      </c>
    </row>
    <row r="14" spans="1:4" x14ac:dyDescent="0.25">
      <c r="A14" t="s">
        <v>88</v>
      </c>
      <c r="B14" t="s">
        <v>760</v>
      </c>
      <c r="C14" s="376" t="s">
        <v>577</v>
      </c>
    </row>
    <row r="15" spans="1:4" x14ac:dyDescent="0.25">
      <c r="A15" t="s">
        <v>91</v>
      </c>
      <c r="B15" t="s">
        <v>761</v>
      </c>
      <c r="C15" s="376" t="s">
        <v>578</v>
      </c>
    </row>
    <row r="16" spans="1:4" x14ac:dyDescent="0.25">
      <c r="A16" t="s">
        <v>94</v>
      </c>
      <c r="B16" t="s">
        <v>762</v>
      </c>
      <c r="C16" s="376" t="s">
        <v>579</v>
      </c>
    </row>
    <row r="17" spans="1:3" x14ac:dyDescent="0.25">
      <c r="A17" t="s">
        <v>96</v>
      </c>
      <c r="B17" t="s">
        <v>763</v>
      </c>
      <c r="C17" s="376" t="s">
        <v>580</v>
      </c>
    </row>
    <row r="18" spans="1:3" x14ac:dyDescent="0.25">
      <c r="A18" t="s">
        <v>195</v>
      </c>
      <c r="B18" t="s">
        <v>764</v>
      </c>
      <c r="C18" s="376" t="s">
        <v>581</v>
      </c>
    </row>
    <row r="19" spans="1:3" x14ac:dyDescent="0.25">
      <c r="A19" t="s">
        <v>706</v>
      </c>
      <c r="B19" t="s">
        <v>765</v>
      </c>
      <c r="C19" s="376" t="s">
        <v>582</v>
      </c>
    </row>
    <row r="20" spans="1:3" x14ac:dyDescent="0.25">
      <c r="A20" t="s">
        <v>707</v>
      </c>
      <c r="B20" t="s">
        <v>766</v>
      </c>
      <c r="C20" s="376" t="s">
        <v>583</v>
      </c>
    </row>
    <row r="21" spans="1:3" x14ac:dyDescent="0.25">
      <c r="A21" t="s">
        <v>708</v>
      </c>
      <c r="B21" t="s">
        <v>767</v>
      </c>
      <c r="C21" s="376" t="s">
        <v>584</v>
      </c>
    </row>
    <row r="22" spans="1:3" x14ac:dyDescent="0.25">
      <c r="A22" t="s">
        <v>709</v>
      </c>
      <c r="B22" t="s">
        <v>768</v>
      </c>
      <c r="C22" s="376" t="s">
        <v>585</v>
      </c>
    </row>
    <row r="23" spans="1:3" x14ac:dyDescent="0.25">
      <c r="A23" t="s">
        <v>710</v>
      </c>
      <c r="B23" t="s">
        <v>769</v>
      </c>
      <c r="C23" s="376" t="s">
        <v>578</v>
      </c>
    </row>
    <row r="24" spans="1:3" x14ac:dyDescent="0.25">
      <c r="A24" t="s">
        <v>711</v>
      </c>
      <c r="B24" t="s">
        <v>770</v>
      </c>
      <c r="C24" s="376" t="s">
        <v>483</v>
      </c>
    </row>
    <row r="25" spans="1:3" x14ac:dyDescent="0.25">
      <c r="A25" t="s">
        <v>712</v>
      </c>
      <c r="B25" t="s">
        <v>771</v>
      </c>
      <c r="C25" s="376" t="s">
        <v>484</v>
      </c>
    </row>
    <row r="26" spans="1:3" x14ac:dyDescent="0.25">
      <c r="A26" t="s">
        <v>713</v>
      </c>
      <c r="B26" t="s">
        <v>772</v>
      </c>
      <c r="C26" s="376" t="s">
        <v>485</v>
      </c>
    </row>
    <row r="27" spans="1:3" x14ac:dyDescent="0.25">
      <c r="A27" t="s">
        <v>714</v>
      </c>
      <c r="B27" t="s">
        <v>773</v>
      </c>
      <c r="C27" s="376" t="s">
        <v>486</v>
      </c>
    </row>
    <row r="28" spans="1:3" x14ac:dyDescent="0.25">
      <c r="A28" t="s">
        <v>774</v>
      </c>
      <c r="B28" t="s">
        <v>775</v>
      </c>
      <c r="C28" s="376" t="s">
        <v>776</v>
      </c>
    </row>
    <row r="29" spans="1:3" x14ac:dyDescent="0.25">
      <c r="A29" t="s">
        <v>777</v>
      </c>
      <c r="B29" t="s">
        <v>778</v>
      </c>
      <c r="C29" s="376" t="s">
        <v>779</v>
      </c>
    </row>
    <row r="30" spans="1:3" x14ac:dyDescent="0.25">
      <c r="A30" t="s">
        <v>780</v>
      </c>
      <c r="B30" t="s">
        <v>781</v>
      </c>
      <c r="C30" s="376" t="s">
        <v>782</v>
      </c>
    </row>
    <row r="31" spans="1:3" x14ac:dyDescent="0.25">
      <c r="A31" t="s">
        <v>783</v>
      </c>
      <c r="B31" t="s">
        <v>784</v>
      </c>
      <c r="C31" s="376" t="s">
        <v>785</v>
      </c>
    </row>
    <row r="32" spans="1:3" x14ac:dyDescent="0.25">
      <c r="A32" t="s">
        <v>786</v>
      </c>
      <c r="B32" t="s">
        <v>787</v>
      </c>
      <c r="C32" s="376" t="s">
        <v>788</v>
      </c>
    </row>
    <row r="37" spans="1:4" x14ac:dyDescent="0.25">
      <c r="A37" t="s">
        <v>652</v>
      </c>
      <c r="B37" t="s">
        <v>789</v>
      </c>
      <c r="C37" t="s">
        <v>90</v>
      </c>
      <c r="D37" s="373" t="s">
        <v>790</v>
      </c>
    </row>
    <row r="38" spans="1:4" x14ac:dyDescent="0.25">
      <c r="A38" t="s">
        <v>702</v>
      </c>
      <c r="B38" t="s">
        <v>757</v>
      </c>
      <c r="C38" t="s">
        <v>758</v>
      </c>
      <c r="D38" s="373" t="s">
        <v>791</v>
      </c>
    </row>
    <row r="39" spans="1:4" x14ac:dyDescent="0.25">
      <c r="A39" t="s">
        <v>705</v>
      </c>
      <c r="B39" t="s">
        <v>95</v>
      </c>
      <c r="C39" t="s">
        <v>792</v>
      </c>
      <c r="D39" s="373" t="s">
        <v>726</v>
      </c>
    </row>
  </sheetData>
  <hyperlinks>
    <hyperlink ref="D3" r:id="rId1" xr:uid="{2471DB5F-802D-4CC8-A235-EF96E42A8512}"/>
    <hyperlink ref="D2" r:id="rId2" xr:uid="{78A11CA9-2B22-428E-B2A8-DE11EBAADAED}"/>
    <hyperlink ref="D4" r:id="rId3" xr:uid="{4C17ED60-3E9E-4F24-867F-57B71691391C}"/>
    <hyperlink ref="D5" r:id="rId4" xr:uid="{8A1EAAEC-BF43-48A5-AA5F-9E0AE284B462}"/>
    <hyperlink ref="D6" r:id="rId5" xr:uid="{2B10E327-8BD8-4E2A-B0EF-8AC741371368}"/>
    <hyperlink ref="D7" r:id="rId6" xr:uid="{50675559-7812-41C4-AE2A-CDD0EDAC6470}"/>
    <hyperlink ref="D8" r:id="rId7" xr:uid="{E20F5835-BEFD-4484-B782-54D079EEBC25}"/>
    <hyperlink ref="D9" r:id="rId8" xr:uid="{810F2B5C-C778-441F-86EE-1D434038BF16}"/>
    <hyperlink ref="D11" r:id="rId9" xr:uid="{F38B8581-7ED3-4A54-B87F-18A7FFDBD9FE}"/>
    <hyperlink ref="D12" r:id="rId10" xr:uid="{751A1881-0E01-42D5-9AD9-963D8A3AF87A}"/>
    <hyperlink ref="D13" r:id="rId11" display="https://theicct.org/wp-content/uploads/2021/06/Alternative_jet_fuels_cost_EU_2020_06_v3.pdf" xr:uid="{4E4C333C-1D99-4B4E-8FB1-A2C2AF194EAE}"/>
    <hyperlink ref="D10" r:id="rId12" xr:uid="{E5FFD770-10EF-48E3-AC86-74C1E45374F6}"/>
    <hyperlink ref="D37" r:id="rId13" xr:uid="{A89E5262-8400-402B-9B2C-A403BF0EFD28}"/>
    <hyperlink ref="D38" r:id="rId14" xr:uid="{368A91C9-C2AB-484A-A50F-169BBF1805C8}"/>
    <hyperlink ref="D39" r:id="rId15" xr:uid="{D955CA8F-38A3-4797-ACE4-2AD112BE75C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487-514C-4D2F-B4B9-EA93E171C48F}">
  <dimension ref="A1:M1377"/>
  <sheetViews>
    <sheetView topLeftCell="A19" workbookViewId="0">
      <selection activeCell="L73" sqref="L73"/>
    </sheetView>
  </sheetViews>
  <sheetFormatPr baseColWidth="10" defaultRowHeight="15" x14ac:dyDescent="0.25"/>
  <cols>
    <col min="3" max="3" width="45.42578125" bestFit="1" customWidth="1"/>
  </cols>
  <sheetData>
    <row r="1" spans="1:13" x14ac:dyDescent="0.25">
      <c r="A1" t="s">
        <v>824</v>
      </c>
    </row>
    <row r="2" spans="1:13" x14ac:dyDescent="0.25">
      <c r="A2" t="s">
        <v>825</v>
      </c>
    </row>
    <row r="3" spans="1:13" x14ac:dyDescent="0.25">
      <c r="A3" t="s">
        <v>826</v>
      </c>
    </row>
    <row r="4" spans="1:13" x14ac:dyDescent="0.25">
      <c r="A4" t="s">
        <v>827</v>
      </c>
      <c r="K4" t="s">
        <v>828</v>
      </c>
      <c r="L4">
        <v>35</v>
      </c>
      <c r="M4" t="s">
        <v>829</v>
      </c>
    </row>
    <row r="5" spans="1:13" x14ac:dyDescent="0.25">
      <c r="A5" t="s">
        <v>830</v>
      </c>
      <c r="B5" t="s">
        <v>831</v>
      </c>
      <c r="C5" t="s">
        <v>832</v>
      </c>
      <c r="D5" t="s">
        <v>833</v>
      </c>
      <c r="E5" t="s">
        <v>834</v>
      </c>
      <c r="F5" t="s">
        <v>835</v>
      </c>
      <c r="I5" t="s">
        <v>836</v>
      </c>
      <c r="J5" t="s">
        <v>837</v>
      </c>
    </row>
    <row r="6" spans="1:13" x14ac:dyDescent="0.25">
      <c r="A6">
        <v>44666</v>
      </c>
      <c r="B6">
        <v>2022</v>
      </c>
      <c r="C6">
        <v>22.61750815802921</v>
      </c>
      <c r="D6">
        <v>11.039126825188614</v>
      </c>
      <c r="E6">
        <v>5.2570577394460631</v>
      </c>
      <c r="F6">
        <v>17.95077975290145</v>
      </c>
      <c r="H6" t="s">
        <v>838</v>
      </c>
      <c r="I6">
        <f>_xlfn.PERCENTILE.INC(C:C,0.1)</f>
        <v>5.2570577394460631</v>
      </c>
      <c r="J6">
        <f>I6/1000*L4</f>
        <v>0.18399702088061221</v>
      </c>
    </row>
    <row r="7" spans="1:13" x14ac:dyDescent="0.25">
      <c r="A7">
        <v>44659</v>
      </c>
      <c r="B7">
        <v>2022</v>
      </c>
      <c r="C7">
        <v>22.347654425844066</v>
      </c>
      <c r="D7">
        <v>11.039126825188614</v>
      </c>
      <c r="E7">
        <v>5.2570577394460631</v>
      </c>
      <c r="F7">
        <v>17.95077975290145</v>
      </c>
      <c r="H7" t="s">
        <v>50</v>
      </c>
      <c r="I7">
        <f>_xlfn.PERCENTILE.INC(C:C,0.5)</f>
        <v>11.039126825188614</v>
      </c>
      <c r="J7">
        <f>I7/1000*L4</f>
        <v>0.38636943888160147</v>
      </c>
    </row>
    <row r="8" spans="1:13" x14ac:dyDescent="0.25">
      <c r="A8">
        <v>44652</v>
      </c>
      <c r="B8">
        <v>2022</v>
      </c>
      <c r="C8">
        <v>23.784782441434714</v>
      </c>
      <c r="D8">
        <v>11.039126825188614</v>
      </c>
      <c r="E8">
        <v>5.2570577394460631</v>
      </c>
      <c r="F8">
        <v>17.95077975290145</v>
      </c>
      <c r="H8" t="s">
        <v>839</v>
      </c>
      <c r="I8">
        <f>_xlfn.PERCENTILE.INC(C:C,0.9)</f>
        <v>17.95077975290145</v>
      </c>
      <c r="J8">
        <f>I8/1000*L4</f>
        <v>0.62827729135155075</v>
      </c>
    </row>
    <row r="9" spans="1:13" x14ac:dyDescent="0.25">
      <c r="A9">
        <v>44645</v>
      </c>
      <c r="B9">
        <v>2022</v>
      </c>
      <c r="C9">
        <v>23.652993409437315</v>
      </c>
      <c r="D9">
        <v>11.039126825188614</v>
      </c>
      <c r="E9">
        <v>5.2570577394460631</v>
      </c>
      <c r="F9">
        <v>17.95077975290145</v>
      </c>
    </row>
    <row r="10" spans="1:13" x14ac:dyDescent="0.25">
      <c r="A10">
        <v>44638</v>
      </c>
      <c r="B10">
        <v>2022</v>
      </c>
      <c r="C10">
        <v>19.467122726472418</v>
      </c>
      <c r="D10">
        <v>11.039126825188614</v>
      </c>
      <c r="E10">
        <v>5.2570577394460631</v>
      </c>
      <c r="F10">
        <v>17.95077975290145</v>
      </c>
    </row>
    <row r="11" spans="1:13" x14ac:dyDescent="0.25">
      <c r="A11">
        <v>44631</v>
      </c>
      <c r="B11">
        <v>2022</v>
      </c>
      <c r="C11">
        <v>21.807946961473778</v>
      </c>
      <c r="D11">
        <v>11.039126825188614</v>
      </c>
      <c r="E11">
        <v>5.2570577394460631</v>
      </c>
      <c r="F11">
        <v>17.95077975290145</v>
      </c>
      <c r="H11" t="s">
        <v>840</v>
      </c>
    </row>
    <row r="12" spans="1:13" x14ac:dyDescent="0.25">
      <c r="A12">
        <v>44624</v>
      </c>
      <c r="B12">
        <v>2022</v>
      </c>
      <c r="C12">
        <v>20.314337932169966</v>
      </c>
      <c r="D12">
        <v>11.039126825188614</v>
      </c>
      <c r="E12">
        <v>5.2570577394460631</v>
      </c>
      <c r="F12">
        <v>17.95077975290145</v>
      </c>
      <c r="H12" t="s">
        <v>838</v>
      </c>
      <c r="I12">
        <f>_xlfn.PERCENTILE.INC(C126:C386,0.1)</f>
        <v>8.9196902557067812</v>
      </c>
      <c r="J12">
        <f>I12/1000*L4</f>
        <v>0.31218915894973737</v>
      </c>
    </row>
    <row r="13" spans="1:13" x14ac:dyDescent="0.25">
      <c r="A13">
        <v>44617</v>
      </c>
      <c r="B13">
        <v>2022</v>
      </c>
      <c r="C13">
        <v>16.806239413763105</v>
      </c>
      <c r="D13">
        <v>11.039126825188614</v>
      </c>
      <c r="E13">
        <v>5.2570577394460631</v>
      </c>
      <c r="F13">
        <v>17.95077975290145</v>
      </c>
      <c r="H13" t="s">
        <v>50</v>
      </c>
      <c r="I13">
        <f>_xlfn.PERCENTILE.INC(C126:C386,0.5)</f>
        <v>11.661207930261675</v>
      </c>
      <c r="J13">
        <f>I13/1000*L4</f>
        <v>0.40814227755915861</v>
      </c>
    </row>
    <row r="14" spans="1:13" x14ac:dyDescent="0.25">
      <c r="A14">
        <v>44610</v>
      </c>
      <c r="B14">
        <v>2022</v>
      </c>
      <c r="C14">
        <v>16.649347709004296</v>
      </c>
      <c r="D14">
        <v>11.039126825188614</v>
      </c>
      <c r="E14">
        <v>5.2570577394460631</v>
      </c>
      <c r="F14">
        <v>17.95077975290145</v>
      </c>
      <c r="H14" t="s">
        <v>839</v>
      </c>
      <c r="I14">
        <f>_xlfn.PERCENTILE.INC(C126:C386,0.9)</f>
        <v>13.595465570245411</v>
      </c>
      <c r="J14">
        <f>I14/1000*L4</f>
        <v>0.4758412949585894</v>
      </c>
    </row>
    <row r="15" spans="1:13" x14ac:dyDescent="0.25">
      <c r="A15">
        <v>44603</v>
      </c>
      <c r="B15">
        <v>2022</v>
      </c>
      <c r="C15">
        <v>17.082368814138597</v>
      </c>
      <c r="D15">
        <v>11.039126825188614</v>
      </c>
      <c r="E15">
        <v>5.2570577394460631</v>
      </c>
      <c r="F15">
        <v>17.95077975290145</v>
      </c>
    </row>
    <row r="16" spans="1:13" x14ac:dyDescent="0.25">
      <c r="A16">
        <v>44596</v>
      </c>
      <c r="B16">
        <v>2022</v>
      </c>
      <c r="C16">
        <v>16.42342365415162</v>
      </c>
      <c r="D16">
        <v>11.039126825188614</v>
      </c>
      <c r="E16">
        <v>5.2570577394460631</v>
      </c>
      <c r="F16">
        <v>17.95077975290145</v>
      </c>
    </row>
    <row r="17" spans="1:6" x14ac:dyDescent="0.25">
      <c r="A17">
        <v>44589</v>
      </c>
      <c r="B17">
        <v>2022</v>
      </c>
      <c r="C17">
        <v>15.98412688082697</v>
      </c>
      <c r="D17">
        <v>11.039126825188614</v>
      </c>
      <c r="E17">
        <v>5.2570577394460631</v>
      </c>
      <c r="F17">
        <v>17.95077975290145</v>
      </c>
    </row>
    <row r="18" spans="1:6" x14ac:dyDescent="0.25">
      <c r="A18">
        <v>44582</v>
      </c>
      <c r="B18">
        <v>2022</v>
      </c>
      <c r="C18">
        <v>15.846062180639219</v>
      </c>
      <c r="D18">
        <v>11.039126825188614</v>
      </c>
      <c r="E18">
        <v>5.2570577394460631</v>
      </c>
      <c r="F18">
        <v>17.95077975290145</v>
      </c>
    </row>
    <row r="19" spans="1:6" x14ac:dyDescent="0.25">
      <c r="A19">
        <v>44575</v>
      </c>
      <c r="B19">
        <v>2022</v>
      </c>
      <c r="C19">
        <v>15.256149370746117</v>
      </c>
      <c r="D19">
        <v>11.039126825188614</v>
      </c>
      <c r="E19">
        <v>5.2570577394460631</v>
      </c>
      <c r="F19">
        <v>17.95077975290145</v>
      </c>
    </row>
    <row r="20" spans="1:6" x14ac:dyDescent="0.25">
      <c r="A20">
        <v>44568</v>
      </c>
      <c r="B20">
        <v>2022</v>
      </c>
      <c r="C20">
        <v>14.245766792099419</v>
      </c>
      <c r="D20">
        <v>11.039126825188614</v>
      </c>
      <c r="E20">
        <v>5.2570577394460631</v>
      </c>
      <c r="F20">
        <v>17.95077975290145</v>
      </c>
    </row>
    <row r="21" spans="1:6" x14ac:dyDescent="0.25">
      <c r="A21">
        <v>44561</v>
      </c>
      <c r="B21">
        <v>2021</v>
      </c>
      <c r="C21">
        <v>13.78136734601336</v>
      </c>
      <c r="D21">
        <v>11.039126825188614</v>
      </c>
      <c r="E21">
        <v>5.2570577394460631</v>
      </c>
      <c r="F21">
        <v>17.95077975290145</v>
      </c>
    </row>
    <row r="22" spans="1:6" x14ac:dyDescent="0.25">
      <c r="A22">
        <v>44554</v>
      </c>
      <c r="B22">
        <v>2021</v>
      </c>
      <c r="C22">
        <v>13.222832877072015</v>
      </c>
      <c r="D22">
        <v>11.039126825188614</v>
      </c>
      <c r="E22">
        <v>5.2570577394460631</v>
      </c>
      <c r="F22">
        <v>17.95077975290145</v>
      </c>
    </row>
    <row r="23" spans="1:6" x14ac:dyDescent="0.25">
      <c r="A23">
        <v>44547</v>
      </c>
      <c r="B23">
        <v>2021</v>
      </c>
      <c r="C23">
        <v>13.134973522407083</v>
      </c>
      <c r="D23">
        <v>11.039126825188614</v>
      </c>
      <c r="E23">
        <v>5.2570577394460631</v>
      </c>
      <c r="F23">
        <v>17.95077975290145</v>
      </c>
    </row>
    <row r="24" spans="1:6" x14ac:dyDescent="0.25">
      <c r="A24">
        <v>44540</v>
      </c>
      <c r="B24">
        <v>2021</v>
      </c>
      <c r="C24">
        <v>13.153800526978142</v>
      </c>
      <c r="D24">
        <v>11.039126825188614</v>
      </c>
      <c r="E24">
        <v>5.2570577394460631</v>
      </c>
      <c r="F24">
        <v>17.95077975290145</v>
      </c>
    </row>
    <row r="25" spans="1:6" x14ac:dyDescent="0.25">
      <c r="A25">
        <v>44533</v>
      </c>
      <c r="B25">
        <v>2021</v>
      </c>
      <c r="C25">
        <v>12.036731589095456</v>
      </c>
      <c r="D25">
        <v>11.039126825188614</v>
      </c>
      <c r="E25">
        <v>5.2570577394460631</v>
      </c>
      <c r="F25">
        <v>17.95077975290145</v>
      </c>
    </row>
    <row r="26" spans="1:6" x14ac:dyDescent="0.25">
      <c r="A26">
        <v>44526</v>
      </c>
      <c r="B26">
        <v>2021</v>
      </c>
      <c r="C26">
        <v>13.630751309444907</v>
      </c>
      <c r="D26">
        <v>11.039126825188614</v>
      </c>
      <c r="E26">
        <v>5.2570577394460631</v>
      </c>
      <c r="F26">
        <v>17.95077975290145</v>
      </c>
    </row>
    <row r="27" spans="1:6" x14ac:dyDescent="0.25">
      <c r="A27">
        <v>44519</v>
      </c>
      <c r="B27">
        <v>2021</v>
      </c>
      <c r="C27">
        <v>13.680956654967726</v>
      </c>
      <c r="D27">
        <v>11.039126825188614</v>
      </c>
      <c r="E27">
        <v>5.2570577394460631</v>
      </c>
      <c r="F27">
        <v>17.95077975290145</v>
      </c>
    </row>
    <row r="28" spans="1:6" x14ac:dyDescent="0.25">
      <c r="A28">
        <v>44512</v>
      </c>
      <c r="B28">
        <v>2021</v>
      </c>
      <c r="C28">
        <v>14.195561446576603</v>
      </c>
      <c r="D28">
        <v>11.039126825188614</v>
      </c>
      <c r="E28">
        <v>5.2570577394460631</v>
      </c>
      <c r="F28">
        <v>17.95077975290145</v>
      </c>
    </row>
    <row r="29" spans="1:6" x14ac:dyDescent="0.25">
      <c r="A29">
        <v>44505</v>
      </c>
      <c r="B29">
        <v>2021</v>
      </c>
      <c r="C29">
        <v>14.164183105624844</v>
      </c>
      <c r="D29">
        <v>11.039126825188614</v>
      </c>
      <c r="E29">
        <v>5.2570577394460631</v>
      </c>
      <c r="F29">
        <v>17.95077975290145</v>
      </c>
    </row>
    <row r="30" spans="1:6" x14ac:dyDescent="0.25">
      <c r="A30">
        <v>44498</v>
      </c>
      <c r="B30">
        <v>2021</v>
      </c>
      <c r="C30">
        <v>14.434036837809982</v>
      </c>
      <c r="D30">
        <v>11.039126825188614</v>
      </c>
      <c r="E30">
        <v>5.2570577394460631</v>
      </c>
      <c r="F30">
        <v>17.95077975290145</v>
      </c>
    </row>
    <row r="31" spans="1:6" x14ac:dyDescent="0.25">
      <c r="A31">
        <v>44491</v>
      </c>
      <c r="B31">
        <v>2021</v>
      </c>
      <c r="C31">
        <v>14.56582586980738</v>
      </c>
      <c r="D31">
        <v>11.039126825188614</v>
      </c>
      <c r="E31">
        <v>5.2570577394460631</v>
      </c>
      <c r="F31">
        <v>17.95077975290145</v>
      </c>
    </row>
    <row r="32" spans="1:6" x14ac:dyDescent="0.25">
      <c r="A32">
        <v>44484</v>
      </c>
      <c r="B32">
        <v>2021</v>
      </c>
      <c r="C32">
        <v>14.616031215330198</v>
      </c>
      <c r="D32">
        <v>11.039126825188614</v>
      </c>
      <c r="E32">
        <v>5.2570577394460631</v>
      </c>
      <c r="F32">
        <v>17.95077975290145</v>
      </c>
    </row>
    <row r="33" spans="1:6" x14ac:dyDescent="0.25">
      <c r="A33">
        <v>44477</v>
      </c>
      <c r="B33">
        <v>2021</v>
      </c>
      <c r="C33">
        <v>14.183010110195895</v>
      </c>
      <c r="D33">
        <v>11.039126825188614</v>
      </c>
      <c r="E33">
        <v>5.2570577394460631</v>
      </c>
      <c r="F33">
        <v>17.95077975290145</v>
      </c>
    </row>
    <row r="34" spans="1:6" x14ac:dyDescent="0.25">
      <c r="A34">
        <v>44470</v>
      </c>
      <c r="B34">
        <v>2021</v>
      </c>
      <c r="C34">
        <v>13.448756931924693</v>
      </c>
      <c r="D34">
        <v>11.039126825188614</v>
      </c>
      <c r="E34">
        <v>5.2570577394460631</v>
      </c>
      <c r="F34">
        <v>17.95077975290145</v>
      </c>
    </row>
    <row r="35" spans="1:6" x14ac:dyDescent="0.25">
      <c r="A35">
        <v>44463</v>
      </c>
      <c r="B35">
        <v>2021</v>
      </c>
      <c r="C35">
        <v>12.689401080892081</v>
      </c>
      <c r="D35">
        <v>11.039126825188614</v>
      </c>
      <c r="E35">
        <v>5.2570577394460631</v>
      </c>
      <c r="F35">
        <v>17.95077975290145</v>
      </c>
    </row>
    <row r="36" spans="1:6" x14ac:dyDescent="0.25">
      <c r="A36">
        <v>44456</v>
      </c>
      <c r="B36">
        <v>2021</v>
      </c>
      <c r="C36">
        <v>12.526233707942923</v>
      </c>
      <c r="D36">
        <v>11.039126825188614</v>
      </c>
      <c r="E36">
        <v>5.2570577394460631</v>
      </c>
      <c r="F36">
        <v>17.95077975290145</v>
      </c>
    </row>
    <row r="37" spans="1:6" x14ac:dyDescent="0.25">
      <c r="A37">
        <v>44449</v>
      </c>
      <c r="B37">
        <v>2021</v>
      </c>
      <c r="C37">
        <v>11.986526243572641</v>
      </c>
      <c r="D37">
        <v>11.039126825188614</v>
      </c>
      <c r="E37">
        <v>5.2570577394460631</v>
      </c>
      <c r="F37">
        <v>17.95077975290145</v>
      </c>
    </row>
    <row r="38" spans="1:6" x14ac:dyDescent="0.25">
      <c r="A38">
        <v>44442</v>
      </c>
      <c r="B38">
        <v>2021</v>
      </c>
      <c r="C38">
        <v>12.093212602808627</v>
      </c>
      <c r="D38">
        <v>11.039126825188614</v>
      </c>
      <c r="E38">
        <v>5.2570577394460631</v>
      </c>
      <c r="F38">
        <v>17.95077975290145</v>
      </c>
    </row>
    <row r="39" spans="1:6" x14ac:dyDescent="0.25">
      <c r="A39">
        <v>44435</v>
      </c>
      <c r="B39">
        <v>2021</v>
      </c>
      <c r="C39">
        <v>11.559780806628693</v>
      </c>
      <c r="D39">
        <v>11.039126825188614</v>
      </c>
      <c r="E39">
        <v>5.2570577394460631</v>
      </c>
      <c r="F39">
        <v>17.95077975290145</v>
      </c>
    </row>
    <row r="40" spans="1:6" x14ac:dyDescent="0.25">
      <c r="A40">
        <v>44428</v>
      </c>
      <c r="B40">
        <v>2021</v>
      </c>
      <c r="C40">
        <v>10.888284310261012</v>
      </c>
      <c r="D40">
        <v>11.039126825188614</v>
      </c>
      <c r="E40">
        <v>5.2570577394460631</v>
      </c>
      <c r="F40">
        <v>17.95077975290145</v>
      </c>
    </row>
    <row r="41" spans="1:6" x14ac:dyDescent="0.25">
      <c r="A41">
        <v>44421</v>
      </c>
      <c r="B41">
        <v>2021</v>
      </c>
      <c r="C41">
        <v>11.415440438250592</v>
      </c>
      <c r="D41">
        <v>11.039126825188614</v>
      </c>
      <c r="E41">
        <v>5.2570577394460631</v>
      </c>
      <c r="F41">
        <v>17.95077975290145</v>
      </c>
    </row>
    <row r="42" spans="1:6" x14ac:dyDescent="0.25">
      <c r="A42">
        <v>44414</v>
      </c>
      <c r="B42">
        <v>2021</v>
      </c>
      <c r="C42">
        <v>11.49702412472517</v>
      </c>
      <c r="D42">
        <v>11.039126825188614</v>
      </c>
      <c r="E42">
        <v>5.2570577394460631</v>
      </c>
      <c r="F42">
        <v>17.95077975290145</v>
      </c>
    </row>
    <row r="43" spans="1:6" x14ac:dyDescent="0.25">
      <c r="A43">
        <v>44407</v>
      </c>
      <c r="B43">
        <v>2021</v>
      </c>
      <c r="C43">
        <v>12.036731589095456</v>
      </c>
      <c r="D43">
        <v>11.039126825188614</v>
      </c>
      <c r="E43">
        <v>5.2570577394460631</v>
      </c>
      <c r="F43">
        <v>17.95077975290145</v>
      </c>
    </row>
    <row r="44" spans="1:6" x14ac:dyDescent="0.25">
      <c r="A44">
        <v>44400</v>
      </c>
      <c r="B44">
        <v>2021</v>
      </c>
      <c r="C44">
        <v>11.559780806628693</v>
      </c>
      <c r="D44">
        <v>11.039126825188614</v>
      </c>
      <c r="E44">
        <v>5.2570577394460631</v>
      </c>
      <c r="F44">
        <v>17.95077975290145</v>
      </c>
    </row>
    <row r="45" spans="1:6" x14ac:dyDescent="0.25">
      <c r="A45">
        <v>44393</v>
      </c>
      <c r="B45">
        <v>2021</v>
      </c>
      <c r="C45">
        <v>11.936320898049821</v>
      </c>
      <c r="D45">
        <v>11.039126825188614</v>
      </c>
      <c r="E45">
        <v>5.2570577394460631</v>
      </c>
      <c r="F45">
        <v>17.95077975290145</v>
      </c>
    </row>
    <row r="46" spans="1:6" x14ac:dyDescent="0.25">
      <c r="A46">
        <v>44386</v>
      </c>
      <c r="B46">
        <v>2021</v>
      </c>
      <c r="C46">
        <v>11.748050852339258</v>
      </c>
      <c r="D46">
        <v>11.039126825188614</v>
      </c>
      <c r="E46">
        <v>5.2570577394460631</v>
      </c>
      <c r="F46">
        <v>17.95077975290145</v>
      </c>
    </row>
    <row r="47" spans="1:6" x14ac:dyDescent="0.25">
      <c r="A47">
        <v>44379</v>
      </c>
      <c r="B47">
        <v>2021</v>
      </c>
      <c r="C47">
        <v>11.892391220717357</v>
      </c>
      <c r="D47">
        <v>11.039126825188614</v>
      </c>
      <c r="E47">
        <v>5.2570577394460631</v>
      </c>
      <c r="F47">
        <v>17.95077975290145</v>
      </c>
    </row>
    <row r="48" spans="1:6" x14ac:dyDescent="0.25">
      <c r="A48">
        <v>44372</v>
      </c>
      <c r="B48">
        <v>2021</v>
      </c>
      <c r="C48">
        <v>11.99280191176299</v>
      </c>
      <c r="D48">
        <v>11.039126825188614</v>
      </c>
      <c r="E48">
        <v>5.2570577394460631</v>
      </c>
      <c r="F48">
        <v>17.95077975290145</v>
      </c>
    </row>
    <row r="49" spans="1:6" x14ac:dyDescent="0.25">
      <c r="A49">
        <v>44365</v>
      </c>
      <c r="B49">
        <v>2021</v>
      </c>
      <c r="C49">
        <v>11.578607811199747</v>
      </c>
      <c r="D49">
        <v>11.039126825188614</v>
      </c>
      <c r="E49">
        <v>5.2570577394460631</v>
      </c>
      <c r="F49">
        <v>17.95077975290145</v>
      </c>
    </row>
    <row r="50" spans="1:6" x14ac:dyDescent="0.25">
      <c r="A50">
        <v>44358</v>
      </c>
      <c r="B50">
        <v>2021</v>
      </c>
      <c r="C50">
        <v>11.503299792915522</v>
      </c>
      <c r="D50">
        <v>11.039126825188614</v>
      </c>
      <c r="E50">
        <v>5.2570577394460631</v>
      </c>
      <c r="F50">
        <v>17.95077975290145</v>
      </c>
    </row>
    <row r="51" spans="1:6" x14ac:dyDescent="0.25">
      <c r="A51">
        <v>44351</v>
      </c>
      <c r="B51">
        <v>2021</v>
      </c>
      <c r="C51">
        <v>11.402889101869889</v>
      </c>
      <c r="D51">
        <v>11.039126825188614</v>
      </c>
      <c r="E51">
        <v>5.2570577394460631</v>
      </c>
      <c r="F51">
        <v>17.95077975290145</v>
      </c>
    </row>
    <row r="52" spans="1:6" x14ac:dyDescent="0.25">
      <c r="A52">
        <v>44344</v>
      </c>
      <c r="B52">
        <v>2021</v>
      </c>
      <c r="C52">
        <v>11.057727351400517</v>
      </c>
      <c r="D52">
        <v>11.039126825188614</v>
      </c>
      <c r="E52">
        <v>5.2570577394460631</v>
      </c>
      <c r="F52">
        <v>17.95077975290145</v>
      </c>
    </row>
    <row r="53" spans="1:6" x14ac:dyDescent="0.25">
      <c r="A53">
        <v>44337</v>
      </c>
      <c r="B53">
        <v>2021</v>
      </c>
      <c r="C53">
        <v>10.869457305689954</v>
      </c>
      <c r="D53">
        <v>11.039126825188614</v>
      </c>
      <c r="E53">
        <v>5.2570577394460631</v>
      </c>
      <c r="F53">
        <v>17.95077975290145</v>
      </c>
    </row>
    <row r="54" spans="1:6" x14ac:dyDescent="0.25">
      <c r="A54">
        <v>44330</v>
      </c>
      <c r="B54">
        <v>2021</v>
      </c>
      <c r="C54">
        <v>11.095381360542632</v>
      </c>
      <c r="D54">
        <v>11.039126825188614</v>
      </c>
      <c r="E54">
        <v>5.2570577394460631</v>
      </c>
      <c r="F54">
        <v>17.95077975290145</v>
      </c>
    </row>
    <row r="55" spans="1:6" x14ac:dyDescent="0.25">
      <c r="A55">
        <v>44323</v>
      </c>
      <c r="B55">
        <v>2021</v>
      </c>
      <c r="C55">
        <v>10.969867996735587</v>
      </c>
      <c r="D55">
        <v>11.039126825188614</v>
      </c>
      <c r="E55">
        <v>5.2570577394460631</v>
      </c>
      <c r="F55">
        <v>17.95077975290145</v>
      </c>
    </row>
    <row r="56" spans="1:6" x14ac:dyDescent="0.25">
      <c r="A56">
        <v>44316</v>
      </c>
      <c r="B56">
        <v>2021</v>
      </c>
      <c r="C56">
        <v>10.693738596360092</v>
      </c>
      <c r="D56">
        <v>11.039126825188614</v>
      </c>
      <c r="E56">
        <v>5.2570577394460631</v>
      </c>
      <c r="F56">
        <v>17.95077975290145</v>
      </c>
    </row>
    <row r="57" spans="1:6" x14ac:dyDescent="0.25">
      <c r="A57">
        <v>44309</v>
      </c>
      <c r="B57">
        <v>2021</v>
      </c>
      <c r="C57">
        <v>10.492917214268822</v>
      </c>
      <c r="D57">
        <v>11.039126825188614</v>
      </c>
      <c r="E57">
        <v>5.2570577394460631</v>
      </c>
      <c r="F57">
        <v>17.95077975290145</v>
      </c>
    </row>
    <row r="58" spans="1:6" x14ac:dyDescent="0.25">
      <c r="A58">
        <v>44302</v>
      </c>
      <c r="B58">
        <v>2021</v>
      </c>
      <c r="C58">
        <v>10.492917214268822</v>
      </c>
      <c r="D58">
        <v>11.039126825188614</v>
      </c>
      <c r="E58">
        <v>5.2570577394460631</v>
      </c>
      <c r="F58">
        <v>17.95077975290145</v>
      </c>
    </row>
    <row r="59" spans="1:6" x14ac:dyDescent="0.25">
      <c r="A59">
        <v>44295</v>
      </c>
      <c r="B59">
        <v>2021</v>
      </c>
      <c r="C59">
        <v>10.285820163987202</v>
      </c>
      <c r="D59">
        <v>11.039126825188614</v>
      </c>
      <c r="E59">
        <v>5.2570577394460631</v>
      </c>
      <c r="F59">
        <v>17.95077975290145</v>
      </c>
    </row>
    <row r="60" spans="1:6" x14ac:dyDescent="0.25">
      <c r="A60">
        <v>44288</v>
      </c>
      <c r="B60">
        <v>2021</v>
      </c>
      <c r="C60">
        <v>10.028517768182764</v>
      </c>
      <c r="D60">
        <v>11.039126825188614</v>
      </c>
      <c r="E60">
        <v>5.2570577394460631</v>
      </c>
      <c r="F60">
        <v>17.95077975290145</v>
      </c>
    </row>
    <row r="61" spans="1:6" x14ac:dyDescent="0.25">
      <c r="A61">
        <v>44281</v>
      </c>
      <c r="B61">
        <v>2021</v>
      </c>
      <c r="C61">
        <v>10.034793436373114</v>
      </c>
      <c r="D61">
        <v>11.039126825188614</v>
      </c>
      <c r="E61">
        <v>5.2570577394460631</v>
      </c>
      <c r="F61">
        <v>17.95077975290145</v>
      </c>
    </row>
    <row r="62" spans="1:6" x14ac:dyDescent="0.25">
      <c r="A62">
        <v>44274</v>
      </c>
      <c r="B62">
        <v>2021</v>
      </c>
      <c r="C62">
        <v>10.499192882459175</v>
      </c>
      <c r="D62">
        <v>11.039126825188614</v>
      </c>
      <c r="E62">
        <v>5.2570577394460631</v>
      </c>
      <c r="F62">
        <v>17.95077975290145</v>
      </c>
    </row>
    <row r="63" spans="1:6" x14ac:dyDescent="0.25">
      <c r="A63">
        <v>44267</v>
      </c>
      <c r="B63">
        <v>2021</v>
      </c>
      <c r="C63">
        <v>10.863181637499602</v>
      </c>
      <c r="D63">
        <v>11.039126825188614</v>
      </c>
      <c r="E63">
        <v>5.2570577394460631</v>
      </c>
      <c r="F63">
        <v>17.95077975290145</v>
      </c>
    </row>
    <row r="64" spans="1:6" x14ac:dyDescent="0.25">
      <c r="A64">
        <v>44260</v>
      </c>
      <c r="B64">
        <v>2021</v>
      </c>
      <c r="C64">
        <v>10.574500900743402</v>
      </c>
      <c r="D64">
        <v>11.039126825188614</v>
      </c>
      <c r="E64">
        <v>5.2570577394460631</v>
      </c>
      <c r="F64">
        <v>17.95077975290145</v>
      </c>
    </row>
    <row r="65" spans="1:6" x14ac:dyDescent="0.25">
      <c r="A65">
        <v>44253</v>
      </c>
      <c r="B65">
        <v>2021</v>
      </c>
      <c r="C65">
        <v>10.737668273692558</v>
      </c>
      <c r="D65">
        <v>11.039126825188614</v>
      </c>
      <c r="E65">
        <v>5.2570577394460631</v>
      </c>
      <c r="F65">
        <v>17.95077975290145</v>
      </c>
    </row>
    <row r="66" spans="1:6" x14ac:dyDescent="0.25">
      <c r="A66">
        <v>44246</v>
      </c>
      <c r="B66">
        <v>2021</v>
      </c>
      <c r="C66">
        <v>10.248166154845089</v>
      </c>
      <c r="D66">
        <v>11.039126825188614</v>
      </c>
      <c r="E66">
        <v>5.2570577394460631</v>
      </c>
      <c r="F66">
        <v>17.95077975290145</v>
      </c>
    </row>
    <row r="67" spans="1:6" x14ac:dyDescent="0.25">
      <c r="A67">
        <v>44239</v>
      </c>
      <c r="B67">
        <v>2021</v>
      </c>
      <c r="C67">
        <v>9.8402477224721991</v>
      </c>
      <c r="D67">
        <v>11.039126825188614</v>
      </c>
      <c r="E67">
        <v>5.2570577394460631</v>
      </c>
      <c r="F67">
        <v>17.95077975290145</v>
      </c>
    </row>
    <row r="68" spans="1:6" x14ac:dyDescent="0.25">
      <c r="A68">
        <v>44232</v>
      </c>
      <c r="B68">
        <v>2021</v>
      </c>
      <c r="C68">
        <v>9.4009509491475463</v>
      </c>
      <c r="D68">
        <v>11.039126825188614</v>
      </c>
      <c r="E68">
        <v>5.2570577394460631</v>
      </c>
      <c r="F68">
        <v>17.95077975290145</v>
      </c>
    </row>
    <row r="69" spans="1:6" x14ac:dyDescent="0.25">
      <c r="A69">
        <v>44225</v>
      </c>
      <c r="B69">
        <v>2021</v>
      </c>
      <c r="C69">
        <v>8.9491028394421903</v>
      </c>
      <c r="D69">
        <v>11.039126825188614</v>
      </c>
      <c r="E69">
        <v>5.2570577394460631</v>
      </c>
      <c r="F69">
        <v>17.95077975290145</v>
      </c>
    </row>
    <row r="70" spans="1:6" x14ac:dyDescent="0.25">
      <c r="A70">
        <v>44218</v>
      </c>
      <c r="B70">
        <v>2021</v>
      </c>
      <c r="C70">
        <v>9.0244108577264139</v>
      </c>
      <c r="D70">
        <v>11.039126825188614</v>
      </c>
      <c r="E70">
        <v>5.2570577394460631</v>
      </c>
      <c r="F70">
        <v>17.95077975290145</v>
      </c>
    </row>
    <row r="71" spans="1:6" x14ac:dyDescent="0.25">
      <c r="A71">
        <v>44211</v>
      </c>
      <c r="B71">
        <v>2021</v>
      </c>
      <c r="C71">
        <v>9.0934432078202914</v>
      </c>
      <c r="D71">
        <v>11.039126825188614</v>
      </c>
      <c r="E71">
        <v>5.2570577394460631</v>
      </c>
      <c r="F71">
        <v>17.95077975290145</v>
      </c>
    </row>
    <row r="72" spans="1:6" x14ac:dyDescent="0.25">
      <c r="A72">
        <v>44204</v>
      </c>
      <c r="B72">
        <v>2021</v>
      </c>
      <c r="C72">
        <v>8.6164924253535258</v>
      </c>
      <c r="D72">
        <v>11.039126825188614</v>
      </c>
      <c r="E72">
        <v>5.2570577394460631</v>
      </c>
      <c r="F72">
        <v>17.95077975290145</v>
      </c>
    </row>
    <row r="73" spans="1:6" x14ac:dyDescent="0.25">
      <c r="A73">
        <v>44197</v>
      </c>
      <c r="B73">
        <v>2021</v>
      </c>
      <c r="C73">
        <v>8.4596007205947217</v>
      </c>
      <c r="D73">
        <v>11.039126825188614</v>
      </c>
      <c r="E73">
        <v>5.2570577394460631</v>
      </c>
      <c r="F73">
        <v>17.95077975290145</v>
      </c>
    </row>
    <row r="74" spans="1:6" x14ac:dyDescent="0.25">
      <c r="A74">
        <v>44190</v>
      </c>
      <c r="B74">
        <v>2020</v>
      </c>
      <c r="C74">
        <v>8.9933460046707054</v>
      </c>
      <c r="D74">
        <v>11.039126825188614</v>
      </c>
      <c r="E74">
        <v>5.2570577394460631</v>
      </c>
      <c r="F74">
        <v>17.95077975290145</v>
      </c>
    </row>
    <row r="75" spans="1:6" x14ac:dyDescent="0.25">
      <c r="A75">
        <v>44183</v>
      </c>
      <c r="B75">
        <v>2020</v>
      </c>
      <c r="C75">
        <v>9.0600127652687075</v>
      </c>
      <c r="D75">
        <v>11.039126825188614</v>
      </c>
      <c r="E75">
        <v>5.2570577394460631</v>
      </c>
      <c r="F75">
        <v>17.95077975290145</v>
      </c>
    </row>
    <row r="76" spans="1:6" x14ac:dyDescent="0.25">
      <c r="A76">
        <v>44176</v>
      </c>
      <c r="B76">
        <v>2020</v>
      </c>
      <c r="C76">
        <v>8.6400121735012867</v>
      </c>
      <c r="D76">
        <v>11.039126825188614</v>
      </c>
      <c r="E76">
        <v>5.2570577394460631</v>
      </c>
      <c r="F76">
        <v>17.95077975290145</v>
      </c>
    </row>
    <row r="77" spans="1:6" x14ac:dyDescent="0.25">
      <c r="A77">
        <v>44169</v>
      </c>
      <c r="B77">
        <v>2020</v>
      </c>
      <c r="C77">
        <v>8.4000118353484723</v>
      </c>
      <c r="D77">
        <v>11.039126825188614</v>
      </c>
      <c r="E77">
        <v>5.2570577394460631</v>
      </c>
      <c r="F77">
        <v>17.95077975290145</v>
      </c>
    </row>
    <row r="78" spans="1:6" x14ac:dyDescent="0.25">
      <c r="A78">
        <v>44162</v>
      </c>
      <c r="B78">
        <v>2020</v>
      </c>
      <c r="C78">
        <v>8.2200115817338624</v>
      </c>
      <c r="D78">
        <v>11.039126825188614</v>
      </c>
      <c r="E78">
        <v>5.2570577394460631</v>
      </c>
      <c r="F78">
        <v>17.95077975290145</v>
      </c>
    </row>
    <row r="79" spans="1:6" x14ac:dyDescent="0.25">
      <c r="A79">
        <v>44155</v>
      </c>
      <c r="B79">
        <v>2020</v>
      </c>
      <c r="C79">
        <v>7.5733440039332249</v>
      </c>
      <c r="D79">
        <v>11.039126825188614</v>
      </c>
      <c r="E79">
        <v>5.2570577394460631</v>
      </c>
      <c r="F79">
        <v>17.95077975290145</v>
      </c>
    </row>
    <row r="80" spans="1:6" x14ac:dyDescent="0.25">
      <c r="A80">
        <v>44148</v>
      </c>
      <c r="B80">
        <v>2020</v>
      </c>
      <c r="C80">
        <v>7.5333439475744219</v>
      </c>
      <c r="D80">
        <v>11.039126825188614</v>
      </c>
      <c r="E80">
        <v>5.2570577394460631</v>
      </c>
      <c r="F80">
        <v>17.95077975290145</v>
      </c>
    </row>
    <row r="81" spans="1:6" x14ac:dyDescent="0.25">
      <c r="A81">
        <v>44141</v>
      </c>
      <c r="B81">
        <v>2020</v>
      </c>
      <c r="C81">
        <v>7.0000098627903942</v>
      </c>
      <c r="D81">
        <v>11.039126825188614</v>
      </c>
      <c r="E81">
        <v>5.2570577394460631</v>
      </c>
      <c r="F81">
        <v>17.95077975290145</v>
      </c>
    </row>
    <row r="82" spans="1:6" x14ac:dyDescent="0.25">
      <c r="A82">
        <v>44134</v>
      </c>
      <c r="B82">
        <v>2020</v>
      </c>
      <c r="C82">
        <v>6.7466761725179785</v>
      </c>
      <c r="D82">
        <v>11.039126825188614</v>
      </c>
      <c r="E82">
        <v>5.2570577394460631</v>
      </c>
      <c r="F82">
        <v>17.95077975290145</v>
      </c>
    </row>
    <row r="83" spans="1:6" x14ac:dyDescent="0.25">
      <c r="A83">
        <v>44127</v>
      </c>
      <c r="B83">
        <v>2020</v>
      </c>
      <c r="C83">
        <v>7.066676623388398</v>
      </c>
      <c r="D83">
        <v>11.039126825188614</v>
      </c>
      <c r="E83">
        <v>5.2570577394460631</v>
      </c>
      <c r="F83">
        <v>17.95077975290145</v>
      </c>
    </row>
    <row r="84" spans="1:6" x14ac:dyDescent="0.25">
      <c r="A84">
        <v>44120</v>
      </c>
      <c r="B84">
        <v>2020</v>
      </c>
      <c r="C84">
        <v>7.173343440345203</v>
      </c>
      <c r="D84">
        <v>11.039126825188614</v>
      </c>
      <c r="E84">
        <v>5.2570577394460631</v>
      </c>
      <c r="F84">
        <v>17.95077975290145</v>
      </c>
    </row>
    <row r="85" spans="1:6" x14ac:dyDescent="0.25">
      <c r="A85">
        <v>44113</v>
      </c>
      <c r="B85">
        <v>2020</v>
      </c>
      <c r="C85">
        <v>7.1133433558069994</v>
      </c>
      <c r="D85">
        <v>11.039126825188614</v>
      </c>
      <c r="E85">
        <v>5.2570577394460631</v>
      </c>
      <c r="F85">
        <v>17.95077975290145</v>
      </c>
    </row>
    <row r="86" spans="1:6" x14ac:dyDescent="0.25">
      <c r="A86">
        <v>44106</v>
      </c>
      <c r="B86">
        <v>2020</v>
      </c>
      <c r="C86">
        <v>6.6333426795013732</v>
      </c>
      <c r="D86">
        <v>11.039126825188614</v>
      </c>
      <c r="E86">
        <v>5.2570577394460631</v>
      </c>
      <c r="F86">
        <v>17.95077975290145</v>
      </c>
    </row>
    <row r="87" spans="1:6" x14ac:dyDescent="0.25">
      <c r="A87">
        <v>44099</v>
      </c>
      <c r="B87">
        <v>2020</v>
      </c>
      <c r="C87">
        <v>6.4866758061857652</v>
      </c>
      <c r="D87">
        <v>11.039126825188614</v>
      </c>
      <c r="E87">
        <v>5.2570577394460631</v>
      </c>
      <c r="F87">
        <v>17.95077975290145</v>
      </c>
    </row>
    <row r="88" spans="1:6" x14ac:dyDescent="0.25">
      <c r="A88">
        <v>44092</v>
      </c>
      <c r="B88">
        <v>2020</v>
      </c>
      <c r="C88">
        <v>6.7400094964581783</v>
      </c>
      <c r="D88">
        <v>11.039126825188614</v>
      </c>
      <c r="E88">
        <v>5.2570577394460631</v>
      </c>
      <c r="F88">
        <v>17.95077975290145</v>
      </c>
    </row>
    <row r="89" spans="1:6" x14ac:dyDescent="0.25">
      <c r="A89">
        <v>44085</v>
      </c>
      <c r="B89">
        <v>2020</v>
      </c>
      <c r="C89">
        <v>6.5600092428435683</v>
      </c>
      <c r="D89">
        <v>11.039126825188614</v>
      </c>
      <c r="E89">
        <v>5.2570577394460631</v>
      </c>
      <c r="F89">
        <v>17.95077975290145</v>
      </c>
    </row>
    <row r="90" spans="1:6" x14ac:dyDescent="0.25">
      <c r="A90">
        <v>44078</v>
      </c>
      <c r="B90">
        <v>2020</v>
      </c>
      <c r="C90">
        <v>7.1600100882256035</v>
      </c>
      <c r="D90">
        <v>11.039126825188614</v>
      </c>
      <c r="E90">
        <v>5.2570577394460631</v>
      </c>
      <c r="F90">
        <v>17.95077975290145</v>
      </c>
    </row>
    <row r="91" spans="1:6" x14ac:dyDescent="0.25">
      <c r="A91">
        <v>44071</v>
      </c>
      <c r="B91">
        <v>2020</v>
      </c>
      <c r="C91">
        <v>7.5200105954548215</v>
      </c>
      <c r="D91">
        <v>11.039126825188614</v>
      </c>
      <c r="E91">
        <v>5.2570577394460631</v>
      </c>
      <c r="F91">
        <v>17.95077975290145</v>
      </c>
    </row>
    <row r="92" spans="1:6" x14ac:dyDescent="0.25">
      <c r="A92">
        <v>44064</v>
      </c>
      <c r="B92">
        <v>2020</v>
      </c>
      <c r="C92">
        <v>7.3466770179000136</v>
      </c>
      <c r="D92">
        <v>11.039126825188614</v>
      </c>
      <c r="E92">
        <v>5.2570577394460631</v>
      </c>
      <c r="F92">
        <v>17.95077975290145</v>
      </c>
    </row>
    <row r="93" spans="1:6" x14ac:dyDescent="0.25">
      <c r="A93">
        <v>44057</v>
      </c>
      <c r="B93">
        <v>2020</v>
      </c>
      <c r="C93">
        <v>7.4000104263784161</v>
      </c>
      <c r="D93">
        <v>11.039126825188614</v>
      </c>
      <c r="E93">
        <v>5.2570577394460631</v>
      </c>
      <c r="F93">
        <v>17.95077975290145</v>
      </c>
    </row>
    <row r="94" spans="1:6" x14ac:dyDescent="0.25">
      <c r="A94">
        <v>44050</v>
      </c>
      <c r="B94">
        <v>2020</v>
      </c>
      <c r="C94">
        <v>7.4066771024382172</v>
      </c>
      <c r="D94">
        <v>11.039126825188614</v>
      </c>
      <c r="E94">
        <v>5.2570577394460631</v>
      </c>
      <c r="F94">
        <v>17.95077975290145</v>
      </c>
    </row>
    <row r="95" spans="1:6" x14ac:dyDescent="0.25">
      <c r="A95">
        <v>44043</v>
      </c>
      <c r="B95">
        <v>2020</v>
      </c>
      <c r="C95">
        <v>7.360010370019614</v>
      </c>
      <c r="D95">
        <v>11.039126825188614</v>
      </c>
      <c r="E95">
        <v>5.2570577394460631</v>
      </c>
      <c r="F95">
        <v>17.95077975290145</v>
      </c>
    </row>
    <row r="96" spans="1:6" x14ac:dyDescent="0.25">
      <c r="A96">
        <v>44036</v>
      </c>
      <c r="B96">
        <v>2020</v>
      </c>
      <c r="C96">
        <v>7.3733437221392144</v>
      </c>
      <c r="D96">
        <v>11.039126825188614</v>
      </c>
      <c r="E96">
        <v>5.2570577394460631</v>
      </c>
      <c r="F96">
        <v>17.95077975290145</v>
      </c>
    </row>
    <row r="97" spans="1:6" x14ac:dyDescent="0.25">
      <c r="A97">
        <v>44029</v>
      </c>
      <c r="B97">
        <v>2020</v>
      </c>
      <c r="C97">
        <v>7.1600100882256035</v>
      </c>
      <c r="D97">
        <v>11.039126825188614</v>
      </c>
      <c r="E97">
        <v>5.2570577394460631</v>
      </c>
      <c r="F97">
        <v>17.95077975290145</v>
      </c>
    </row>
    <row r="98" spans="1:6" x14ac:dyDescent="0.25">
      <c r="A98">
        <v>44022</v>
      </c>
      <c r="B98">
        <v>2020</v>
      </c>
      <c r="C98">
        <v>7.1533434121658006</v>
      </c>
      <c r="D98">
        <v>11.039126825188614</v>
      </c>
      <c r="E98">
        <v>5.2570577394460631</v>
      </c>
      <c r="F98">
        <v>17.95077975290145</v>
      </c>
    </row>
    <row r="99" spans="1:6" x14ac:dyDescent="0.25">
      <c r="A99">
        <v>44015</v>
      </c>
      <c r="B99">
        <v>2020</v>
      </c>
      <c r="C99">
        <v>6.8200096091757834</v>
      </c>
      <c r="D99">
        <v>11.039126825188614</v>
      </c>
      <c r="E99">
        <v>5.2570577394460631</v>
      </c>
      <c r="F99">
        <v>17.95077975290145</v>
      </c>
    </row>
    <row r="100" spans="1:6" x14ac:dyDescent="0.25">
      <c r="A100">
        <v>44008</v>
      </c>
      <c r="B100">
        <v>2020</v>
      </c>
      <c r="C100">
        <v>6.8133429331159832</v>
      </c>
      <c r="D100">
        <v>11.039126825188614</v>
      </c>
      <c r="E100">
        <v>5.2570577394460631</v>
      </c>
      <c r="F100">
        <v>17.95077975290145</v>
      </c>
    </row>
    <row r="101" spans="1:6" x14ac:dyDescent="0.25">
      <c r="A101">
        <v>44001</v>
      </c>
      <c r="B101">
        <v>2020</v>
      </c>
      <c r="C101">
        <v>6.9466764543119899</v>
      </c>
      <c r="D101">
        <v>11.039126825188614</v>
      </c>
      <c r="E101">
        <v>5.2570577394460631</v>
      </c>
      <c r="F101">
        <v>17.95077975290145</v>
      </c>
    </row>
    <row r="102" spans="1:6" x14ac:dyDescent="0.25">
      <c r="A102">
        <v>43994</v>
      </c>
      <c r="B102">
        <v>2020</v>
      </c>
      <c r="C102">
        <v>6.3666756371093589</v>
      </c>
      <c r="D102">
        <v>11.039126825188614</v>
      </c>
      <c r="E102">
        <v>5.2570577394460631</v>
      </c>
      <c r="F102">
        <v>17.95077975290145</v>
      </c>
    </row>
    <row r="103" spans="1:6" x14ac:dyDescent="0.25">
      <c r="A103">
        <v>43987</v>
      </c>
      <c r="B103">
        <v>2020</v>
      </c>
      <c r="C103">
        <v>6.0066751298801382</v>
      </c>
      <c r="D103">
        <v>11.039126825188614</v>
      </c>
      <c r="E103">
        <v>5.2570577394460631</v>
      </c>
      <c r="F103">
        <v>17.95077975290145</v>
      </c>
    </row>
    <row r="104" spans="1:6" x14ac:dyDescent="0.25">
      <c r="A104">
        <v>43980</v>
      </c>
      <c r="B104">
        <v>2020</v>
      </c>
      <c r="C104">
        <v>5.4266743126775046</v>
      </c>
      <c r="D104">
        <v>11.039126825188614</v>
      </c>
      <c r="E104">
        <v>5.2570577394460631</v>
      </c>
      <c r="F104">
        <v>17.95077975290145</v>
      </c>
    </row>
    <row r="105" spans="1:6" x14ac:dyDescent="0.25">
      <c r="A105">
        <v>43973</v>
      </c>
      <c r="B105">
        <v>2020</v>
      </c>
      <c r="C105">
        <v>5.4066742844981048</v>
      </c>
      <c r="D105">
        <v>11.039126825188614</v>
      </c>
      <c r="E105">
        <v>5.2570577394460631</v>
      </c>
      <c r="F105">
        <v>17.95077975290145</v>
      </c>
    </row>
    <row r="106" spans="1:6" x14ac:dyDescent="0.25">
      <c r="A106">
        <v>43966</v>
      </c>
      <c r="B106">
        <v>2020</v>
      </c>
      <c r="C106">
        <v>4.3333394388702438</v>
      </c>
      <c r="D106">
        <v>11.039126825188614</v>
      </c>
      <c r="E106">
        <v>5.2570577394460631</v>
      </c>
      <c r="F106">
        <v>17.95077975290145</v>
      </c>
    </row>
    <row r="107" spans="1:6" x14ac:dyDescent="0.25">
      <c r="A107">
        <v>43959</v>
      </c>
      <c r="B107">
        <v>2020</v>
      </c>
      <c r="C107">
        <v>3.5733383680530015</v>
      </c>
      <c r="D107">
        <v>11.039126825188614</v>
      </c>
      <c r="E107">
        <v>5.2570577394460631</v>
      </c>
      <c r="F107">
        <v>17.95077975290145</v>
      </c>
    </row>
    <row r="108" spans="1:6" x14ac:dyDescent="0.25">
      <c r="A108">
        <v>43952</v>
      </c>
      <c r="B108">
        <v>2020</v>
      </c>
      <c r="C108">
        <v>3.073337663567973</v>
      </c>
      <c r="D108">
        <v>11.039126825188614</v>
      </c>
      <c r="E108">
        <v>5.2570577394460631</v>
      </c>
      <c r="F108">
        <v>17.95077975290145</v>
      </c>
    </row>
    <row r="109" spans="1:6" x14ac:dyDescent="0.25">
      <c r="A109">
        <v>43945</v>
      </c>
      <c r="B109">
        <v>2020</v>
      </c>
      <c r="C109">
        <v>3.3466713820197884</v>
      </c>
      <c r="D109">
        <v>11.039126825188614</v>
      </c>
      <c r="E109">
        <v>5.2570577394460631</v>
      </c>
      <c r="F109">
        <v>17.95077975290145</v>
      </c>
    </row>
    <row r="110" spans="1:6" x14ac:dyDescent="0.25">
      <c r="A110">
        <v>43938</v>
      </c>
      <c r="B110">
        <v>2020</v>
      </c>
      <c r="C110">
        <v>4.4200062276476491</v>
      </c>
      <c r="D110">
        <v>11.039126825188614</v>
      </c>
      <c r="E110">
        <v>5.2570577394460631</v>
      </c>
      <c r="F110">
        <v>17.95077975290145</v>
      </c>
    </row>
    <row r="111" spans="1:6" x14ac:dyDescent="0.25">
      <c r="A111">
        <v>43931</v>
      </c>
      <c r="B111">
        <v>2020</v>
      </c>
      <c r="C111">
        <v>4.860006847594474</v>
      </c>
      <c r="D111">
        <v>11.039126825188614</v>
      </c>
      <c r="E111">
        <v>5.2570577394460631</v>
      </c>
      <c r="F111">
        <v>17.95077975290145</v>
      </c>
    </row>
    <row r="112" spans="1:6" x14ac:dyDescent="0.25">
      <c r="A112">
        <v>43924</v>
      </c>
      <c r="B112">
        <v>2020</v>
      </c>
      <c r="C112">
        <v>4.7800067348768689</v>
      </c>
      <c r="D112">
        <v>11.039126825188614</v>
      </c>
      <c r="E112">
        <v>5.2570577394460631</v>
      </c>
      <c r="F112">
        <v>17.95077975290145</v>
      </c>
    </row>
    <row r="113" spans="1:6" x14ac:dyDescent="0.25">
      <c r="A113">
        <v>43917</v>
      </c>
      <c r="B113">
        <v>2020</v>
      </c>
      <c r="C113">
        <v>4.7600067066974683</v>
      </c>
      <c r="D113">
        <v>11.039126825188614</v>
      </c>
      <c r="E113">
        <v>5.2570577394460631</v>
      </c>
      <c r="F113">
        <v>17.95077975290145</v>
      </c>
    </row>
    <row r="114" spans="1:6" x14ac:dyDescent="0.25">
      <c r="A114">
        <v>43910</v>
      </c>
      <c r="B114">
        <v>2020</v>
      </c>
      <c r="C114">
        <v>5.186673974524691</v>
      </c>
      <c r="D114">
        <v>11.039126825188614</v>
      </c>
      <c r="E114">
        <v>5.2570577394460631</v>
      </c>
      <c r="F114">
        <v>17.95077975290145</v>
      </c>
    </row>
    <row r="115" spans="1:6" x14ac:dyDescent="0.25">
      <c r="A115">
        <v>43903</v>
      </c>
      <c r="B115">
        <v>2020</v>
      </c>
      <c r="C115">
        <v>6.8400096373551849</v>
      </c>
      <c r="D115">
        <v>11.039126825188614</v>
      </c>
      <c r="E115">
        <v>5.2570577394460631</v>
      </c>
      <c r="F115">
        <v>17.95077975290145</v>
      </c>
    </row>
    <row r="116" spans="1:6" x14ac:dyDescent="0.25">
      <c r="A116">
        <v>43896</v>
      </c>
      <c r="B116">
        <v>2020</v>
      </c>
      <c r="C116">
        <v>9.2800130752421204</v>
      </c>
      <c r="D116">
        <v>11.039126825188614</v>
      </c>
      <c r="E116">
        <v>5.2570577394460631</v>
      </c>
      <c r="F116">
        <v>17.95077975290145</v>
      </c>
    </row>
    <row r="117" spans="1:6" x14ac:dyDescent="0.25">
      <c r="A117">
        <v>43889</v>
      </c>
      <c r="B117">
        <v>2020</v>
      </c>
      <c r="C117">
        <v>9.5400134415743381</v>
      </c>
      <c r="D117">
        <v>11.039126825188614</v>
      </c>
      <c r="E117">
        <v>5.2570577394460631</v>
      </c>
      <c r="F117">
        <v>17.95077975290145</v>
      </c>
    </row>
    <row r="118" spans="1:6" x14ac:dyDescent="0.25">
      <c r="A118">
        <v>43882</v>
      </c>
      <c r="B118">
        <v>2020</v>
      </c>
      <c r="C118">
        <v>10.513348146305191</v>
      </c>
      <c r="D118">
        <v>11.039126825188614</v>
      </c>
      <c r="E118">
        <v>5.2570577394460631</v>
      </c>
      <c r="F118">
        <v>17.95077975290145</v>
      </c>
    </row>
    <row r="119" spans="1:6" x14ac:dyDescent="0.25">
      <c r="A119">
        <v>43875</v>
      </c>
      <c r="B119">
        <v>2020</v>
      </c>
      <c r="C119">
        <v>10.293347836331778</v>
      </c>
      <c r="D119">
        <v>11.039126825188614</v>
      </c>
      <c r="E119">
        <v>5.2570577394460631</v>
      </c>
      <c r="F119">
        <v>17.95077975290145</v>
      </c>
    </row>
    <row r="120" spans="1:6" x14ac:dyDescent="0.25">
      <c r="A120">
        <v>43868</v>
      </c>
      <c r="B120">
        <v>2020</v>
      </c>
      <c r="C120">
        <v>9.9933474136407625</v>
      </c>
      <c r="D120">
        <v>11.039126825188614</v>
      </c>
      <c r="E120">
        <v>5.2570577394460631</v>
      </c>
      <c r="F120">
        <v>17.95077975290145</v>
      </c>
    </row>
    <row r="121" spans="1:6" x14ac:dyDescent="0.25">
      <c r="A121">
        <v>43861</v>
      </c>
      <c r="B121">
        <v>2020</v>
      </c>
      <c r="C121">
        <v>10.593348259022797</v>
      </c>
      <c r="D121">
        <v>11.039126825188614</v>
      </c>
      <c r="E121">
        <v>5.2570577394460631</v>
      </c>
      <c r="F121">
        <v>17.95077975290145</v>
      </c>
    </row>
    <row r="122" spans="1:6" x14ac:dyDescent="0.25">
      <c r="A122">
        <v>43854</v>
      </c>
      <c r="B122">
        <v>2020</v>
      </c>
      <c r="C122">
        <v>11.360016005899839</v>
      </c>
      <c r="D122">
        <v>11.039126825188614</v>
      </c>
      <c r="E122">
        <v>5.2570577394460631</v>
      </c>
      <c r="F122">
        <v>17.95077975290145</v>
      </c>
    </row>
    <row r="123" spans="1:6" x14ac:dyDescent="0.25">
      <c r="A123">
        <v>43847</v>
      </c>
      <c r="B123">
        <v>2020</v>
      </c>
      <c r="C123">
        <v>11.973350203401473</v>
      </c>
      <c r="D123">
        <v>11.039126825188614</v>
      </c>
      <c r="E123">
        <v>5.2570577394460631</v>
      </c>
      <c r="F123">
        <v>17.95077975290145</v>
      </c>
    </row>
    <row r="124" spans="1:6" x14ac:dyDescent="0.25">
      <c r="A124">
        <v>43840</v>
      </c>
      <c r="B124">
        <v>2020</v>
      </c>
      <c r="C124">
        <v>12.680017865740313</v>
      </c>
      <c r="D124">
        <v>11.039126825188614</v>
      </c>
      <c r="E124">
        <v>5.2570577394460631</v>
      </c>
      <c r="F124">
        <v>17.95077975290145</v>
      </c>
    </row>
    <row r="125" spans="1:6" x14ac:dyDescent="0.25">
      <c r="A125">
        <v>43833</v>
      </c>
      <c r="B125">
        <v>2020</v>
      </c>
      <c r="C125">
        <v>13.020018344790133</v>
      </c>
      <c r="D125">
        <v>11.039126825188614</v>
      </c>
      <c r="E125">
        <v>5.2570577394460631</v>
      </c>
      <c r="F125">
        <v>17.95077975290145</v>
      </c>
    </row>
    <row r="126" spans="1:6" x14ac:dyDescent="0.25">
      <c r="A126">
        <v>43826</v>
      </c>
      <c r="B126">
        <v>2019</v>
      </c>
      <c r="C126">
        <v>13.399067052142591</v>
      </c>
      <c r="D126">
        <v>11.039126825188614</v>
      </c>
      <c r="E126">
        <v>5.2570577394460631</v>
      </c>
      <c r="F126">
        <v>17.95077975290145</v>
      </c>
    </row>
    <row r="127" spans="1:6" x14ac:dyDescent="0.25">
      <c r="A127">
        <v>43819</v>
      </c>
      <c r="B127">
        <v>2019</v>
      </c>
      <c r="C127">
        <v>13.078580461073532</v>
      </c>
      <c r="D127">
        <v>11.039126825188614</v>
      </c>
      <c r="E127">
        <v>5.2570577394460631</v>
      </c>
      <c r="F127">
        <v>17.95077975290145</v>
      </c>
    </row>
    <row r="128" spans="1:6" x14ac:dyDescent="0.25">
      <c r="A128">
        <v>43812</v>
      </c>
      <c r="B128">
        <v>2019</v>
      </c>
      <c r="C128">
        <v>12.56716568809099</v>
      </c>
      <c r="D128">
        <v>11.039126825188614</v>
      </c>
      <c r="E128">
        <v>5.2570577394460631</v>
      </c>
      <c r="F128">
        <v>17.95077975290145</v>
      </c>
    </row>
    <row r="129" spans="1:6" x14ac:dyDescent="0.25">
      <c r="A129">
        <v>43805</v>
      </c>
      <c r="B129">
        <v>2019</v>
      </c>
      <c r="C129">
        <v>12.417150688016111</v>
      </c>
      <c r="D129">
        <v>11.039126825188614</v>
      </c>
      <c r="E129">
        <v>5.2570577394460631</v>
      </c>
      <c r="F129">
        <v>17.95077975290145</v>
      </c>
    </row>
    <row r="130" spans="1:6" x14ac:dyDescent="0.25">
      <c r="A130">
        <v>43798</v>
      </c>
      <c r="B130">
        <v>2019</v>
      </c>
      <c r="C130">
        <v>12.635354324488663</v>
      </c>
      <c r="D130">
        <v>11.039126825188614</v>
      </c>
      <c r="E130">
        <v>5.2570577394460631</v>
      </c>
      <c r="F130">
        <v>17.95077975290145</v>
      </c>
    </row>
    <row r="131" spans="1:6" x14ac:dyDescent="0.25">
      <c r="A131">
        <v>43791</v>
      </c>
      <c r="B131">
        <v>2019</v>
      </c>
      <c r="C131">
        <v>12.192128187903792</v>
      </c>
      <c r="D131">
        <v>11.039126825188614</v>
      </c>
      <c r="E131">
        <v>5.2570577394460631</v>
      </c>
      <c r="F131">
        <v>17.95077975290145</v>
      </c>
    </row>
    <row r="132" spans="1:6" x14ac:dyDescent="0.25">
      <c r="A132">
        <v>43784</v>
      </c>
      <c r="B132">
        <v>2019</v>
      </c>
      <c r="C132">
        <v>12.376237506177509</v>
      </c>
      <c r="D132">
        <v>11.039126825188614</v>
      </c>
      <c r="E132">
        <v>5.2570577394460631</v>
      </c>
      <c r="F132">
        <v>17.95077975290145</v>
      </c>
    </row>
    <row r="133" spans="1:6" x14ac:dyDescent="0.25">
      <c r="A133">
        <v>43777</v>
      </c>
      <c r="B133">
        <v>2019</v>
      </c>
      <c r="C133">
        <v>12.512614778972853</v>
      </c>
      <c r="D133">
        <v>11.039126825188614</v>
      </c>
      <c r="E133">
        <v>5.2570577394460631</v>
      </c>
      <c r="F133">
        <v>17.95077975290145</v>
      </c>
    </row>
    <row r="134" spans="1:6" x14ac:dyDescent="0.25">
      <c r="A134">
        <v>43770</v>
      </c>
      <c r="B134">
        <v>2019</v>
      </c>
      <c r="C134">
        <v>12.59444114265006</v>
      </c>
      <c r="D134">
        <v>11.039126825188614</v>
      </c>
      <c r="E134">
        <v>5.2570577394460631</v>
      </c>
      <c r="F134">
        <v>17.95077975290145</v>
      </c>
    </row>
    <row r="135" spans="1:6" x14ac:dyDescent="0.25">
      <c r="A135">
        <v>43763</v>
      </c>
      <c r="B135">
        <v>2019</v>
      </c>
      <c r="C135">
        <v>12.928565460998652</v>
      </c>
      <c r="D135">
        <v>11.039126825188614</v>
      </c>
      <c r="E135">
        <v>5.2570577394460631</v>
      </c>
      <c r="F135">
        <v>17.95077975290145</v>
      </c>
    </row>
    <row r="136" spans="1:6" x14ac:dyDescent="0.25">
      <c r="A136">
        <v>43756</v>
      </c>
      <c r="B136">
        <v>2019</v>
      </c>
      <c r="C136">
        <v>12.689905233606801</v>
      </c>
      <c r="D136">
        <v>11.039126825188614</v>
      </c>
      <c r="E136">
        <v>5.2570577394460631</v>
      </c>
      <c r="F136">
        <v>17.95077975290145</v>
      </c>
    </row>
    <row r="137" spans="1:6" x14ac:dyDescent="0.25">
      <c r="A137">
        <v>43749</v>
      </c>
      <c r="B137">
        <v>2019</v>
      </c>
      <c r="C137">
        <v>12.683086369967034</v>
      </c>
      <c r="D137">
        <v>11.039126825188614</v>
      </c>
      <c r="E137">
        <v>5.2570577394460631</v>
      </c>
      <c r="F137">
        <v>17.95077975290145</v>
      </c>
    </row>
    <row r="138" spans="1:6" x14ac:dyDescent="0.25">
      <c r="A138">
        <v>43742</v>
      </c>
      <c r="B138">
        <v>2019</v>
      </c>
      <c r="C138">
        <v>12.539890233531919</v>
      </c>
      <c r="D138">
        <v>11.039126825188614</v>
      </c>
      <c r="E138">
        <v>5.2570577394460631</v>
      </c>
      <c r="F138">
        <v>17.95077975290145</v>
      </c>
    </row>
    <row r="139" spans="1:6" x14ac:dyDescent="0.25">
      <c r="A139">
        <v>43735</v>
      </c>
      <c r="B139">
        <v>2019</v>
      </c>
      <c r="C139">
        <v>13.030848415595161</v>
      </c>
      <c r="D139">
        <v>11.039126825188614</v>
      </c>
      <c r="E139">
        <v>5.2570577394460631</v>
      </c>
      <c r="F139">
        <v>17.95077975290145</v>
      </c>
    </row>
    <row r="140" spans="1:6" x14ac:dyDescent="0.25">
      <c r="A140">
        <v>43728</v>
      </c>
      <c r="B140">
        <v>2019</v>
      </c>
      <c r="C140">
        <v>13.235414324788181</v>
      </c>
      <c r="D140">
        <v>11.039126825188614</v>
      </c>
      <c r="E140">
        <v>5.2570577394460631</v>
      </c>
      <c r="F140">
        <v>17.95077975290145</v>
      </c>
    </row>
    <row r="141" spans="1:6" x14ac:dyDescent="0.25">
      <c r="A141">
        <v>43721</v>
      </c>
      <c r="B141">
        <v>2019</v>
      </c>
      <c r="C141">
        <v>12.498977051693318</v>
      </c>
      <c r="D141">
        <v>11.039126825188614</v>
      </c>
      <c r="E141">
        <v>5.2570577394460631</v>
      </c>
      <c r="F141">
        <v>17.95077975290145</v>
      </c>
    </row>
    <row r="142" spans="1:6" x14ac:dyDescent="0.25">
      <c r="A142">
        <v>43714</v>
      </c>
      <c r="B142">
        <v>2019</v>
      </c>
      <c r="C142">
        <v>12.376237506177509</v>
      </c>
      <c r="D142">
        <v>11.039126825188614</v>
      </c>
      <c r="E142">
        <v>5.2570577394460631</v>
      </c>
      <c r="F142">
        <v>17.95077975290145</v>
      </c>
    </row>
    <row r="143" spans="1:6" x14ac:dyDescent="0.25">
      <c r="A143">
        <v>43707</v>
      </c>
      <c r="B143">
        <v>2019</v>
      </c>
      <c r="C143">
        <v>12.314867733419604</v>
      </c>
      <c r="D143">
        <v>11.039126825188614</v>
      </c>
      <c r="E143">
        <v>5.2570577394460631</v>
      </c>
      <c r="F143">
        <v>17.95077975290145</v>
      </c>
    </row>
    <row r="144" spans="1:6" x14ac:dyDescent="0.25">
      <c r="A144">
        <v>43700</v>
      </c>
      <c r="B144">
        <v>2019</v>
      </c>
      <c r="C144">
        <v>12.34896205161844</v>
      </c>
      <c r="D144">
        <v>11.039126825188614</v>
      </c>
      <c r="E144">
        <v>5.2570577394460631</v>
      </c>
      <c r="F144">
        <v>17.95077975290145</v>
      </c>
    </row>
    <row r="145" spans="1:6" x14ac:dyDescent="0.25">
      <c r="A145">
        <v>43693</v>
      </c>
      <c r="B145">
        <v>2019</v>
      </c>
      <c r="C145">
        <v>12.192128187903792</v>
      </c>
      <c r="D145">
        <v>11.039126825188614</v>
      </c>
      <c r="E145">
        <v>5.2570577394460631</v>
      </c>
      <c r="F145">
        <v>17.95077975290145</v>
      </c>
    </row>
    <row r="146" spans="1:6" x14ac:dyDescent="0.25">
      <c r="A146">
        <v>43686</v>
      </c>
      <c r="B146">
        <v>2019</v>
      </c>
      <c r="C146">
        <v>12.096664096947054</v>
      </c>
      <c r="D146">
        <v>11.039126825188614</v>
      </c>
      <c r="E146">
        <v>5.2570577394460631</v>
      </c>
      <c r="F146">
        <v>17.95077975290145</v>
      </c>
    </row>
    <row r="147" spans="1:6" x14ac:dyDescent="0.25">
      <c r="A147">
        <v>43679</v>
      </c>
      <c r="B147">
        <v>2019</v>
      </c>
      <c r="C147">
        <v>12.98993523375656</v>
      </c>
      <c r="D147">
        <v>11.039126825188614</v>
      </c>
      <c r="E147">
        <v>5.2570577394460631</v>
      </c>
      <c r="F147">
        <v>17.95077975290145</v>
      </c>
    </row>
    <row r="148" spans="1:6" x14ac:dyDescent="0.25">
      <c r="A148">
        <v>43672</v>
      </c>
      <c r="B148">
        <v>2019</v>
      </c>
      <c r="C148">
        <v>12.983116370116791</v>
      </c>
      <c r="D148">
        <v>11.039126825188614</v>
      </c>
      <c r="E148">
        <v>5.2570577394460631</v>
      </c>
      <c r="F148">
        <v>17.95077975290145</v>
      </c>
    </row>
    <row r="149" spans="1:6" x14ac:dyDescent="0.25">
      <c r="A149">
        <v>43665</v>
      </c>
      <c r="B149">
        <v>2019</v>
      </c>
      <c r="C149">
        <v>12.976297506477025</v>
      </c>
      <c r="D149">
        <v>11.039126825188614</v>
      </c>
      <c r="E149">
        <v>5.2570577394460631</v>
      </c>
      <c r="F149">
        <v>17.95077975290145</v>
      </c>
    </row>
    <row r="150" spans="1:6" x14ac:dyDescent="0.25">
      <c r="A150">
        <v>43658</v>
      </c>
      <c r="B150">
        <v>2019</v>
      </c>
      <c r="C150">
        <v>13.289965233906317</v>
      </c>
      <c r="D150">
        <v>11.039126825188614</v>
      </c>
      <c r="E150">
        <v>5.2570577394460631</v>
      </c>
      <c r="F150">
        <v>17.95077975290145</v>
      </c>
    </row>
    <row r="151" spans="1:6" x14ac:dyDescent="0.25">
      <c r="A151">
        <v>43651</v>
      </c>
      <c r="B151">
        <v>2019</v>
      </c>
      <c r="C151">
        <v>12.83992023368168</v>
      </c>
      <c r="D151">
        <v>11.039126825188614</v>
      </c>
      <c r="E151">
        <v>5.2570577394460631</v>
      </c>
      <c r="F151">
        <v>17.95077975290145</v>
      </c>
    </row>
    <row r="152" spans="1:6" x14ac:dyDescent="0.25">
      <c r="A152">
        <v>43644</v>
      </c>
      <c r="B152">
        <v>2019</v>
      </c>
      <c r="C152">
        <v>12.93538432463842</v>
      </c>
      <c r="D152">
        <v>11.039126825188614</v>
      </c>
      <c r="E152">
        <v>5.2570577394460631</v>
      </c>
      <c r="F152">
        <v>17.95077975290145</v>
      </c>
    </row>
    <row r="153" spans="1:6" x14ac:dyDescent="0.25">
      <c r="A153">
        <v>43637</v>
      </c>
      <c r="B153">
        <v>2019</v>
      </c>
      <c r="C153">
        <v>12.410331824376348</v>
      </c>
      <c r="D153">
        <v>11.039126825188614</v>
      </c>
      <c r="E153">
        <v>5.2570577394460631</v>
      </c>
      <c r="F153">
        <v>17.95077975290145</v>
      </c>
    </row>
    <row r="154" spans="1:6" x14ac:dyDescent="0.25">
      <c r="A154">
        <v>43630</v>
      </c>
      <c r="B154">
        <v>2019</v>
      </c>
      <c r="C154">
        <v>12.123939551506121</v>
      </c>
      <c r="D154">
        <v>11.039126825188614</v>
      </c>
      <c r="E154">
        <v>5.2570577394460631</v>
      </c>
      <c r="F154">
        <v>17.95077975290145</v>
      </c>
    </row>
    <row r="155" spans="1:6" x14ac:dyDescent="0.25">
      <c r="A155">
        <v>43623</v>
      </c>
      <c r="B155">
        <v>2019</v>
      </c>
      <c r="C155">
        <v>12.083026369667518</v>
      </c>
      <c r="D155">
        <v>11.039126825188614</v>
      </c>
      <c r="E155">
        <v>5.2570577394460631</v>
      </c>
      <c r="F155">
        <v>17.95077975290145</v>
      </c>
    </row>
    <row r="156" spans="1:6" x14ac:dyDescent="0.25">
      <c r="A156">
        <v>43616</v>
      </c>
      <c r="B156">
        <v>2019</v>
      </c>
      <c r="C156">
        <v>12.928565460998652</v>
      </c>
      <c r="D156">
        <v>11.039126825188614</v>
      </c>
      <c r="E156">
        <v>5.2570577394460631</v>
      </c>
      <c r="F156">
        <v>17.95077975290145</v>
      </c>
    </row>
    <row r="157" spans="1:6" x14ac:dyDescent="0.25">
      <c r="A157">
        <v>43609</v>
      </c>
      <c r="B157">
        <v>2019</v>
      </c>
      <c r="C157">
        <v>13.487712279459565</v>
      </c>
      <c r="D157">
        <v>11.039126825188614</v>
      </c>
      <c r="E157">
        <v>5.2570577394460631</v>
      </c>
      <c r="F157">
        <v>17.95077975290145</v>
      </c>
    </row>
    <row r="158" spans="1:6" x14ac:dyDescent="0.25">
      <c r="A158">
        <v>43602</v>
      </c>
      <c r="B158">
        <v>2019</v>
      </c>
      <c r="C158">
        <v>13.787742279609322</v>
      </c>
      <c r="D158">
        <v>11.039126825188614</v>
      </c>
      <c r="E158">
        <v>5.2570577394460631</v>
      </c>
      <c r="F158">
        <v>17.95077975290145</v>
      </c>
    </row>
    <row r="159" spans="1:6" x14ac:dyDescent="0.25">
      <c r="A159">
        <v>43595</v>
      </c>
      <c r="B159">
        <v>2019</v>
      </c>
      <c r="C159">
        <v>13.514987734018638</v>
      </c>
      <c r="D159">
        <v>11.039126825188614</v>
      </c>
      <c r="E159">
        <v>5.2570577394460631</v>
      </c>
      <c r="F159">
        <v>17.95077975290145</v>
      </c>
    </row>
    <row r="160" spans="1:6" x14ac:dyDescent="0.25">
      <c r="A160">
        <v>43588</v>
      </c>
      <c r="B160">
        <v>2019</v>
      </c>
      <c r="C160">
        <v>13.528625461298169</v>
      </c>
      <c r="D160">
        <v>11.039126825188614</v>
      </c>
      <c r="E160">
        <v>5.2570577394460631</v>
      </c>
      <c r="F160">
        <v>17.95077975290145</v>
      </c>
    </row>
    <row r="161" spans="1:6" x14ac:dyDescent="0.25">
      <c r="A161">
        <v>43581</v>
      </c>
      <c r="B161">
        <v>2019</v>
      </c>
      <c r="C161">
        <v>13.705915915932117</v>
      </c>
      <c r="D161">
        <v>11.039126825188614</v>
      </c>
      <c r="E161">
        <v>5.2570577394460631</v>
      </c>
      <c r="F161">
        <v>17.95077975290145</v>
      </c>
    </row>
    <row r="162" spans="1:6" x14ac:dyDescent="0.25">
      <c r="A162">
        <v>43574</v>
      </c>
      <c r="B162">
        <v>2019</v>
      </c>
      <c r="C162">
        <v>13.514987734018638</v>
      </c>
      <c r="D162">
        <v>11.039126825188614</v>
      </c>
      <c r="E162">
        <v>5.2570577394460631</v>
      </c>
      <c r="F162">
        <v>17.95077975290145</v>
      </c>
    </row>
    <row r="163" spans="1:6" x14ac:dyDescent="0.25">
      <c r="A163">
        <v>43567</v>
      </c>
      <c r="B163">
        <v>2019</v>
      </c>
      <c r="C163">
        <v>13.508168870378867</v>
      </c>
      <c r="D163">
        <v>11.039126825188614</v>
      </c>
      <c r="E163">
        <v>5.2570577394460631</v>
      </c>
      <c r="F163">
        <v>17.95077975290145</v>
      </c>
    </row>
    <row r="164" spans="1:6" x14ac:dyDescent="0.25">
      <c r="A164">
        <v>43560</v>
      </c>
      <c r="B164">
        <v>2019</v>
      </c>
      <c r="C164">
        <v>13.201320006589343</v>
      </c>
      <c r="D164">
        <v>11.039126825188614</v>
      </c>
      <c r="E164">
        <v>5.2570577394460631</v>
      </c>
      <c r="F164">
        <v>17.95077975290145</v>
      </c>
    </row>
    <row r="165" spans="1:6" x14ac:dyDescent="0.25">
      <c r="A165">
        <v>43553</v>
      </c>
      <c r="B165">
        <v>2019</v>
      </c>
      <c r="C165">
        <v>12.976297506477025</v>
      </c>
      <c r="D165">
        <v>11.039126825188614</v>
      </c>
      <c r="E165">
        <v>5.2570577394460631</v>
      </c>
      <c r="F165">
        <v>17.95077975290145</v>
      </c>
    </row>
    <row r="166" spans="1:6" x14ac:dyDescent="0.25">
      <c r="A166">
        <v>43546</v>
      </c>
      <c r="B166">
        <v>2019</v>
      </c>
      <c r="C166">
        <v>12.955840915557724</v>
      </c>
      <c r="D166">
        <v>11.039126825188614</v>
      </c>
      <c r="E166">
        <v>5.2570577394460631</v>
      </c>
      <c r="F166">
        <v>17.95077975290145</v>
      </c>
    </row>
    <row r="167" spans="1:6" x14ac:dyDescent="0.25">
      <c r="A167">
        <v>43539</v>
      </c>
      <c r="B167">
        <v>2019</v>
      </c>
      <c r="C167">
        <v>12.908108870079353</v>
      </c>
      <c r="D167">
        <v>11.039126825188614</v>
      </c>
      <c r="E167">
        <v>5.2570577394460631</v>
      </c>
      <c r="F167">
        <v>17.95077975290145</v>
      </c>
    </row>
    <row r="168" spans="1:6" x14ac:dyDescent="0.25">
      <c r="A168">
        <v>43532</v>
      </c>
      <c r="B168">
        <v>2019</v>
      </c>
      <c r="C168">
        <v>12.996754097396325</v>
      </c>
      <c r="D168">
        <v>11.039126825188614</v>
      </c>
      <c r="E168">
        <v>5.2570577394460631</v>
      </c>
      <c r="F168">
        <v>17.95077975290145</v>
      </c>
    </row>
    <row r="169" spans="1:6" x14ac:dyDescent="0.25">
      <c r="A169">
        <v>43525</v>
      </c>
      <c r="B169">
        <v>2019</v>
      </c>
      <c r="C169">
        <v>13.18768227930981</v>
      </c>
      <c r="D169">
        <v>11.039126825188614</v>
      </c>
      <c r="E169">
        <v>5.2570577394460631</v>
      </c>
      <c r="F169">
        <v>17.95077975290145</v>
      </c>
    </row>
    <row r="170" spans="1:6" x14ac:dyDescent="0.25">
      <c r="A170">
        <v>43518</v>
      </c>
      <c r="B170">
        <v>2019</v>
      </c>
      <c r="C170">
        <v>13.487712279459565</v>
      </c>
      <c r="D170">
        <v>11.039126825188614</v>
      </c>
      <c r="E170">
        <v>5.2570577394460631</v>
      </c>
      <c r="F170">
        <v>17.95077975290145</v>
      </c>
    </row>
    <row r="171" spans="1:6" x14ac:dyDescent="0.25">
      <c r="A171">
        <v>43511</v>
      </c>
      <c r="B171">
        <v>2019</v>
      </c>
      <c r="C171">
        <v>12.928565460998652</v>
      </c>
      <c r="D171">
        <v>11.039126825188614</v>
      </c>
      <c r="E171">
        <v>5.2570577394460631</v>
      </c>
      <c r="F171">
        <v>17.95077975290145</v>
      </c>
    </row>
    <row r="172" spans="1:6" x14ac:dyDescent="0.25">
      <c r="A172">
        <v>43504</v>
      </c>
      <c r="B172">
        <v>2019</v>
      </c>
      <c r="C172">
        <v>12.689905233606801</v>
      </c>
      <c r="D172">
        <v>11.039126825188614</v>
      </c>
      <c r="E172">
        <v>5.2570577394460631</v>
      </c>
      <c r="F172">
        <v>17.95077975290145</v>
      </c>
    </row>
    <row r="173" spans="1:6" x14ac:dyDescent="0.25">
      <c r="A173">
        <v>43497</v>
      </c>
      <c r="B173">
        <v>2019</v>
      </c>
      <c r="C173">
        <v>12.560346824451225</v>
      </c>
      <c r="D173">
        <v>11.039126825188614</v>
      </c>
      <c r="E173">
        <v>5.2570577394460631</v>
      </c>
      <c r="F173">
        <v>17.95077975290145</v>
      </c>
    </row>
    <row r="174" spans="1:6" x14ac:dyDescent="0.25">
      <c r="A174">
        <v>43490</v>
      </c>
      <c r="B174">
        <v>2019</v>
      </c>
      <c r="C174">
        <v>12.42396955165588</v>
      </c>
      <c r="D174">
        <v>11.039126825188614</v>
      </c>
      <c r="E174">
        <v>5.2570577394460631</v>
      </c>
      <c r="F174">
        <v>17.95077975290145</v>
      </c>
    </row>
    <row r="175" spans="1:6" x14ac:dyDescent="0.25">
      <c r="A175">
        <v>43483</v>
      </c>
      <c r="B175">
        <v>2019</v>
      </c>
      <c r="C175">
        <v>12.355780915258208</v>
      </c>
      <c r="D175">
        <v>11.039126825188614</v>
      </c>
      <c r="E175">
        <v>5.2570577394460631</v>
      </c>
      <c r="F175">
        <v>17.95077975290145</v>
      </c>
    </row>
    <row r="176" spans="1:6" x14ac:dyDescent="0.25">
      <c r="A176">
        <v>43476</v>
      </c>
      <c r="B176">
        <v>2019</v>
      </c>
      <c r="C176">
        <v>12.22622250610263</v>
      </c>
      <c r="D176">
        <v>11.039126825188614</v>
      </c>
      <c r="E176">
        <v>5.2570577394460631</v>
      </c>
      <c r="F176">
        <v>17.95077975290145</v>
      </c>
    </row>
    <row r="177" spans="1:6" x14ac:dyDescent="0.25">
      <c r="A177">
        <v>43469</v>
      </c>
      <c r="B177">
        <v>2019</v>
      </c>
      <c r="C177">
        <v>11.053377960062667</v>
      </c>
      <c r="D177">
        <v>11.039126825188614</v>
      </c>
      <c r="E177">
        <v>5.2570577394460631</v>
      </c>
      <c r="F177">
        <v>17.95077975290145</v>
      </c>
    </row>
    <row r="178" spans="1:6" x14ac:dyDescent="0.25">
      <c r="A178">
        <v>43462</v>
      </c>
      <c r="B178">
        <v>2018</v>
      </c>
      <c r="C178">
        <v>10.518374438710843</v>
      </c>
      <c r="D178">
        <v>11.039126825188614</v>
      </c>
      <c r="E178">
        <v>5.2570577394460631</v>
      </c>
      <c r="F178">
        <v>17.95077975290145</v>
      </c>
    </row>
    <row r="179" spans="1:6" x14ac:dyDescent="0.25">
      <c r="A179">
        <v>43455</v>
      </c>
      <c r="B179">
        <v>2018</v>
      </c>
      <c r="C179">
        <v>10.897768541599667</v>
      </c>
      <c r="D179">
        <v>11.039126825188614</v>
      </c>
      <c r="E179">
        <v>5.2570577394460631</v>
      </c>
      <c r="F179">
        <v>17.95077975290145</v>
      </c>
    </row>
    <row r="180" spans="1:6" x14ac:dyDescent="0.25">
      <c r="A180">
        <v>43448</v>
      </c>
      <c r="B180">
        <v>2018</v>
      </c>
      <c r="C180">
        <v>11.453777140660877</v>
      </c>
      <c r="D180">
        <v>11.039126825188614</v>
      </c>
      <c r="E180">
        <v>5.2570577394460631</v>
      </c>
      <c r="F180">
        <v>17.95077975290145</v>
      </c>
    </row>
    <row r="181" spans="1:6" x14ac:dyDescent="0.25">
      <c r="A181">
        <v>43441</v>
      </c>
      <c r="B181">
        <v>2018</v>
      </c>
      <c r="C181">
        <v>11.67618058028536</v>
      </c>
      <c r="D181">
        <v>11.039126825188614</v>
      </c>
      <c r="E181">
        <v>5.2570577394460631</v>
      </c>
      <c r="F181">
        <v>17.95077975290145</v>
      </c>
    </row>
    <row r="182" spans="1:6" x14ac:dyDescent="0.25">
      <c r="A182">
        <v>43434</v>
      </c>
      <c r="B182">
        <v>2018</v>
      </c>
      <c r="C182">
        <v>11.479942251204934</v>
      </c>
      <c r="D182">
        <v>11.039126825188614</v>
      </c>
      <c r="E182">
        <v>5.2570577394460631</v>
      </c>
      <c r="F182">
        <v>17.95077975290145</v>
      </c>
    </row>
    <row r="183" spans="1:6" x14ac:dyDescent="0.25">
      <c r="A183">
        <v>43427</v>
      </c>
      <c r="B183">
        <v>2018</v>
      </c>
      <c r="C183">
        <v>12.356473454430837</v>
      </c>
      <c r="D183">
        <v>11.039126825188614</v>
      </c>
      <c r="E183">
        <v>5.2570577394460631</v>
      </c>
      <c r="F183">
        <v>17.95077975290145</v>
      </c>
    </row>
    <row r="184" spans="1:6" x14ac:dyDescent="0.25">
      <c r="A184">
        <v>43420</v>
      </c>
      <c r="B184">
        <v>2018</v>
      </c>
      <c r="C184">
        <v>12.912482053492043</v>
      </c>
      <c r="D184">
        <v>11.039126825188614</v>
      </c>
      <c r="E184">
        <v>5.2570577394460631</v>
      </c>
      <c r="F184">
        <v>17.95077975290145</v>
      </c>
    </row>
    <row r="185" spans="1:6" x14ac:dyDescent="0.25">
      <c r="A185">
        <v>43413</v>
      </c>
      <c r="B185">
        <v>2018</v>
      </c>
      <c r="C185">
        <v>13.723600480357806</v>
      </c>
      <c r="D185">
        <v>11.039126825188614</v>
      </c>
      <c r="E185">
        <v>5.2570577394460631</v>
      </c>
      <c r="F185">
        <v>17.95077975290145</v>
      </c>
    </row>
    <row r="186" spans="1:6" x14ac:dyDescent="0.25">
      <c r="A186">
        <v>43406</v>
      </c>
      <c r="B186">
        <v>2018</v>
      </c>
      <c r="C186">
        <v>14.024499251614461</v>
      </c>
      <c r="D186">
        <v>11.039126825188614</v>
      </c>
      <c r="E186">
        <v>5.2570577394460631</v>
      </c>
      <c r="F186">
        <v>17.95077975290145</v>
      </c>
    </row>
    <row r="187" spans="1:6" x14ac:dyDescent="0.25">
      <c r="A187">
        <v>43399</v>
      </c>
      <c r="B187">
        <v>2018</v>
      </c>
      <c r="C187">
        <v>14.364645688687199</v>
      </c>
      <c r="D187">
        <v>11.039126825188614</v>
      </c>
      <c r="E187">
        <v>5.2570577394460631</v>
      </c>
      <c r="F187">
        <v>17.95077975290145</v>
      </c>
    </row>
    <row r="188" spans="1:6" x14ac:dyDescent="0.25">
      <c r="A188">
        <v>43392</v>
      </c>
      <c r="B188">
        <v>2018</v>
      </c>
      <c r="C188">
        <v>14.61321423885574</v>
      </c>
      <c r="D188">
        <v>11.039126825188614</v>
      </c>
      <c r="E188">
        <v>5.2570577394460631</v>
      </c>
      <c r="F188">
        <v>17.95077975290145</v>
      </c>
    </row>
    <row r="189" spans="1:6" x14ac:dyDescent="0.25">
      <c r="A189">
        <v>43385</v>
      </c>
      <c r="B189">
        <v>2018</v>
      </c>
      <c r="C189">
        <v>14.972984508836518</v>
      </c>
      <c r="D189">
        <v>11.039126825188614</v>
      </c>
      <c r="E189">
        <v>5.2570577394460631</v>
      </c>
      <c r="F189">
        <v>17.95077975290145</v>
      </c>
    </row>
    <row r="190" spans="1:6" x14ac:dyDescent="0.25">
      <c r="A190">
        <v>43378</v>
      </c>
      <c r="B190">
        <v>2018</v>
      </c>
      <c r="C190">
        <v>15.17576411555296</v>
      </c>
      <c r="D190">
        <v>11.039126825188614</v>
      </c>
      <c r="E190">
        <v>5.2570577394460631</v>
      </c>
      <c r="F190">
        <v>17.95077975290145</v>
      </c>
    </row>
    <row r="191" spans="1:6" x14ac:dyDescent="0.25">
      <c r="A191">
        <v>43371</v>
      </c>
      <c r="B191">
        <v>2018</v>
      </c>
      <c r="C191">
        <v>14.619755516491752</v>
      </c>
      <c r="D191">
        <v>11.039126825188614</v>
      </c>
      <c r="E191">
        <v>5.2570577394460631</v>
      </c>
      <c r="F191">
        <v>17.95077975290145</v>
      </c>
    </row>
    <row r="192" spans="1:6" x14ac:dyDescent="0.25">
      <c r="A192">
        <v>43364</v>
      </c>
      <c r="B192">
        <v>2018</v>
      </c>
      <c r="C192">
        <v>14.0899120279746</v>
      </c>
      <c r="D192">
        <v>11.039126825188614</v>
      </c>
      <c r="E192">
        <v>5.2570577394460631</v>
      </c>
      <c r="F192">
        <v>17.95077975290145</v>
      </c>
    </row>
    <row r="193" spans="1:6" x14ac:dyDescent="0.25">
      <c r="A193">
        <v>43357</v>
      </c>
      <c r="B193">
        <v>2018</v>
      </c>
      <c r="C193">
        <v>14.292691634691041</v>
      </c>
      <c r="D193">
        <v>11.039126825188614</v>
      </c>
      <c r="E193">
        <v>5.2570577394460631</v>
      </c>
      <c r="F193">
        <v>17.95077975290145</v>
      </c>
    </row>
    <row r="194" spans="1:6" x14ac:dyDescent="0.25">
      <c r="A194">
        <v>43350</v>
      </c>
      <c r="B194">
        <v>2018</v>
      </c>
      <c r="C194">
        <v>14.279609079419012</v>
      </c>
      <c r="D194">
        <v>11.039126825188614</v>
      </c>
      <c r="E194">
        <v>5.2570577394460631</v>
      </c>
      <c r="F194">
        <v>17.95077975290145</v>
      </c>
    </row>
    <row r="195" spans="1:6" x14ac:dyDescent="0.25">
      <c r="A195">
        <v>43343</v>
      </c>
      <c r="B195">
        <v>2018</v>
      </c>
      <c r="C195">
        <v>14.358104411051183</v>
      </c>
      <c r="D195">
        <v>11.039126825188614</v>
      </c>
      <c r="E195">
        <v>5.2570577394460631</v>
      </c>
      <c r="F195">
        <v>17.95077975290145</v>
      </c>
    </row>
    <row r="196" spans="1:6" x14ac:dyDescent="0.25">
      <c r="A196">
        <v>43336</v>
      </c>
      <c r="B196">
        <v>2018</v>
      </c>
      <c r="C196">
        <v>13.860967310714106</v>
      </c>
      <c r="D196">
        <v>11.039126825188614</v>
      </c>
      <c r="E196">
        <v>5.2570577394460631</v>
      </c>
      <c r="F196">
        <v>17.95077975290145</v>
      </c>
    </row>
    <row r="197" spans="1:6" x14ac:dyDescent="0.25">
      <c r="A197">
        <v>43329</v>
      </c>
      <c r="B197">
        <v>2018</v>
      </c>
      <c r="C197">
        <v>13.579692372365495</v>
      </c>
      <c r="D197">
        <v>11.039126825188614</v>
      </c>
      <c r="E197">
        <v>5.2570577394460631</v>
      </c>
      <c r="F197">
        <v>17.95077975290145</v>
      </c>
    </row>
    <row r="198" spans="1:6" x14ac:dyDescent="0.25">
      <c r="A198">
        <v>43322</v>
      </c>
      <c r="B198">
        <v>2018</v>
      </c>
      <c r="C198">
        <v>13.710517925085776</v>
      </c>
      <c r="D198">
        <v>11.039126825188614</v>
      </c>
      <c r="E198">
        <v>5.2570577394460631</v>
      </c>
      <c r="F198">
        <v>17.95077975290145</v>
      </c>
    </row>
    <row r="199" spans="1:6" x14ac:dyDescent="0.25">
      <c r="A199">
        <v>43315</v>
      </c>
      <c r="B199">
        <v>2018</v>
      </c>
      <c r="C199">
        <v>13.762848146173894</v>
      </c>
      <c r="D199">
        <v>11.039126825188614</v>
      </c>
      <c r="E199">
        <v>5.2570577394460631</v>
      </c>
      <c r="F199">
        <v>17.95077975290145</v>
      </c>
    </row>
    <row r="200" spans="1:6" x14ac:dyDescent="0.25">
      <c r="A200">
        <v>43308</v>
      </c>
      <c r="B200">
        <v>2018</v>
      </c>
      <c r="C200">
        <v>13.802095811989973</v>
      </c>
      <c r="D200">
        <v>11.039126825188614</v>
      </c>
      <c r="E200">
        <v>5.2570577394460631</v>
      </c>
      <c r="F200">
        <v>17.95077975290145</v>
      </c>
    </row>
    <row r="201" spans="1:6" x14ac:dyDescent="0.25">
      <c r="A201">
        <v>43301</v>
      </c>
      <c r="B201">
        <v>2018</v>
      </c>
      <c r="C201">
        <v>13.357288932741008</v>
      </c>
      <c r="D201">
        <v>11.039126825188614</v>
      </c>
      <c r="E201">
        <v>5.2570577394460631</v>
      </c>
      <c r="F201">
        <v>17.95077975290145</v>
      </c>
    </row>
    <row r="202" spans="1:6" x14ac:dyDescent="0.25">
      <c r="A202">
        <v>43294</v>
      </c>
      <c r="B202">
        <v>2018</v>
      </c>
      <c r="C202">
        <v>13.85442603307809</v>
      </c>
      <c r="D202">
        <v>11.039126825188614</v>
      </c>
      <c r="E202">
        <v>5.2570577394460631</v>
      </c>
      <c r="F202">
        <v>17.95077975290145</v>
      </c>
    </row>
    <row r="203" spans="1:6" x14ac:dyDescent="0.25">
      <c r="A203">
        <v>43287</v>
      </c>
      <c r="B203">
        <v>2018</v>
      </c>
      <c r="C203">
        <v>13.815178367262007</v>
      </c>
      <c r="D203">
        <v>11.039126825188614</v>
      </c>
      <c r="E203">
        <v>5.2570577394460631</v>
      </c>
      <c r="F203">
        <v>17.95077975290145</v>
      </c>
    </row>
    <row r="204" spans="1:6" x14ac:dyDescent="0.25">
      <c r="A204">
        <v>43280</v>
      </c>
      <c r="B204">
        <v>2018</v>
      </c>
      <c r="C204">
        <v>13.736683035629834</v>
      </c>
      <c r="D204">
        <v>11.039126825188614</v>
      </c>
      <c r="E204">
        <v>5.2570577394460631</v>
      </c>
      <c r="F204">
        <v>17.95077975290145</v>
      </c>
    </row>
    <row r="205" spans="1:6" x14ac:dyDescent="0.25">
      <c r="A205">
        <v>43273</v>
      </c>
      <c r="B205">
        <v>2018</v>
      </c>
      <c r="C205">
        <v>13.403077876193111</v>
      </c>
      <c r="D205">
        <v>11.039126825188614</v>
      </c>
      <c r="E205">
        <v>5.2570577394460631</v>
      </c>
      <c r="F205">
        <v>17.95077975290145</v>
      </c>
    </row>
    <row r="206" spans="1:6" x14ac:dyDescent="0.25">
      <c r="A206">
        <v>43266</v>
      </c>
      <c r="B206">
        <v>2018</v>
      </c>
      <c r="C206">
        <v>13.717059202721792</v>
      </c>
      <c r="D206">
        <v>11.039126825188614</v>
      </c>
      <c r="E206">
        <v>5.2570577394460631</v>
      </c>
      <c r="F206">
        <v>17.95077975290145</v>
      </c>
    </row>
    <row r="207" spans="1:6" x14ac:dyDescent="0.25">
      <c r="A207">
        <v>43259</v>
      </c>
      <c r="B207">
        <v>2018</v>
      </c>
      <c r="C207">
        <v>13.769389423809903</v>
      </c>
      <c r="D207">
        <v>11.039126825188614</v>
      </c>
      <c r="E207">
        <v>5.2570577394460631</v>
      </c>
      <c r="F207">
        <v>17.95077975290145</v>
      </c>
    </row>
    <row r="208" spans="1:6" x14ac:dyDescent="0.25">
      <c r="A208">
        <v>43252</v>
      </c>
      <c r="B208">
        <v>2018</v>
      </c>
      <c r="C208">
        <v>13.985251585798375</v>
      </c>
      <c r="D208">
        <v>11.039126825188614</v>
      </c>
      <c r="E208">
        <v>5.2570577394460631</v>
      </c>
      <c r="F208">
        <v>17.95077975290145</v>
      </c>
    </row>
    <row r="209" spans="1:6" x14ac:dyDescent="0.25">
      <c r="A209">
        <v>43245</v>
      </c>
      <c r="B209">
        <v>2018</v>
      </c>
      <c r="C209">
        <v>14.338480578143143</v>
      </c>
      <c r="D209">
        <v>11.039126825188614</v>
      </c>
      <c r="E209">
        <v>5.2570577394460631</v>
      </c>
      <c r="F209">
        <v>17.95077975290145</v>
      </c>
    </row>
    <row r="210" spans="1:6" x14ac:dyDescent="0.25">
      <c r="A210">
        <v>43238</v>
      </c>
      <c r="B210">
        <v>2018</v>
      </c>
      <c r="C210">
        <v>14.403893354503285</v>
      </c>
      <c r="D210">
        <v>11.039126825188614</v>
      </c>
      <c r="E210">
        <v>5.2570577394460631</v>
      </c>
      <c r="F210">
        <v>17.95077975290145</v>
      </c>
    </row>
    <row r="211" spans="1:6" x14ac:dyDescent="0.25">
      <c r="A211">
        <v>43231</v>
      </c>
      <c r="B211">
        <v>2018</v>
      </c>
      <c r="C211">
        <v>14.050664362158518</v>
      </c>
      <c r="D211">
        <v>11.039126825188614</v>
      </c>
      <c r="E211">
        <v>5.2570577394460631</v>
      </c>
      <c r="F211">
        <v>17.95077975290145</v>
      </c>
    </row>
    <row r="212" spans="1:6" x14ac:dyDescent="0.25">
      <c r="A212">
        <v>43224</v>
      </c>
      <c r="B212">
        <v>2018</v>
      </c>
      <c r="C212">
        <v>13.579692372365495</v>
      </c>
      <c r="D212">
        <v>11.039126825188614</v>
      </c>
      <c r="E212">
        <v>5.2570577394460631</v>
      </c>
      <c r="F212">
        <v>17.95077975290145</v>
      </c>
    </row>
    <row r="213" spans="1:6" x14ac:dyDescent="0.25">
      <c r="A213">
        <v>43217</v>
      </c>
      <c r="B213">
        <v>2018</v>
      </c>
      <c r="C213">
        <v>13.560068539457452</v>
      </c>
      <c r="D213">
        <v>11.039126825188614</v>
      </c>
      <c r="E213">
        <v>5.2570577394460631</v>
      </c>
      <c r="F213">
        <v>17.95077975290145</v>
      </c>
    </row>
    <row r="214" spans="1:6" x14ac:dyDescent="0.25">
      <c r="A214">
        <v>43210</v>
      </c>
      <c r="B214">
        <v>2018</v>
      </c>
      <c r="C214">
        <v>13.311499989288912</v>
      </c>
      <c r="D214">
        <v>11.039126825188614</v>
      </c>
      <c r="E214">
        <v>5.2570577394460631</v>
      </c>
      <c r="F214">
        <v>17.95077975290145</v>
      </c>
    </row>
    <row r="215" spans="1:6" x14ac:dyDescent="0.25">
      <c r="A215">
        <v>43203</v>
      </c>
      <c r="B215">
        <v>2018</v>
      </c>
      <c r="C215">
        <v>13.193756991840656</v>
      </c>
      <c r="D215">
        <v>11.039126825188614</v>
      </c>
      <c r="E215">
        <v>5.2570577394460631</v>
      </c>
      <c r="F215">
        <v>17.95077975290145</v>
      </c>
    </row>
    <row r="216" spans="1:6" x14ac:dyDescent="0.25">
      <c r="A216">
        <v>43196</v>
      </c>
      <c r="B216">
        <v>2018</v>
      </c>
      <c r="C216">
        <v>12.552711783511263</v>
      </c>
      <c r="D216">
        <v>11.039126825188614</v>
      </c>
      <c r="E216">
        <v>5.2570577394460631</v>
      </c>
      <c r="F216">
        <v>17.95077975290145</v>
      </c>
    </row>
    <row r="217" spans="1:6" x14ac:dyDescent="0.25">
      <c r="A217">
        <v>43189</v>
      </c>
      <c r="B217">
        <v>2018</v>
      </c>
      <c r="C217">
        <v>12.748950112591691</v>
      </c>
      <c r="D217">
        <v>11.039126825188614</v>
      </c>
      <c r="E217">
        <v>5.2570577394460631</v>
      </c>
      <c r="F217">
        <v>17.95077975290145</v>
      </c>
    </row>
    <row r="218" spans="1:6" x14ac:dyDescent="0.25">
      <c r="A218">
        <v>43182</v>
      </c>
      <c r="B218">
        <v>2018</v>
      </c>
      <c r="C218">
        <v>12.356473454430837</v>
      </c>
      <c r="D218">
        <v>11.039126825188614</v>
      </c>
      <c r="E218">
        <v>5.2570577394460631</v>
      </c>
      <c r="F218">
        <v>17.95077975290145</v>
      </c>
    </row>
    <row r="219" spans="1:6" x14ac:dyDescent="0.25">
      <c r="A219">
        <v>43175</v>
      </c>
      <c r="B219">
        <v>2018</v>
      </c>
      <c r="C219">
        <v>11.767758467189559</v>
      </c>
      <c r="D219">
        <v>11.039126825188614</v>
      </c>
      <c r="E219">
        <v>5.2570577394460631</v>
      </c>
      <c r="F219">
        <v>17.95077975290145</v>
      </c>
    </row>
    <row r="220" spans="1:6" x14ac:dyDescent="0.25">
      <c r="A220">
        <v>43168</v>
      </c>
      <c r="B220">
        <v>2018</v>
      </c>
      <c r="C220">
        <v>11.839712521185715</v>
      </c>
      <c r="D220">
        <v>11.039126825188614</v>
      </c>
      <c r="E220">
        <v>5.2570577394460631</v>
      </c>
      <c r="F220">
        <v>17.95077975290145</v>
      </c>
    </row>
    <row r="221" spans="1:6" x14ac:dyDescent="0.25">
      <c r="A221">
        <v>43161</v>
      </c>
      <c r="B221">
        <v>2018</v>
      </c>
      <c r="C221">
        <v>12.173317680622439</v>
      </c>
      <c r="D221">
        <v>11.039126825188614</v>
      </c>
      <c r="E221">
        <v>5.2570577394460631</v>
      </c>
      <c r="F221">
        <v>17.95077975290145</v>
      </c>
    </row>
    <row r="222" spans="1:6" x14ac:dyDescent="0.25">
      <c r="A222">
        <v>43154</v>
      </c>
      <c r="B222">
        <v>2018</v>
      </c>
      <c r="C222">
        <v>12.114446181898311</v>
      </c>
      <c r="D222">
        <v>11.039126825188614</v>
      </c>
      <c r="E222">
        <v>5.2570577394460631</v>
      </c>
      <c r="F222">
        <v>17.95077975290145</v>
      </c>
    </row>
    <row r="223" spans="1:6" x14ac:dyDescent="0.25">
      <c r="A223">
        <v>43147</v>
      </c>
      <c r="B223">
        <v>2018</v>
      </c>
      <c r="C223">
        <v>11.650015469741302</v>
      </c>
      <c r="D223">
        <v>11.039126825188614</v>
      </c>
      <c r="E223">
        <v>5.2570577394460631</v>
      </c>
      <c r="F223">
        <v>17.95077975290145</v>
      </c>
    </row>
    <row r="224" spans="1:6" x14ac:dyDescent="0.25">
      <c r="A224">
        <v>43140</v>
      </c>
      <c r="B224">
        <v>2018</v>
      </c>
      <c r="C224">
        <v>12.062115960810198</v>
      </c>
      <c r="D224">
        <v>11.039126825188614</v>
      </c>
      <c r="E224">
        <v>5.2570577394460631</v>
      </c>
      <c r="F224">
        <v>17.95077975290145</v>
      </c>
    </row>
    <row r="225" spans="1:6" x14ac:dyDescent="0.25">
      <c r="A225">
        <v>43133</v>
      </c>
      <c r="B225">
        <v>2018</v>
      </c>
      <c r="C225">
        <v>12.905940775856031</v>
      </c>
      <c r="D225">
        <v>11.039126825188614</v>
      </c>
      <c r="E225">
        <v>5.2570577394460631</v>
      </c>
      <c r="F225">
        <v>17.95077975290145</v>
      </c>
    </row>
    <row r="226" spans="1:6" x14ac:dyDescent="0.25">
      <c r="A226">
        <v>43126</v>
      </c>
      <c r="B226">
        <v>2018</v>
      </c>
      <c r="C226">
        <v>13.049848883848345</v>
      </c>
      <c r="D226">
        <v>11.039126825188614</v>
      </c>
      <c r="E226">
        <v>5.2570577394460631</v>
      </c>
      <c r="F226">
        <v>17.95077975290145</v>
      </c>
    </row>
    <row r="227" spans="1:6" x14ac:dyDescent="0.25">
      <c r="A227">
        <v>43119</v>
      </c>
      <c r="B227">
        <v>2018</v>
      </c>
      <c r="C227">
        <v>12.611583282235392</v>
      </c>
      <c r="D227">
        <v>11.039126825188614</v>
      </c>
      <c r="E227">
        <v>5.2570577394460631</v>
      </c>
      <c r="F227">
        <v>17.95077975290145</v>
      </c>
    </row>
    <row r="228" spans="1:6" x14ac:dyDescent="0.25">
      <c r="A228">
        <v>43112</v>
      </c>
      <c r="B228">
        <v>2018</v>
      </c>
      <c r="C228">
        <v>12.729326279683647</v>
      </c>
      <c r="D228">
        <v>11.039126825188614</v>
      </c>
      <c r="E228">
        <v>5.2570577394460631</v>
      </c>
      <c r="F228">
        <v>17.95077975290145</v>
      </c>
    </row>
    <row r="229" spans="1:6" x14ac:dyDescent="0.25">
      <c r="A229">
        <v>43105</v>
      </c>
      <c r="B229">
        <v>2018</v>
      </c>
      <c r="C229">
        <v>12.57887689405532</v>
      </c>
      <c r="D229">
        <v>11.039126825188614</v>
      </c>
      <c r="E229">
        <v>5.2570577394460631</v>
      </c>
      <c r="F229">
        <v>17.95077975290145</v>
      </c>
    </row>
    <row r="230" spans="1:6" x14ac:dyDescent="0.25">
      <c r="A230">
        <v>43098</v>
      </c>
      <c r="B230">
        <v>2017</v>
      </c>
      <c r="C230">
        <v>13.157126608666362</v>
      </c>
      <c r="D230">
        <v>11.039126825188614</v>
      </c>
      <c r="E230">
        <v>5.2570577394460631</v>
      </c>
      <c r="F230">
        <v>17.95077975290145</v>
      </c>
    </row>
    <row r="231" spans="1:6" x14ac:dyDescent="0.25">
      <c r="A231">
        <v>43091</v>
      </c>
      <c r="B231">
        <v>2017</v>
      </c>
      <c r="C231">
        <v>12.628336750253542</v>
      </c>
      <c r="D231">
        <v>11.039126825188614</v>
      </c>
      <c r="E231">
        <v>5.2570577394460631</v>
      </c>
      <c r="F231">
        <v>17.95077975290145</v>
      </c>
    </row>
    <row r="232" spans="1:6" x14ac:dyDescent="0.25">
      <c r="A232">
        <v>43084</v>
      </c>
      <c r="B232">
        <v>2017</v>
      </c>
      <c r="C232">
        <v>12.530928092124865</v>
      </c>
      <c r="D232">
        <v>11.039126825188614</v>
      </c>
      <c r="E232">
        <v>5.2570577394460631</v>
      </c>
      <c r="F232">
        <v>17.95077975290145</v>
      </c>
    </row>
    <row r="233" spans="1:6" x14ac:dyDescent="0.25">
      <c r="A233">
        <v>43077</v>
      </c>
      <c r="B233">
        <v>2017</v>
      </c>
      <c r="C233">
        <v>12.301321969392983</v>
      </c>
      <c r="D233">
        <v>11.039126825188614</v>
      </c>
      <c r="E233">
        <v>5.2570577394460631</v>
      </c>
      <c r="F233">
        <v>17.95077975290145</v>
      </c>
    </row>
    <row r="234" spans="1:6" x14ac:dyDescent="0.25">
      <c r="A234">
        <v>43070</v>
      </c>
      <c r="B234">
        <v>2017</v>
      </c>
      <c r="C234">
        <v>12.39873062752166</v>
      </c>
      <c r="D234">
        <v>11.039126825188614</v>
      </c>
      <c r="E234">
        <v>5.2570577394460631</v>
      </c>
      <c r="F234">
        <v>17.95077975290145</v>
      </c>
    </row>
    <row r="235" spans="1:6" x14ac:dyDescent="0.25">
      <c r="A235">
        <v>43063</v>
      </c>
      <c r="B235">
        <v>2017</v>
      </c>
      <c r="C235">
        <v>12.350026298457319</v>
      </c>
      <c r="D235">
        <v>11.039126825188614</v>
      </c>
      <c r="E235">
        <v>5.2570577394460631</v>
      </c>
      <c r="F235">
        <v>17.95077975290145</v>
      </c>
    </row>
    <row r="236" spans="1:6" x14ac:dyDescent="0.25">
      <c r="A236">
        <v>43056</v>
      </c>
      <c r="B236">
        <v>2017</v>
      </c>
      <c r="C236">
        <v>12.134335698315249</v>
      </c>
      <c r="D236">
        <v>11.039126825188614</v>
      </c>
      <c r="E236">
        <v>5.2570577394460631</v>
      </c>
      <c r="F236">
        <v>17.95077975290145</v>
      </c>
    </row>
    <row r="237" spans="1:6" x14ac:dyDescent="0.25">
      <c r="A237">
        <v>43049</v>
      </c>
      <c r="B237">
        <v>2017</v>
      </c>
      <c r="C237">
        <v>12.377857343636943</v>
      </c>
      <c r="D237">
        <v>11.039126825188614</v>
      </c>
      <c r="E237">
        <v>5.2570577394460631</v>
      </c>
      <c r="F237">
        <v>17.95077975290145</v>
      </c>
    </row>
    <row r="238" spans="1:6" x14ac:dyDescent="0.25">
      <c r="A238">
        <v>43042</v>
      </c>
      <c r="B238">
        <v>2017</v>
      </c>
      <c r="C238">
        <v>11.869940769108839</v>
      </c>
      <c r="D238">
        <v>11.039126825188614</v>
      </c>
      <c r="E238">
        <v>5.2570577394460631</v>
      </c>
      <c r="F238">
        <v>17.95077975290145</v>
      </c>
    </row>
    <row r="239" spans="1:6" x14ac:dyDescent="0.25">
      <c r="A239">
        <v>43035</v>
      </c>
      <c r="B239">
        <v>2017</v>
      </c>
      <c r="C239">
        <v>11.661207930261675</v>
      </c>
      <c r="D239">
        <v>11.039126825188614</v>
      </c>
      <c r="E239">
        <v>5.2570577394460631</v>
      </c>
      <c r="F239">
        <v>17.95077975290145</v>
      </c>
    </row>
    <row r="240" spans="1:6" x14ac:dyDescent="0.25">
      <c r="A240">
        <v>43028</v>
      </c>
      <c r="B240">
        <v>2017</v>
      </c>
      <c r="C240">
        <v>11.487263897889035</v>
      </c>
      <c r="D240">
        <v>11.039126825188614</v>
      </c>
      <c r="E240">
        <v>5.2570577394460631</v>
      </c>
      <c r="F240">
        <v>17.95077975290145</v>
      </c>
    </row>
    <row r="241" spans="1:6" x14ac:dyDescent="0.25">
      <c r="A241">
        <v>43021</v>
      </c>
      <c r="B241">
        <v>2017</v>
      </c>
      <c r="C241">
        <v>11.410728523645075</v>
      </c>
      <c r="D241">
        <v>11.039126825188614</v>
      </c>
      <c r="E241">
        <v>5.2570577394460631</v>
      </c>
      <c r="F241">
        <v>17.95077975290145</v>
      </c>
    </row>
    <row r="242" spans="1:6" x14ac:dyDescent="0.25">
      <c r="A242">
        <v>43014</v>
      </c>
      <c r="B242">
        <v>2017</v>
      </c>
      <c r="C242">
        <v>11.445517330119603</v>
      </c>
      <c r="D242">
        <v>11.039126825188614</v>
      </c>
      <c r="E242">
        <v>5.2570577394460631</v>
      </c>
      <c r="F242">
        <v>17.95077975290145</v>
      </c>
    </row>
    <row r="243" spans="1:6" x14ac:dyDescent="0.25">
      <c r="A243">
        <v>43007</v>
      </c>
      <c r="B243">
        <v>2017</v>
      </c>
      <c r="C243">
        <v>11.876898530403748</v>
      </c>
      <c r="D243">
        <v>11.039126825188614</v>
      </c>
      <c r="E243">
        <v>5.2570577394460631</v>
      </c>
      <c r="F243">
        <v>17.95077975290145</v>
      </c>
    </row>
    <row r="244" spans="1:6" x14ac:dyDescent="0.25">
      <c r="A244">
        <v>43000</v>
      </c>
      <c r="B244">
        <v>2017</v>
      </c>
      <c r="C244">
        <v>11.99518047241714</v>
      </c>
      <c r="D244">
        <v>11.039126825188614</v>
      </c>
      <c r="E244">
        <v>5.2570577394460631</v>
      </c>
      <c r="F244">
        <v>17.95077975290145</v>
      </c>
    </row>
    <row r="245" spans="1:6" x14ac:dyDescent="0.25">
      <c r="A245">
        <v>42993</v>
      </c>
      <c r="B245">
        <v>2017</v>
      </c>
      <c r="C245">
        <v>12.343068537162416</v>
      </c>
      <c r="D245">
        <v>11.039126825188614</v>
      </c>
      <c r="E245">
        <v>5.2570577394460631</v>
      </c>
      <c r="F245">
        <v>17.95077975290145</v>
      </c>
    </row>
    <row r="246" spans="1:6" x14ac:dyDescent="0.25">
      <c r="A246">
        <v>42986</v>
      </c>
      <c r="B246">
        <v>2017</v>
      </c>
      <c r="C246">
        <v>13.595465570245411</v>
      </c>
      <c r="D246">
        <v>11.039126825188614</v>
      </c>
      <c r="E246">
        <v>5.2570577394460631</v>
      </c>
      <c r="F246">
        <v>17.95077975290145</v>
      </c>
    </row>
    <row r="247" spans="1:6" x14ac:dyDescent="0.25">
      <c r="A247">
        <v>42979</v>
      </c>
      <c r="B247">
        <v>2017</v>
      </c>
      <c r="C247">
        <v>12.238702117738832</v>
      </c>
      <c r="D247">
        <v>11.039126825188614</v>
      </c>
      <c r="E247">
        <v>5.2570577394460631</v>
      </c>
      <c r="F247">
        <v>17.95077975290145</v>
      </c>
    </row>
    <row r="248" spans="1:6" x14ac:dyDescent="0.25">
      <c r="A248">
        <v>42972</v>
      </c>
      <c r="B248">
        <v>2017</v>
      </c>
      <c r="C248">
        <v>10.756698961923956</v>
      </c>
      <c r="D248">
        <v>11.039126825188614</v>
      </c>
      <c r="E248">
        <v>5.2570577394460631</v>
      </c>
      <c r="F248">
        <v>17.95077975290145</v>
      </c>
    </row>
    <row r="249" spans="1:6" x14ac:dyDescent="0.25">
      <c r="A249">
        <v>42965</v>
      </c>
      <c r="B249">
        <v>2017</v>
      </c>
      <c r="C249">
        <v>10.443599703653204</v>
      </c>
      <c r="D249">
        <v>11.039126825188614</v>
      </c>
      <c r="E249">
        <v>5.2570577394460631</v>
      </c>
      <c r="F249">
        <v>17.95077975290145</v>
      </c>
    </row>
    <row r="250" spans="1:6" x14ac:dyDescent="0.25">
      <c r="A250">
        <v>42958</v>
      </c>
      <c r="B250">
        <v>2017</v>
      </c>
      <c r="C250">
        <v>10.687121348974898</v>
      </c>
      <c r="D250">
        <v>11.039126825188614</v>
      </c>
      <c r="E250">
        <v>5.2570577394460631</v>
      </c>
      <c r="F250">
        <v>17.95077975290145</v>
      </c>
    </row>
    <row r="251" spans="1:6" x14ac:dyDescent="0.25">
      <c r="A251">
        <v>42951</v>
      </c>
      <c r="B251">
        <v>2017</v>
      </c>
      <c r="C251">
        <v>10.791487768398481</v>
      </c>
      <c r="D251">
        <v>11.039126825188614</v>
      </c>
      <c r="E251">
        <v>5.2570577394460631</v>
      </c>
      <c r="F251">
        <v>17.95077975290145</v>
      </c>
    </row>
    <row r="252" spans="1:6" x14ac:dyDescent="0.25">
      <c r="A252">
        <v>42944</v>
      </c>
      <c r="B252">
        <v>2017</v>
      </c>
      <c r="C252">
        <v>10.415768658473585</v>
      </c>
      <c r="D252">
        <v>11.039126825188614</v>
      </c>
      <c r="E252">
        <v>5.2570577394460631</v>
      </c>
      <c r="F252">
        <v>17.95077975290145</v>
      </c>
    </row>
    <row r="253" spans="1:6" x14ac:dyDescent="0.25">
      <c r="A253">
        <v>42937</v>
      </c>
      <c r="B253">
        <v>2017</v>
      </c>
      <c r="C253">
        <v>9.9148098452403843</v>
      </c>
      <c r="D253">
        <v>11.039126825188614</v>
      </c>
      <c r="E253">
        <v>5.2570577394460631</v>
      </c>
      <c r="F253">
        <v>17.95077975290145</v>
      </c>
    </row>
    <row r="254" spans="1:6" x14ac:dyDescent="0.25">
      <c r="A254">
        <v>42930</v>
      </c>
      <c r="B254">
        <v>2017</v>
      </c>
      <c r="C254">
        <v>9.4695131223664308</v>
      </c>
      <c r="D254">
        <v>11.039126825188614</v>
      </c>
      <c r="E254">
        <v>5.2570577394460631</v>
      </c>
      <c r="F254">
        <v>17.95077975290145</v>
      </c>
    </row>
    <row r="255" spans="1:6" x14ac:dyDescent="0.25">
      <c r="A255">
        <v>42923</v>
      </c>
      <c r="B255">
        <v>2017</v>
      </c>
      <c r="C255">
        <v>9.406893270712283</v>
      </c>
      <c r="D255">
        <v>11.039126825188614</v>
      </c>
      <c r="E255">
        <v>5.2570577394460631</v>
      </c>
      <c r="F255">
        <v>17.95077975290145</v>
      </c>
    </row>
    <row r="256" spans="1:6" x14ac:dyDescent="0.25">
      <c r="A256">
        <v>42916</v>
      </c>
      <c r="B256">
        <v>2017</v>
      </c>
      <c r="C256">
        <v>9.0937940124415295</v>
      </c>
      <c r="D256">
        <v>11.039126825188614</v>
      </c>
      <c r="E256">
        <v>5.2570577394460631</v>
      </c>
      <c r="F256">
        <v>17.95077975290145</v>
      </c>
    </row>
    <row r="257" spans="1:6" x14ac:dyDescent="0.25">
      <c r="A257">
        <v>42909</v>
      </c>
      <c r="B257">
        <v>2017</v>
      </c>
      <c r="C257">
        <v>8.7319904251064422</v>
      </c>
      <c r="D257">
        <v>11.039126825188614</v>
      </c>
      <c r="E257">
        <v>5.2570577394460631</v>
      </c>
      <c r="F257">
        <v>17.95077975290145</v>
      </c>
    </row>
    <row r="258" spans="1:6" x14ac:dyDescent="0.25">
      <c r="A258">
        <v>42902</v>
      </c>
      <c r="B258">
        <v>2017</v>
      </c>
      <c r="C258">
        <v>8.9755120704281364</v>
      </c>
      <c r="D258">
        <v>11.039126825188614</v>
      </c>
      <c r="E258">
        <v>5.2570577394460631</v>
      </c>
      <c r="F258">
        <v>17.95077975290145</v>
      </c>
    </row>
    <row r="259" spans="1:6" x14ac:dyDescent="0.25">
      <c r="A259">
        <v>42895</v>
      </c>
      <c r="B259">
        <v>2017</v>
      </c>
      <c r="C259">
        <v>9.0590052059670025</v>
      </c>
      <c r="D259">
        <v>11.039126825188614</v>
      </c>
      <c r="E259">
        <v>5.2570577394460631</v>
      </c>
      <c r="F259">
        <v>17.95077975290145</v>
      </c>
    </row>
    <row r="260" spans="1:6" x14ac:dyDescent="0.25">
      <c r="A260">
        <v>42888</v>
      </c>
      <c r="B260">
        <v>2017</v>
      </c>
      <c r="C260">
        <v>9.7686968580473668</v>
      </c>
      <c r="D260">
        <v>11.039126825188614</v>
      </c>
      <c r="E260">
        <v>5.2570577394460631</v>
      </c>
      <c r="F260">
        <v>17.95077975290145</v>
      </c>
    </row>
    <row r="261" spans="1:6" x14ac:dyDescent="0.25">
      <c r="A261">
        <v>42881</v>
      </c>
      <c r="B261">
        <v>2017</v>
      </c>
      <c r="C261">
        <v>10.283571193870378</v>
      </c>
      <c r="D261">
        <v>11.039126825188614</v>
      </c>
      <c r="E261">
        <v>5.2570577394460631</v>
      </c>
      <c r="F261">
        <v>17.95077975290145</v>
      </c>
    </row>
    <row r="262" spans="1:6" x14ac:dyDescent="0.25">
      <c r="A262">
        <v>42874</v>
      </c>
      <c r="B262">
        <v>2017</v>
      </c>
      <c r="C262">
        <v>9.9217676065352904</v>
      </c>
      <c r="D262">
        <v>11.039126825188614</v>
      </c>
      <c r="E262">
        <v>5.2570577394460631</v>
      </c>
      <c r="F262">
        <v>17.95077975290145</v>
      </c>
    </row>
    <row r="263" spans="1:6" x14ac:dyDescent="0.25">
      <c r="A263">
        <v>42867</v>
      </c>
      <c r="B263">
        <v>2017</v>
      </c>
      <c r="C263">
        <v>9.5251752127256744</v>
      </c>
      <c r="D263">
        <v>11.039126825188614</v>
      </c>
      <c r="E263">
        <v>5.2570577394460631</v>
      </c>
      <c r="F263">
        <v>17.95077975290145</v>
      </c>
    </row>
    <row r="264" spans="1:6" x14ac:dyDescent="0.25">
      <c r="A264">
        <v>42860</v>
      </c>
      <c r="B264">
        <v>2017</v>
      </c>
      <c r="C264">
        <v>9.4903864062511474</v>
      </c>
      <c r="D264">
        <v>11.039126825188614</v>
      </c>
      <c r="E264">
        <v>5.2570577394460631</v>
      </c>
      <c r="F264">
        <v>17.95077975290145</v>
      </c>
    </row>
    <row r="265" spans="1:6" x14ac:dyDescent="0.25">
      <c r="A265">
        <v>42853</v>
      </c>
      <c r="B265">
        <v>2017</v>
      </c>
      <c r="C265">
        <v>10.074838355023212</v>
      </c>
      <c r="D265">
        <v>11.039126825188614</v>
      </c>
      <c r="E265">
        <v>5.2570577394460631</v>
      </c>
      <c r="F265">
        <v>17.95077975290145</v>
      </c>
    </row>
    <row r="266" spans="1:6" x14ac:dyDescent="0.25">
      <c r="A266">
        <v>42846</v>
      </c>
      <c r="B266">
        <v>2017</v>
      </c>
      <c r="C266">
        <v>10.513177316602262</v>
      </c>
      <c r="D266">
        <v>11.039126825188614</v>
      </c>
      <c r="E266">
        <v>5.2570577394460631</v>
      </c>
      <c r="F266">
        <v>17.95077975290145</v>
      </c>
    </row>
    <row r="267" spans="1:6" x14ac:dyDescent="0.25">
      <c r="A267">
        <v>42839</v>
      </c>
      <c r="B267">
        <v>2017</v>
      </c>
      <c r="C267">
        <v>10.909769710411878</v>
      </c>
      <c r="D267">
        <v>11.039126825188614</v>
      </c>
      <c r="E267">
        <v>5.2570577394460631</v>
      </c>
      <c r="F267">
        <v>17.95077975290145</v>
      </c>
    </row>
    <row r="268" spans="1:6" x14ac:dyDescent="0.25">
      <c r="A268">
        <v>42832</v>
      </c>
      <c r="B268">
        <v>2017</v>
      </c>
      <c r="C268">
        <v>10.520135077897166</v>
      </c>
      <c r="D268">
        <v>11.039126825188614</v>
      </c>
      <c r="E268">
        <v>5.2570577394460631</v>
      </c>
      <c r="F268">
        <v>17.95077975290145</v>
      </c>
    </row>
    <row r="269" spans="1:6" x14ac:dyDescent="0.25">
      <c r="A269">
        <v>42825</v>
      </c>
      <c r="B269">
        <v>2017</v>
      </c>
      <c r="C269">
        <v>10.088753877613025</v>
      </c>
      <c r="D269">
        <v>11.039126825188614</v>
      </c>
      <c r="E269">
        <v>5.2570577394460631</v>
      </c>
      <c r="F269">
        <v>17.95077975290145</v>
      </c>
    </row>
    <row r="270" spans="1:6" x14ac:dyDescent="0.25">
      <c r="A270">
        <v>42818</v>
      </c>
      <c r="B270">
        <v>2017</v>
      </c>
      <c r="C270">
        <v>9.8034856645218973</v>
      </c>
      <c r="D270">
        <v>11.039126825188614</v>
      </c>
      <c r="E270">
        <v>5.2570577394460631</v>
      </c>
      <c r="F270">
        <v>17.95077975290145</v>
      </c>
    </row>
    <row r="271" spans="1:6" x14ac:dyDescent="0.25">
      <c r="A271">
        <v>42811</v>
      </c>
      <c r="B271">
        <v>2017</v>
      </c>
      <c r="C271">
        <v>9.747823574162652</v>
      </c>
      <c r="D271">
        <v>11.039126825188614</v>
      </c>
      <c r="E271">
        <v>5.2570577394460631</v>
      </c>
      <c r="F271">
        <v>17.95077975290145</v>
      </c>
    </row>
    <row r="272" spans="1:6" x14ac:dyDescent="0.25">
      <c r="A272">
        <v>42804</v>
      </c>
      <c r="B272">
        <v>2017</v>
      </c>
      <c r="C272">
        <v>10.332275522934717</v>
      </c>
      <c r="D272">
        <v>11.039126825188614</v>
      </c>
      <c r="E272">
        <v>5.2570577394460631</v>
      </c>
      <c r="F272">
        <v>17.95077975290145</v>
      </c>
    </row>
    <row r="273" spans="1:6" x14ac:dyDescent="0.25">
      <c r="A273">
        <v>42797</v>
      </c>
      <c r="B273">
        <v>2017</v>
      </c>
      <c r="C273">
        <v>10.624501497320749</v>
      </c>
      <c r="D273">
        <v>11.039126825188614</v>
      </c>
      <c r="E273">
        <v>5.2570577394460631</v>
      </c>
      <c r="F273">
        <v>17.95077975290145</v>
      </c>
    </row>
    <row r="274" spans="1:6" x14ac:dyDescent="0.25">
      <c r="A274">
        <v>42790</v>
      </c>
      <c r="B274">
        <v>2017</v>
      </c>
      <c r="C274">
        <v>10.895854187822067</v>
      </c>
      <c r="D274">
        <v>11.039126825188614</v>
      </c>
      <c r="E274">
        <v>5.2570577394460631</v>
      </c>
      <c r="F274">
        <v>17.95077975290145</v>
      </c>
    </row>
    <row r="275" spans="1:6" x14ac:dyDescent="0.25">
      <c r="A275">
        <v>42783</v>
      </c>
      <c r="B275">
        <v>2017</v>
      </c>
      <c r="C275">
        <v>10.798445529693387</v>
      </c>
      <c r="D275">
        <v>11.039126825188614</v>
      </c>
      <c r="E275">
        <v>5.2570577394460631</v>
      </c>
      <c r="F275">
        <v>17.95077975290145</v>
      </c>
    </row>
    <row r="276" spans="1:6" x14ac:dyDescent="0.25">
      <c r="A276">
        <v>42776</v>
      </c>
      <c r="B276">
        <v>2017</v>
      </c>
      <c r="C276">
        <v>10.638417019910557</v>
      </c>
      <c r="D276">
        <v>11.039126825188614</v>
      </c>
      <c r="E276">
        <v>5.2570577394460631</v>
      </c>
      <c r="F276">
        <v>17.95077975290145</v>
      </c>
    </row>
    <row r="277" spans="1:6" x14ac:dyDescent="0.25">
      <c r="A277">
        <v>42769</v>
      </c>
      <c r="B277">
        <v>2017</v>
      </c>
      <c r="C277">
        <v>10.561881645666599</v>
      </c>
      <c r="D277">
        <v>11.039126825188614</v>
      </c>
      <c r="E277">
        <v>5.2570577394460631</v>
      </c>
      <c r="F277">
        <v>17.95077975290145</v>
      </c>
    </row>
    <row r="278" spans="1:6" x14ac:dyDescent="0.25">
      <c r="A278">
        <v>42762</v>
      </c>
      <c r="B278">
        <v>2017</v>
      </c>
      <c r="C278">
        <v>10.527092839192072</v>
      </c>
      <c r="D278">
        <v>11.039126825188614</v>
      </c>
      <c r="E278">
        <v>5.2570577394460631</v>
      </c>
      <c r="F278">
        <v>17.95077975290145</v>
      </c>
    </row>
    <row r="279" spans="1:6" x14ac:dyDescent="0.25">
      <c r="A279">
        <v>42755</v>
      </c>
      <c r="B279">
        <v>2017</v>
      </c>
      <c r="C279">
        <v>10.471430748832827</v>
      </c>
      <c r="D279">
        <v>11.039126825188614</v>
      </c>
      <c r="E279">
        <v>5.2570577394460631</v>
      </c>
      <c r="F279">
        <v>17.95077975290145</v>
      </c>
    </row>
    <row r="280" spans="1:6" x14ac:dyDescent="0.25">
      <c r="A280">
        <v>42748</v>
      </c>
      <c r="B280">
        <v>2017</v>
      </c>
      <c r="C280">
        <v>10.478388510127735</v>
      </c>
      <c r="D280">
        <v>11.039126825188614</v>
      </c>
      <c r="E280">
        <v>5.2570577394460631</v>
      </c>
      <c r="F280">
        <v>17.95077975290145</v>
      </c>
    </row>
    <row r="281" spans="1:6" x14ac:dyDescent="0.25">
      <c r="A281">
        <v>42741</v>
      </c>
      <c r="B281">
        <v>2017</v>
      </c>
      <c r="C281">
        <v>10.707994632859615</v>
      </c>
      <c r="D281">
        <v>11.039126825188614</v>
      </c>
      <c r="E281">
        <v>5.2570577394460631</v>
      </c>
      <c r="F281">
        <v>17.95077975290145</v>
      </c>
    </row>
    <row r="282" spans="1:6" x14ac:dyDescent="0.25">
      <c r="A282">
        <v>42734</v>
      </c>
      <c r="B282">
        <v>2016</v>
      </c>
      <c r="C282">
        <v>11.097334926057183</v>
      </c>
      <c r="D282">
        <v>11.039126825188614</v>
      </c>
      <c r="E282">
        <v>5.2570577394460631</v>
      </c>
      <c r="F282">
        <v>17.95077975290145</v>
      </c>
    </row>
    <row r="283" spans="1:6" x14ac:dyDescent="0.25">
      <c r="A283">
        <v>42727</v>
      </c>
      <c r="B283">
        <v>2016</v>
      </c>
      <c r="C283">
        <v>10.787272936570206</v>
      </c>
      <c r="D283">
        <v>11.039126825188614</v>
      </c>
      <c r="E283">
        <v>5.2570577394460631</v>
      </c>
      <c r="F283">
        <v>17.95077975290145</v>
      </c>
    </row>
    <row r="284" spans="1:6" x14ac:dyDescent="0.25">
      <c r="A284">
        <v>42720</v>
      </c>
      <c r="B284">
        <v>2016</v>
      </c>
      <c r="C284">
        <v>10.722376241096185</v>
      </c>
      <c r="D284">
        <v>11.039126825188614</v>
      </c>
      <c r="E284">
        <v>5.2570577394460631</v>
      </c>
      <c r="F284">
        <v>17.95077975290145</v>
      </c>
    </row>
    <row r="285" spans="1:6" x14ac:dyDescent="0.25">
      <c r="A285">
        <v>42713</v>
      </c>
      <c r="B285">
        <v>2016</v>
      </c>
      <c r="C285">
        <v>10.412314251609208</v>
      </c>
      <c r="D285">
        <v>11.039126825188614</v>
      </c>
      <c r="E285">
        <v>5.2570577394460631</v>
      </c>
      <c r="F285">
        <v>17.95077975290145</v>
      </c>
    </row>
    <row r="286" spans="1:6" x14ac:dyDescent="0.25">
      <c r="A286">
        <v>42706</v>
      </c>
      <c r="B286">
        <v>2016</v>
      </c>
      <c r="C286">
        <v>10.332996068252074</v>
      </c>
      <c r="D286">
        <v>11.039126825188614</v>
      </c>
      <c r="E286">
        <v>5.2570577394460631</v>
      </c>
      <c r="F286">
        <v>17.95077975290145</v>
      </c>
    </row>
    <row r="287" spans="1:6" x14ac:dyDescent="0.25">
      <c r="A287">
        <v>42699</v>
      </c>
      <c r="B287">
        <v>2016</v>
      </c>
      <c r="C287">
        <v>10.123884493946903</v>
      </c>
      <c r="D287">
        <v>11.039126825188614</v>
      </c>
      <c r="E287">
        <v>5.2570577394460631</v>
      </c>
      <c r="F287">
        <v>17.95077975290145</v>
      </c>
    </row>
    <row r="288" spans="1:6" x14ac:dyDescent="0.25">
      <c r="A288">
        <v>42692</v>
      </c>
      <c r="B288">
        <v>2016</v>
      </c>
      <c r="C288">
        <v>9.4821282831482741</v>
      </c>
      <c r="D288">
        <v>11.039126825188614</v>
      </c>
      <c r="E288">
        <v>5.2570577394460631</v>
      </c>
      <c r="F288">
        <v>17.95077975290145</v>
      </c>
    </row>
    <row r="289" spans="1:6" x14ac:dyDescent="0.25">
      <c r="A289">
        <v>42685</v>
      </c>
      <c r="B289">
        <v>2016</v>
      </c>
      <c r="C289">
        <v>9.5109712589145055</v>
      </c>
      <c r="D289">
        <v>11.039126825188614</v>
      </c>
      <c r="E289">
        <v>5.2570577394460631</v>
      </c>
      <c r="F289">
        <v>17.95077975290145</v>
      </c>
    </row>
    <row r="290" spans="1:6" x14ac:dyDescent="0.25">
      <c r="A290">
        <v>42678</v>
      </c>
      <c r="B290">
        <v>2016</v>
      </c>
      <c r="C290">
        <v>9.8642977120508313</v>
      </c>
      <c r="D290">
        <v>11.039126825188614</v>
      </c>
      <c r="E290">
        <v>5.2570577394460631</v>
      </c>
      <c r="F290">
        <v>17.95077975290145</v>
      </c>
    </row>
    <row r="291" spans="1:6" x14ac:dyDescent="0.25">
      <c r="A291">
        <v>42671</v>
      </c>
      <c r="B291">
        <v>2016</v>
      </c>
      <c r="C291">
        <v>10.455578715258556</v>
      </c>
      <c r="D291">
        <v>11.039126825188614</v>
      </c>
      <c r="E291">
        <v>5.2570577394460631</v>
      </c>
      <c r="F291">
        <v>17.95077975290145</v>
      </c>
    </row>
    <row r="292" spans="1:6" x14ac:dyDescent="0.25">
      <c r="A292">
        <v>42664</v>
      </c>
      <c r="B292">
        <v>2016</v>
      </c>
      <c r="C292">
        <v>10.52768615467413</v>
      </c>
      <c r="D292">
        <v>11.039126825188614</v>
      </c>
      <c r="E292">
        <v>5.2570577394460631</v>
      </c>
      <c r="F292">
        <v>17.95077975290145</v>
      </c>
    </row>
    <row r="293" spans="1:6" x14ac:dyDescent="0.25">
      <c r="A293">
        <v>42657</v>
      </c>
      <c r="B293">
        <v>2016</v>
      </c>
      <c r="C293">
        <v>10.570950618323476</v>
      </c>
      <c r="D293">
        <v>11.039126825188614</v>
      </c>
      <c r="E293">
        <v>5.2570577394460631</v>
      </c>
      <c r="F293">
        <v>17.95077975290145</v>
      </c>
    </row>
    <row r="294" spans="1:6" x14ac:dyDescent="0.25">
      <c r="A294">
        <v>42650</v>
      </c>
      <c r="B294">
        <v>2016</v>
      </c>
      <c r="C294">
        <v>10.549318386498806</v>
      </c>
      <c r="D294">
        <v>11.039126825188614</v>
      </c>
      <c r="E294">
        <v>5.2570577394460631</v>
      </c>
      <c r="F294">
        <v>17.95077975290145</v>
      </c>
    </row>
    <row r="295" spans="1:6" x14ac:dyDescent="0.25">
      <c r="A295">
        <v>42643</v>
      </c>
      <c r="B295">
        <v>2016</v>
      </c>
      <c r="C295">
        <v>9.8138225044599281</v>
      </c>
      <c r="D295">
        <v>11.039126825188614</v>
      </c>
      <c r="E295">
        <v>5.2570577394460631</v>
      </c>
      <c r="F295">
        <v>17.95077975290145</v>
      </c>
    </row>
    <row r="296" spans="1:6" x14ac:dyDescent="0.25">
      <c r="A296">
        <v>42636</v>
      </c>
      <c r="B296">
        <v>2016</v>
      </c>
      <c r="C296">
        <v>9.4100208437326991</v>
      </c>
      <c r="D296">
        <v>11.039126825188614</v>
      </c>
      <c r="E296">
        <v>5.2570577394460631</v>
      </c>
      <c r="F296">
        <v>17.95077975290145</v>
      </c>
    </row>
    <row r="297" spans="1:6" x14ac:dyDescent="0.25">
      <c r="A297">
        <v>42629</v>
      </c>
      <c r="B297">
        <v>2016</v>
      </c>
      <c r="C297">
        <v>9.424442331615813</v>
      </c>
      <c r="D297">
        <v>11.039126825188614</v>
      </c>
      <c r="E297">
        <v>5.2570577394460631</v>
      </c>
      <c r="F297">
        <v>17.95077975290145</v>
      </c>
    </row>
    <row r="298" spans="1:6" x14ac:dyDescent="0.25">
      <c r="A298">
        <v>42622</v>
      </c>
      <c r="B298">
        <v>2016</v>
      </c>
      <c r="C298">
        <v>9.5109712589145055</v>
      </c>
      <c r="D298">
        <v>11.039126825188614</v>
      </c>
      <c r="E298">
        <v>5.2570577394460631</v>
      </c>
      <c r="F298">
        <v>17.95077975290145</v>
      </c>
    </row>
    <row r="299" spans="1:6" x14ac:dyDescent="0.25">
      <c r="A299">
        <v>42615</v>
      </c>
      <c r="B299">
        <v>2016</v>
      </c>
      <c r="C299">
        <v>9.6119216740963136</v>
      </c>
      <c r="D299">
        <v>11.039126825188614</v>
      </c>
      <c r="E299">
        <v>5.2570577394460631</v>
      </c>
      <c r="F299">
        <v>17.95077975290145</v>
      </c>
    </row>
    <row r="300" spans="1:6" x14ac:dyDescent="0.25">
      <c r="A300">
        <v>42608</v>
      </c>
      <c r="B300">
        <v>2016</v>
      </c>
      <c r="C300">
        <v>10.04456631058977</v>
      </c>
      <c r="D300">
        <v>11.039126825188614</v>
      </c>
      <c r="E300">
        <v>5.2570577394460631</v>
      </c>
      <c r="F300">
        <v>17.95077975290145</v>
      </c>
    </row>
    <row r="301" spans="1:6" x14ac:dyDescent="0.25">
      <c r="A301">
        <v>42601</v>
      </c>
      <c r="B301">
        <v>2016</v>
      </c>
      <c r="C301">
        <v>9.7994010165768088</v>
      </c>
      <c r="D301">
        <v>11.039126825188614</v>
      </c>
      <c r="E301">
        <v>5.2570577394460631</v>
      </c>
      <c r="F301">
        <v>17.95077975290145</v>
      </c>
    </row>
    <row r="302" spans="1:6" x14ac:dyDescent="0.25">
      <c r="A302">
        <v>42594</v>
      </c>
      <c r="B302">
        <v>2016</v>
      </c>
      <c r="C302">
        <v>8.8403720723496484</v>
      </c>
      <c r="D302">
        <v>11.039126825188614</v>
      </c>
      <c r="E302">
        <v>5.2570577394460631</v>
      </c>
      <c r="F302">
        <v>17.95077975290145</v>
      </c>
    </row>
    <row r="303" spans="1:6" x14ac:dyDescent="0.25">
      <c r="A303">
        <v>42587</v>
      </c>
      <c r="B303">
        <v>2016</v>
      </c>
      <c r="C303">
        <v>8.3500414843237287</v>
      </c>
      <c r="D303">
        <v>11.039126825188614</v>
      </c>
      <c r="E303">
        <v>5.2570577394460631</v>
      </c>
      <c r="F303">
        <v>17.95077975290145</v>
      </c>
    </row>
    <row r="304" spans="1:6" x14ac:dyDescent="0.25">
      <c r="A304">
        <v>42580</v>
      </c>
      <c r="B304">
        <v>2016</v>
      </c>
      <c r="C304">
        <v>8.4149381797977476</v>
      </c>
      <c r="D304">
        <v>11.039126825188614</v>
      </c>
      <c r="E304">
        <v>5.2570577394460631</v>
      </c>
      <c r="F304">
        <v>17.95077975290145</v>
      </c>
    </row>
    <row r="305" spans="1:6" x14ac:dyDescent="0.25">
      <c r="A305">
        <v>42573</v>
      </c>
      <c r="B305">
        <v>2016</v>
      </c>
      <c r="C305">
        <v>9.0062191830054736</v>
      </c>
      <c r="D305">
        <v>11.039126825188614</v>
      </c>
      <c r="E305">
        <v>5.2570577394460631</v>
      </c>
      <c r="F305">
        <v>17.95077975290145</v>
      </c>
    </row>
    <row r="306" spans="1:6" x14ac:dyDescent="0.25">
      <c r="A306">
        <v>42566</v>
      </c>
      <c r="B306">
        <v>2016</v>
      </c>
      <c r="C306">
        <v>9.3234919164340102</v>
      </c>
      <c r="D306">
        <v>11.039126825188614</v>
      </c>
      <c r="E306">
        <v>5.2570577394460631</v>
      </c>
      <c r="F306">
        <v>17.95077975290145</v>
      </c>
    </row>
    <row r="307" spans="1:6" x14ac:dyDescent="0.25">
      <c r="A307">
        <v>42559</v>
      </c>
      <c r="B307">
        <v>2016</v>
      </c>
      <c r="C307">
        <v>9.7345043211027935</v>
      </c>
      <c r="D307">
        <v>11.039126825188614</v>
      </c>
      <c r="E307">
        <v>5.2570577394460631</v>
      </c>
      <c r="F307">
        <v>17.95077975290145</v>
      </c>
    </row>
    <row r="308" spans="1:6" x14ac:dyDescent="0.25">
      <c r="A308">
        <v>42552</v>
      </c>
      <c r="B308">
        <v>2016</v>
      </c>
      <c r="C308">
        <v>10.015723334823539</v>
      </c>
      <c r="D308">
        <v>11.039126825188614</v>
      </c>
      <c r="E308">
        <v>5.2570577394460631</v>
      </c>
      <c r="F308">
        <v>17.95077975290145</v>
      </c>
    </row>
    <row r="309" spans="1:6" x14ac:dyDescent="0.25">
      <c r="A309">
        <v>42545</v>
      </c>
      <c r="B309">
        <v>2016</v>
      </c>
      <c r="C309">
        <v>10.001301846940425</v>
      </c>
      <c r="D309">
        <v>11.039126825188614</v>
      </c>
      <c r="E309">
        <v>5.2570577394460631</v>
      </c>
      <c r="F309">
        <v>17.95077975290145</v>
      </c>
    </row>
    <row r="310" spans="1:6" x14ac:dyDescent="0.25">
      <c r="A310">
        <v>42538</v>
      </c>
      <c r="B310">
        <v>2016</v>
      </c>
      <c r="C310">
        <v>9.770558040810581</v>
      </c>
      <c r="D310">
        <v>11.039126825188614</v>
      </c>
      <c r="E310">
        <v>5.2570577394460631</v>
      </c>
      <c r="F310">
        <v>17.95077975290145</v>
      </c>
    </row>
    <row r="311" spans="1:6" x14ac:dyDescent="0.25">
      <c r="A311">
        <v>42531</v>
      </c>
      <c r="B311">
        <v>2016</v>
      </c>
      <c r="C311">
        <v>10.181570445479363</v>
      </c>
      <c r="D311">
        <v>11.039126825188614</v>
      </c>
      <c r="E311">
        <v>5.2570577394460631</v>
      </c>
      <c r="F311">
        <v>17.95077975290145</v>
      </c>
    </row>
    <row r="312" spans="1:6" x14ac:dyDescent="0.25">
      <c r="A312">
        <v>42524</v>
      </c>
      <c r="B312">
        <v>2016</v>
      </c>
      <c r="C312">
        <v>9.8715084559923874</v>
      </c>
      <c r="D312">
        <v>11.039126825188614</v>
      </c>
      <c r="E312">
        <v>5.2570577394460631</v>
      </c>
      <c r="F312">
        <v>17.95077975290145</v>
      </c>
    </row>
    <row r="313" spans="1:6" x14ac:dyDescent="0.25">
      <c r="A313">
        <v>42517</v>
      </c>
      <c r="B313">
        <v>2016</v>
      </c>
      <c r="C313">
        <v>9.8931406878170591</v>
      </c>
      <c r="D313">
        <v>11.039126825188614</v>
      </c>
      <c r="E313">
        <v>5.2570577394460631</v>
      </c>
      <c r="F313">
        <v>17.95077975290145</v>
      </c>
    </row>
    <row r="314" spans="1:6" x14ac:dyDescent="0.25">
      <c r="A314">
        <v>42510</v>
      </c>
      <c r="B314">
        <v>2016</v>
      </c>
      <c r="C314">
        <v>9.7777687847521388</v>
      </c>
      <c r="D314">
        <v>11.039126825188614</v>
      </c>
      <c r="E314">
        <v>5.2570577394460631</v>
      </c>
      <c r="F314">
        <v>17.95077975290145</v>
      </c>
    </row>
    <row r="315" spans="1:6" x14ac:dyDescent="0.25">
      <c r="A315">
        <v>42503</v>
      </c>
      <c r="B315">
        <v>2016</v>
      </c>
      <c r="C315">
        <v>8.9196902557067812</v>
      </c>
      <c r="D315">
        <v>11.039126825188614</v>
      </c>
      <c r="E315">
        <v>5.2570577394460631</v>
      </c>
      <c r="F315">
        <v>17.95077975290145</v>
      </c>
    </row>
    <row r="316" spans="1:6" x14ac:dyDescent="0.25">
      <c r="A316">
        <v>42496</v>
      </c>
      <c r="B316">
        <v>2016</v>
      </c>
      <c r="C316">
        <v>8.6817357056353774</v>
      </c>
      <c r="D316">
        <v>11.039126825188614</v>
      </c>
      <c r="E316">
        <v>5.2570577394460631</v>
      </c>
      <c r="F316">
        <v>17.95077975290145</v>
      </c>
    </row>
    <row r="317" spans="1:6" x14ac:dyDescent="0.25">
      <c r="A317">
        <v>42489</v>
      </c>
      <c r="B317">
        <v>2016</v>
      </c>
      <c r="C317">
        <v>9.2369629891353142</v>
      </c>
      <c r="D317">
        <v>11.039126825188614</v>
      </c>
      <c r="E317">
        <v>5.2570577394460631</v>
      </c>
      <c r="F317">
        <v>17.95077975290145</v>
      </c>
    </row>
    <row r="318" spans="1:6" x14ac:dyDescent="0.25">
      <c r="A318">
        <v>42482</v>
      </c>
      <c r="B318">
        <v>2016</v>
      </c>
      <c r="C318">
        <v>8.4365704116224194</v>
      </c>
      <c r="D318">
        <v>11.039126825188614</v>
      </c>
      <c r="E318">
        <v>5.2570577394460631</v>
      </c>
      <c r="F318">
        <v>17.95077975290145</v>
      </c>
    </row>
    <row r="319" spans="1:6" x14ac:dyDescent="0.25">
      <c r="A319">
        <v>42475</v>
      </c>
      <c r="B319">
        <v>2016</v>
      </c>
      <c r="C319">
        <v>8.2707233009665959</v>
      </c>
      <c r="D319">
        <v>11.039126825188614</v>
      </c>
      <c r="E319">
        <v>5.2570577394460631</v>
      </c>
      <c r="F319">
        <v>17.95077975290145</v>
      </c>
    </row>
    <row r="320" spans="1:6" x14ac:dyDescent="0.25">
      <c r="A320">
        <v>42468</v>
      </c>
      <c r="B320">
        <v>2016</v>
      </c>
      <c r="C320">
        <v>7.3477480764472194</v>
      </c>
      <c r="D320">
        <v>11.039126825188614</v>
      </c>
      <c r="E320">
        <v>5.2570577394460631</v>
      </c>
      <c r="F320">
        <v>17.95077975290145</v>
      </c>
    </row>
    <row r="321" spans="1:6" x14ac:dyDescent="0.25">
      <c r="A321">
        <v>42461</v>
      </c>
      <c r="B321">
        <v>2016</v>
      </c>
      <c r="C321">
        <v>7.4414877476874679</v>
      </c>
      <c r="D321">
        <v>11.039126825188614</v>
      </c>
      <c r="E321">
        <v>5.2570577394460631</v>
      </c>
      <c r="F321">
        <v>17.95077975290145</v>
      </c>
    </row>
    <row r="322" spans="1:6" x14ac:dyDescent="0.25">
      <c r="A322">
        <v>42454</v>
      </c>
      <c r="B322">
        <v>2016</v>
      </c>
      <c r="C322">
        <v>7.8813431281224835</v>
      </c>
      <c r="D322">
        <v>11.039126825188614</v>
      </c>
      <c r="E322">
        <v>5.2570577394460631</v>
      </c>
      <c r="F322">
        <v>17.95077975290145</v>
      </c>
    </row>
    <row r="323" spans="1:6" x14ac:dyDescent="0.25">
      <c r="A323">
        <v>42447</v>
      </c>
      <c r="B323">
        <v>2016</v>
      </c>
      <c r="C323">
        <v>7.8813431281224835</v>
      </c>
      <c r="D323">
        <v>11.039126825188614</v>
      </c>
      <c r="E323">
        <v>5.2570577394460631</v>
      </c>
      <c r="F323">
        <v>17.95077975290145</v>
      </c>
    </row>
    <row r="324" spans="1:6" x14ac:dyDescent="0.25">
      <c r="A324">
        <v>42440</v>
      </c>
      <c r="B324">
        <v>2016</v>
      </c>
      <c r="C324">
        <v>7.8669216402393669</v>
      </c>
      <c r="D324">
        <v>11.039126825188614</v>
      </c>
      <c r="E324">
        <v>5.2570577394460631</v>
      </c>
      <c r="F324">
        <v>17.95077975290145</v>
      </c>
    </row>
    <row r="325" spans="1:6" x14ac:dyDescent="0.25">
      <c r="A325">
        <v>42433</v>
      </c>
      <c r="B325">
        <v>2016</v>
      </c>
      <c r="C325">
        <v>7.2612191491485261</v>
      </c>
      <c r="D325">
        <v>11.039126825188614</v>
      </c>
      <c r="E325">
        <v>5.2570577394460631</v>
      </c>
      <c r="F325">
        <v>17.95077975290145</v>
      </c>
    </row>
    <row r="326" spans="1:6" x14ac:dyDescent="0.25">
      <c r="A326">
        <v>42426</v>
      </c>
      <c r="B326">
        <v>2016</v>
      </c>
      <c r="C326">
        <v>6.7276240974732646</v>
      </c>
      <c r="D326">
        <v>11.039126825188614</v>
      </c>
      <c r="E326">
        <v>5.2570577394460631</v>
      </c>
      <c r="F326">
        <v>17.95077975290145</v>
      </c>
    </row>
    <row r="327" spans="1:6" x14ac:dyDescent="0.25">
      <c r="A327">
        <v>42419</v>
      </c>
      <c r="B327">
        <v>2016</v>
      </c>
      <c r="C327">
        <v>7.1025827824342596</v>
      </c>
      <c r="D327">
        <v>11.039126825188614</v>
      </c>
      <c r="E327">
        <v>5.2570577394460631</v>
      </c>
      <c r="F327">
        <v>17.95077975290145</v>
      </c>
    </row>
    <row r="328" spans="1:6" x14ac:dyDescent="0.25">
      <c r="A328">
        <v>42412</v>
      </c>
      <c r="B328">
        <v>2016</v>
      </c>
      <c r="C328">
        <v>6.9727893914862236</v>
      </c>
      <c r="D328">
        <v>11.039126825188614</v>
      </c>
      <c r="E328">
        <v>5.2570577394460631</v>
      </c>
      <c r="F328">
        <v>17.95077975290145</v>
      </c>
    </row>
    <row r="329" spans="1:6" x14ac:dyDescent="0.25">
      <c r="A329">
        <v>42405</v>
      </c>
      <c r="B329">
        <v>2016</v>
      </c>
      <c r="C329">
        <v>7.2395869173238552</v>
      </c>
      <c r="D329">
        <v>11.039126825188614</v>
      </c>
      <c r="E329">
        <v>5.2570577394460631</v>
      </c>
      <c r="F329">
        <v>17.95077975290145</v>
      </c>
    </row>
    <row r="330" spans="1:6" x14ac:dyDescent="0.25">
      <c r="A330">
        <v>42398</v>
      </c>
      <c r="B330">
        <v>2016</v>
      </c>
      <c r="C330">
        <v>6.842996000538184</v>
      </c>
      <c r="D330">
        <v>11.039126825188614</v>
      </c>
      <c r="E330">
        <v>5.2570577394460631</v>
      </c>
      <c r="F330">
        <v>17.95077975290145</v>
      </c>
    </row>
    <row r="331" spans="1:6" x14ac:dyDescent="0.25">
      <c r="A331">
        <v>42391</v>
      </c>
      <c r="B331">
        <v>2016</v>
      </c>
      <c r="C331">
        <v>6.1579753260902095</v>
      </c>
      <c r="D331">
        <v>11.039126825188614</v>
      </c>
      <c r="E331">
        <v>5.2570577394460631</v>
      </c>
      <c r="F331">
        <v>17.95077975290145</v>
      </c>
    </row>
    <row r="332" spans="1:6" x14ac:dyDescent="0.25">
      <c r="A332">
        <v>42384</v>
      </c>
      <c r="B332">
        <v>2016</v>
      </c>
      <c r="C332">
        <v>6.4824588034603048</v>
      </c>
      <c r="D332">
        <v>11.039126825188614</v>
      </c>
      <c r="E332">
        <v>5.2570577394460631</v>
      </c>
      <c r="F332">
        <v>17.95077975290145</v>
      </c>
    </row>
    <row r="333" spans="1:6" x14ac:dyDescent="0.25">
      <c r="A333">
        <v>42377</v>
      </c>
      <c r="B333">
        <v>2016</v>
      </c>
      <c r="C333">
        <v>7.2035331976160668</v>
      </c>
      <c r="D333">
        <v>11.039126825188614</v>
      </c>
      <c r="E333">
        <v>5.2570577394460631</v>
      </c>
      <c r="F333">
        <v>17.95077975290145</v>
      </c>
    </row>
    <row r="334" spans="1:6" x14ac:dyDescent="0.25">
      <c r="A334">
        <v>42370</v>
      </c>
      <c r="B334">
        <v>2016</v>
      </c>
      <c r="C334">
        <v>7.4054340279796795</v>
      </c>
      <c r="D334">
        <v>11.039126825188614</v>
      </c>
      <c r="E334">
        <v>5.2570577394460631</v>
      </c>
      <c r="F334">
        <v>17.95077975290145</v>
      </c>
    </row>
    <row r="335" spans="1:6" x14ac:dyDescent="0.25">
      <c r="A335">
        <v>42363</v>
      </c>
      <c r="B335">
        <v>2015</v>
      </c>
      <c r="C335">
        <v>7.4194282787850074</v>
      </c>
      <c r="D335">
        <v>11.039126825188614</v>
      </c>
      <c r="E335">
        <v>5.2570577394460631</v>
      </c>
      <c r="F335">
        <v>17.95077975290145</v>
      </c>
    </row>
    <row r="336" spans="1:6" x14ac:dyDescent="0.25">
      <c r="A336">
        <v>42356</v>
      </c>
      <c r="B336">
        <v>2015</v>
      </c>
      <c r="C336">
        <v>7.2608010463911583</v>
      </c>
      <c r="D336">
        <v>11.039126825188614</v>
      </c>
      <c r="E336">
        <v>5.2570577394460631</v>
      </c>
      <c r="F336">
        <v>17.95077975290145</v>
      </c>
    </row>
    <row r="337" spans="1:6" x14ac:dyDescent="0.25">
      <c r="A337">
        <v>42349</v>
      </c>
      <c r="B337">
        <v>2015</v>
      </c>
      <c r="C337">
        <v>8.2269850982446009</v>
      </c>
      <c r="D337">
        <v>11.039126825188614</v>
      </c>
      <c r="E337">
        <v>5.2570577394460631</v>
      </c>
      <c r="F337">
        <v>17.95077975290145</v>
      </c>
    </row>
    <row r="338" spans="1:6" x14ac:dyDescent="0.25">
      <c r="A338">
        <v>42342</v>
      </c>
      <c r="B338">
        <v>2015</v>
      </c>
      <c r="C338">
        <v>8.8398630415844703</v>
      </c>
      <c r="D338">
        <v>11.039126825188614</v>
      </c>
      <c r="E338">
        <v>5.2570577394460631</v>
      </c>
      <c r="F338">
        <v>17.95077975290145</v>
      </c>
    </row>
    <row r="339" spans="1:6" x14ac:dyDescent="0.25">
      <c r="A339">
        <v>42335</v>
      </c>
      <c r="B339">
        <v>2015</v>
      </c>
      <c r="C339">
        <v>9.2508517800594419</v>
      </c>
      <c r="D339">
        <v>11.039126825188614</v>
      </c>
      <c r="E339">
        <v>5.2570577394460631</v>
      </c>
      <c r="F339">
        <v>17.95077975290145</v>
      </c>
    </row>
    <row r="340" spans="1:6" x14ac:dyDescent="0.25">
      <c r="A340">
        <v>42328</v>
      </c>
      <c r="B340">
        <v>2015</v>
      </c>
      <c r="C340">
        <v>9.1643278351173407</v>
      </c>
      <c r="D340">
        <v>11.039126825188614</v>
      </c>
      <c r="E340">
        <v>5.2570577394460631</v>
      </c>
      <c r="F340">
        <v>17.95077975290145</v>
      </c>
    </row>
    <row r="341" spans="1:6" x14ac:dyDescent="0.25">
      <c r="A341">
        <v>42321</v>
      </c>
      <c r="B341">
        <v>2015</v>
      </c>
      <c r="C341">
        <v>9.6762611760247648</v>
      </c>
      <c r="D341">
        <v>11.039126825188614</v>
      </c>
      <c r="E341">
        <v>5.2570577394460631</v>
      </c>
      <c r="F341">
        <v>17.95077975290145</v>
      </c>
    </row>
    <row r="342" spans="1:6" x14ac:dyDescent="0.25">
      <c r="A342">
        <v>42314</v>
      </c>
      <c r="B342">
        <v>2015</v>
      </c>
      <c r="C342">
        <v>10.281928790619455</v>
      </c>
      <c r="D342">
        <v>11.039126825188614</v>
      </c>
      <c r="E342">
        <v>5.2570577394460631</v>
      </c>
      <c r="F342">
        <v>17.95077975290145</v>
      </c>
    </row>
    <row r="343" spans="1:6" x14ac:dyDescent="0.25">
      <c r="A343">
        <v>42307</v>
      </c>
      <c r="B343">
        <v>2015</v>
      </c>
      <c r="C343">
        <v>9.9790949833221099</v>
      </c>
      <c r="D343">
        <v>11.039126825188614</v>
      </c>
      <c r="E343">
        <v>5.2570577394460631</v>
      </c>
      <c r="F343">
        <v>17.95077975290145</v>
      </c>
    </row>
    <row r="344" spans="1:6" x14ac:dyDescent="0.25">
      <c r="A344">
        <v>42300</v>
      </c>
      <c r="B344">
        <v>2015</v>
      </c>
      <c r="C344">
        <v>9.8060470934379129</v>
      </c>
      <c r="D344">
        <v>11.039126825188614</v>
      </c>
      <c r="E344">
        <v>5.2570577394460631</v>
      </c>
      <c r="F344">
        <v>17.95077975290145</v>
      </c>
    </row>
    <row r="345" spans="1:6" x14ac:dyDescent="0.25">
      <c r="A345">
        <v>42293</v>
      </c>
      <c r="B345">
        <v>2015</v>
      </c>
      <c r="C345">
        <v>9.7627851209668624</v>
      </c>
      <c r="D345">
        <v>11.039126825188614</v>
      </c>
      <c r="E345">
        <v>5.2570577394460631</v>
      </c>
      <c r="F345">
        <v>17.95077975290145</v>
      </c>
    </row>
    <row r="346" spans="1:6" x14ac:dyDescent="0.25">
      <c r="A346">
        <v>42286</v>
      </c>
      <c r="B346">
        <v>2015</v>
      </c>
      <c r="C346">
        <v>10.527079967955405</v>
      </c>
      <c r="D346">
        <v>11.039126825188614</v>
      </c>
      <c r="E346">
        <v>5.2570577394460631</v>
      </c>
      <c r="F346">
        <v>17.95077975290145</v>
      </c>
    </row>
    <row r="347" spans="1:6" x14ac:dyDescent="0.25">
      <c r="A347">
        <v>42279</v>
      </c>
      <c r="B347">
        <v>2015</v>
      </c>
      <c r="C347">
        <v>10.080039585754559</v>
      </c>
      <c r="D347">
        <v>11.039126825188614</v>
      </c>
      <c r="E347">
        <v>5.2570577394460631</v>
      </c>
      <c r="F347">
        <v>17.95077975290145</v>
      </c>
    </row>
    <row r="348" spans="1:6" x14ac:dyDescent="0.25">
      <c r="A348">
        <v>42272</v>
      </c>
      <c r="B348">
        <v>2015</v>
      </c>
      <c r="C348">
        <v>9.9790949833221099</v>
      </c>
      <c r="D348">
        <v>11.039126825188614</v>
      </c>
      <c r="E348">
        <v>5.2570577394460631</v>
      </c>
      <c r="F348">
        <v>17.95077975290145</v>
      </c>
    </row>
    <row r="349" spans="1:6" x14ac:dyDescent="0.25">
      <c r="A349">
        <v>42265</v>
      </c>
      <c r="B349">
        <v>2015</v>
      </c>
      <c r="C349">
        <v>9.7772057784572102</v>
      </c>
      <c r="D349">
        <v>11.039126825188614</v>
      </c>
      <c r="E349">
        <v>5.2570577394460631</v>
      </c>
      <c r="F349">
        <v>17.95077975290145</v>
      </c>
    </row>
    <row r="350" spans="1:6" x14ac:dyDescent="0.25">
      <c r="A350">
        <v>42258</v>
      </c>
      <c r="B350">
        <v>2015</v>
      </c>
      <c r="C350">
        <v>10.166563530696658</v>
      </c>
      <c r="D350">
        <v>11.039126825188614</v>
      </c>
      <c r="E350">
        <v>5.2570577394460631</v>
      </c>
      <c r="F350">
        <v>17.95077975290145</v>
      </c>
    </row>
    <row r="351" spans="1:6" x14ac:dyDescent="0.25">
      <c r="A351">
        <v>42251</v>
      </c>
      <c r="B351">
        <v>2015</v>
      </c>
      <c r="C351">
        <v>10.454976680503655</v>
      </c>
      <c r="D351">
        <v>11.039126825188614</v>
      </c>
      <c r="E351">
        <v>5.2570577394460631</v>
      </c>
      <c r="F351">
        <v>17.95077975290145</v>
      </c>
    </row>
    <row r="352" spans="1:6" x14ac:dyDescent="0.25">
      <c r="A352">
        <v>42244</v>
      </c>
      <c r="B352">
        <v>2015</v>
      </c>
      <c r="C352">
        <v>9.438320327433992</v>
      </c>
      <c r="D352">
        <v>11.039126825188614</v>
      </c>
      <c r="E352">
        <v>5.2570577394460631</v>
      </c>
      <c r="F352">
        <v>17.95077975290145</v>
      </c>
    </row>
    <row r="353" spans="1:6" x14ac:dyDescent="0.25">
      <c r="A353">
        <v>42237</v>
      </c>
      <c r="B353">
        <v>2015</v>
      </c>
      <c r="C353">
        <v>9.8493090659089617</v>
      </c>
      <c r="D353">
        <v>11.039126825188614</v>
      </c>
      <c r="E353">
        <v>5.2570577394460631</v>
      </c>
      <c r="F353">
        <v>17.95077975290145</v>
      </c>
    </row>
    <row r="354" spans="1:6" x14ac:dyDescent="0.25">
      <c r="A354">
        <v>42230</v>
      </c>
      <c r="B354">
        <v>2015</v>
      </c>
      <c r="C354">
        <v>10.375663064306734</v>
      </c>
      <c r="D354">
        <v>11.039126825188614</v>
      </c>
      <c r="E354">
        <v>5.2570577394460631</v>
      </c>
      <c r="F354">
        <v>17.95077975290145</v>
      </c>
    </row>
    <row r="355" spans="1:6" x14ac:dyDescent="0.25">
      <c r="A355">
        <v>42223</v>
      </c>
      <c r="B355">
        <v>2015</v>
      </c>
      <c r="C355">
        <v>10.231456489403234</v>
      </c>
      <c r="D355">
        <v>11.039126825188614</v>
      </c>
      <c r="E355">
        <v>5.2570577394460631</v>
      </c>
      <c r="F355">
        <v>17.95077975290145</v>
      </c>
    </row>
    <row r="356" spans="1:6" x14ac:dyDescent="0.25">
      <c r="A356">
        <v>42216</v>
      </c>
      <c r="B356">
        <v>2015</v>
      </c>
      <c r="C356">
        <v>10.62081424164268</v>
      </c>
      <c r="D356">
        <v>11.039126825188614</v>
      </c>
      <c r="E356">
        <v>5.2570577394460631</v>
      </c>
      <c r="F356">
        <v>17.95077975290145</v>
      </c>
    </row>
    <row r="357" spans="1:6" x14ac:dyDescent="0.25">
      <c r="A357">
        <v>42209</v>
      </c>
      <c r="B357">
        <v>2015</v>
      </c>
      <c r="C357">
        <v>10.981330678901424</v>
      </c>
      <c r="D357">
        <v>11.039126825188614</v>
      </c>
      <c r="E357">
        <v>5.2570577394460631</v>
      </c>
      <c r="F357">
        <v>17.95077975290145</v>
      </c>
    </row>
    <row r="358" spans="1:6" x14ac:dyDescent="0.25">
      <c r="A358">
        <v>42202</v>
      </c>
      <c r="B358">
        <v>2015</v>
      </c>
      <c r="C358">
        <v>11.082275281333876</v>
      </c>
      <c r="D358">
        <v>11.039126825188614</v>
      </c>
      <c r="E358">
        <v>5.2570577394460631</v>
      </c>
      <c r="F358">
        <v>17.95077975290145</v>
      </c>
    </row>
    <row r="359" spans="1:6" x14ac:dyDescent="0.25">
      <c r="A359">
        <v>42195</v>
      </c>
      <c r="B359">
        <v>2015</v>
      </c>
      <c r="C359">
        <v>11.35626777365052</v>
      </c>
      <c r="D359">
        <v>11.039126825188614</v>
      </c>
      <c r="E359">
        <v>5.2570577394460631</v>
      </c>
      <c r="F359">
        <v>17.95077975290145</v>
      </c>
    </row>
    <row r="360" spans="1:6" x14ac:dyDescent="0.25">
      <c r="A360">
        <v>42188</v>
      </c>
      <c r="B360">
        <v>2015</v>
      </c>
      <c r="C360">
        <v>12.228717551816688</v>
      </c>
      <c r="D360">
        <v>11.039126825188614</v>
      </c>
      <c r="E360">
        <v>5.2570577394460631</v>
      </c>
      <c r="F360">
        <v>17.95077975290145</v>
      </c>
    </row>
    <row r="361" spans="1:6" x14ac:dyDescent="0.25">
      <c r="A361">
        <v>42181</v>
      </c>
      <c r="B361">
        <v>2015</v>
      </c>
      <c r="C361">
        <v>12.243138209307039</v>
      </c>
      <c r="D361">
        <v>11.039126825188614</v>
      </c>
      <c r="E361">
        <v>5.2570577394460631</v>
      </c>
      <c r="F361">
        <v>17.95077975290145</v>
      </c>
    </row>
    <row r="362" spans="1:6" x14ac:dyDescent="0.25">
      <c r="A362">
        <v>42174</v>
      </c>
      <c r="B362">
        <v>2015</v>
      </c>
      <c r="C362">
        <v>12.488289386642988</v>
      </c>
      <c r="D362">
        <v>11.039126825188614</v>
      </c>
      <c r="E362">
        <v>5.2570577394460631</v>
      </c>
      <c r="F362">
        <v>17.95077975290145</v>
      </c>
    </row>
    <row r="363" spans="1:6" x14ac:dyDescent="0.25">
      <c r="A363">
        <v>42167</v>
      </c>
      <c r="B363">
        <v>2015</v>
      </c>
      <c r="C363">
        <v>12.589233989075435</v>
      </c>
      <c r="D363">
        <v>11.039126825188614</v>
      </c>
      <c r="E363">
        <v>5.2570577394460631</v>
      </c>
      <c r="F363">
        <v>17.95077975290145</v>
      </c>
    </row>
    <row r="364" spans="1:6" x14ac:dyDescent="0.25">
      <c r="A364">
        <v>42160</v>
      </c>
      <c r="B364">
        <v>2015</v>
      </c>
      <c r="C364">
        <v>12.726230235233759</v>
      </c>
      <c r="D364">
        <v>11.039126825188614</v>
      </c>
      <c r="E364">
        <v>5.2570577394460631</v>
      </c>
      <c r="F364">
        <v>17.95077975290145</v>
      </c>
    </row>
    <row r="365" spans="1:6" x14ac:dyDescent="0.25">
      <c r="A365">
        <v>42153</v>
      </c>
      <c r="B365">
        <v>2015</v>
      </c>
      <c r="C365">
        <v>12.856016152646909</v>
      </c>
      <c r="D365">
        <v>11.039126825188614</v>
      </c>
      <c r="E365">
        <v>5.2570577394460631</v>
      </c>
      <c r="F365">
        <v>17.95077975290145</v>
      </c>
    </row>
    <row r="366" spans="1:6" x14ac:dyDescent="0.25">
      <c r="A366">
        <v>42146</v>
      </c>
      <c r="B366">
        <v>2015</v>
      </c>
      <c r="C366">
        <v>13.238163576141179</v>
      </c>
      <c r="D366">
        <v>11.039126825188614</v>
      </c>
      <c r="E366">
        <v>5.2570577394460631</v>
      </c>
      <c r="F366">
        <v>17.95077975290145</v>
      </c>
    </row>
    <row r="367" spans="1:6" x14ac:dyDescent="0.25">
      <c r="A367">
        <v>42139</v>
      </c>
      <c r="B367">
        <v>2015</v>
      </c>
      <c r="C367">
        <v>13.569838698419227</v>
      </c>
      <c r="D367">
        <v>11.039126825188614</v>
      </c>
      <c r="E367">
        <v>5.2570577394460631</v>
      </c>
      <c r="F367">
        <v>17.95077975290145</v>
      </c>
    </row>
    <row r="368" spans="1:6" x14ac:dyDescent="0.25">
      <c r="A368">
        <v>42132</v>
      </c>
      <c r="B368">
        <v>2015</v>
      </c>
      <c r="C368">
        <v>13.555418040928876</v>
      </c>
      <c r="D368">
        <v>11.039126825188614</v>
      </c>
      <c r="E368">
        <v>5.2570577394460631</v>
      </c>
      <c r="F368">
        <v>17.95077975290145</v>
      </c>
    </row>
    <row r="369" spans="1:6" x14ac:dyDescent="0.25">
      <c r="A369">
        <v>42125</v>
      </c>
      <c r="B369">
        <v>2015</v>
      </c>
      <c r="C369">
        <v>13.021853713785932</v>
      </c>
      <c r="D369">
        <v>11.039126825188614</v>
      </c>
      <c r="E369">
        <v>5.2570577394460631</v>
      </c>
      <c r="F369">
        <v>17.95077975290145</v>
      </c>
    </row>
    <row r="370" spans="1:6" x14ac:dyDescent="0.25">
      <c r="A370">
        <v>42118</v>
      </c>
      <c r="B370">
        <v>2015</v>
      </c>
      <c r="C370">
        <v>12.625285632801312</v>
      </c>
      <c r="D370">
        <v>11.039126825188614</v>
      </c>
      <c r="E370">
        <v>5.2570577394460631</v>
      </c>
      <c r="F370">
        <v>17.95077975290145</v>
      </c>
    </row>
    <row r="371" spans="1:6" x14ac:dyDescent="0.25">
      <c r="A371">
        <v>42111</v>
      </c>
      <c r="B371">
        <v>2015</v>
      </c>
      <c r="C371">
        <v>12.423396427936414</v>
      </c>
      <c r="D371">
        <v>11.039126825188614</v>
      </c>
      <c r="E371">
        <v>5.2570577394460631</v>
      </c>
      <c r="F371">
        <v>17.95077975290145</v>
      </c>
    </row>
    <row r="372" spans="1:6" x14ac:dyDescent="0.25">
      <c r="A372">
        <v>42104</v>
      </c>
      <c r="B372">
        <v>2015</v>
      </c>
      <c r="C372">
        <v>11.63026026596717</v>
      </c>
      <c r="D372">
        <v>11.039126825188614</v>
      </c>
      <c r="E372">
        <v>5.2570577394460631</v>
      </c>
      <c r="F372">
        <v>17.95077975290145</v>
      </c>
    </row>
    <row r="373" spans="1:6" x14ac:dyDescent="0.25">
      <c r="A373">
        <v>42097</v>
      </c>
      <c r="B373">
        <v>2015</v>
      </c>
      <c r="C373">
        <v>11.35626777365052</v>
      </c>
      <c r="D373">
        <v>11.039126825188614</v>
      </c>
      <c r="E373">
        <v>5.2570577394460631</v>
      </c>
      <c r="F373">
        <v>17.95077975290145</v>
      </c>
    </row>
    <row r="374" spans="1:6" x14ac:dyDescent="0.25">
      <c r="A374">
        <v>42090</v>
      </c>
      <c r="B374">
        <v>2015</v>
      </c>
      <c r="C374">
        <v>11.313005801179472</v>
      </c>
      <c r="D374">
        <v>11.039126825188614</v>
      </c>
      <c r="E374">
        <v>5.2570577394460631</v>
      </c>
      <c r="F374">
        <v>17.95077975290145</v>
      </c>
    </row>
    <row r="375" spans="1:6" x14ac:dyDescent="0.25">
      <c r="A375">
        <v>42083</v>
      </c>
      <c r="B375">
        <v>2015</v>
      </c>
      <c r="C375">
        <v>11.313005801179472</v>
      </c>
      <c r="D375">
        <v>11.039126825188614</v>
      </c>
      <c r="E375">
        <v>5.2570577394460631</v>
      </c>
      <c r="F375">
        <v>17.95077975290145</v>
      </c>
    </row>
    <row r="376" spans="1:6" x14ac:dyDescent="0.25">
      <c r="A376">
        <v>42076</v>
      </c>
      <c r="B376">
        <v>2015</v>
      </c>
      <c r="C376">
        <v>11.853780457067591</v>
      </c>
      <c r="D376">
        <v>11.039126825188614</v>
      </c>
      <c r="E376">
        <v>5.2570577394460631</v>
      </c>
      <c r="F376">
        <v>17.95077975290145</v>
      </c>
    </row>
    <row r="377" spans="1:6" x14ac:dyDescent="0.25">
      <c r="A377">
        <v>42069</v>
      </c>
      <c r="B377">
        <v>2015</v>
      </c>
      <c r="C377">
        <v>12.625285632801312</v>
      </c>
      <c r="D377">
        <v>11.039126825188614</v>
      </c>
      <c r="E377">
        <v>5.2570577394460631</v>
      </c>
      <c r="F377">
        <v>17.95077975290145</v>
      </c>
    </row>
    <row r="378" spans="1:6" x14ac:dyDescent="0.25">
      <c r="A378">
        <v>42062</v>
      </c>
      <c r="B378">
        <v>2015</v>
      </c>
      <c r="C378">
        <v>12.827174837666208</v>
      </c>
      <c r="D378">
        <v>11.039126825188614</v>
      </c>
      <c r="E378">
        <v>5.2570577394460631</v>
      </c>
      <c r="F378">
        <v>17.95077975290145</v>
      </c>
    </row>
    <row r="379" spans="1:6" x14ac:dyDescent="0.25">
      <c r="A379">
        <v>42055</v>
      </c>
      <c r="B379">
        <v>2015</v>
      </c>
      <c r="C379">
        <v>13.01464338504076</v>
      </c>
      <c r="D379">
        <v>11.039126825188614</v>
      </c>
      <c r="E379">
        <v>5.2570577394460631</v>
      </c>
      <c r="F379">
        <v>17.95077975290145</v>
      </c>
    </row>
    <row r="380" spans="1:6" x14ac:dyDescent="0.25">
      <c r="A380">
        <v>42048</v>
      </c>
      <c r="B380">
        <v>2015</v>
      </c>
      <c r="C380">
        <v>12.726230235233759</v>
      </c>
      <c r="D380">
        <v>11.039126825188614</v>
      </c>
      <c r="E380">
        <v>5.2570577394460631</v>
      </c>
      <c r="F380">
        <v>17.95077975290145</v>
      </c>
    </row>
    <row r="381" spans="1:6" x14ac:dyDescent="0.25">
      <c r="A381">
        <v>42041</v>
      </c>
      <c r="B381">
        <v>2015</v>
      </c>
      <c r="C381">
        <v>12.106141963148717</v>
      </c>
      <c r="D381">
        <v>11.039126825188614</v>
      </c>
      <c r="E381">
        <v>5.2570577394460631</v>
      </c>
      <c r="F381">
        <v>17.95077975290145</v>
      </c>
    </row>
    <row r="382" spans="1:6" x14ac:dyDescent="0.25">
      <c r="A382">
        <v>42034</v>
      </c>
      <c r="B382">
        <v>2015</v>
      </c>
      <c r="C382">
        <v>10.808282789017229</v>
      </c>
      <c r="D382">
        <v>11.039126825188614</v>
      </c>
      <c r="E382">
        <v>5.2570577394460631</v>
      </c>
      <c r="F382">
        <v>17.95077975290145</v>
      </c>
    </row>
    <row r="383" spans="1:6" x14ac:dyDescent="0.25">
      <c r="A383">
        <v>42027</v>
      </c>
      <c r="B383">
        <v>2015</v>
      </c>
      <c r="C383">
        <v>10.70733818658478</v>
      </c>
      <c r="D383">
        <v>11.039126825188614</v>
      </c>
      <c r="E383">
        <v>5.2570577394460631</v>
      </c>
      <c r="F383">
        <v>17.95077975290145</v>
      </c>
    </row>
    <row r="384" spans="1:6" x14ac:dyDescent="0.25">
      <c r="A384">
        <v>42020</v>
      </c>
      <c r="B384">
        <v>2015</v>
      </c>
      <c r="C384">
        <v>10.469397337994007</v>
      </c>
      <c r="D384">
        <v>11.039126825188614</v>
      </c>
      <c r="E384">
        <v>5.2570577394460631</v>
      </c>
      <c r="F384">
        <v>17.95077975290145</v>
      </c>
    </row>
    <row r="385" spans="1:6" x14ac:dyDescent="0.25">
      <c r="A385">
        <v>42013</v>
      </c>
      <c r="B385">
        <v>2015</v>
      </c>
      <c r="C385">
        <v>11.046223637608001</v>
      </c>
      <c r="D385">
        <v>11.039126825188614</v>
      </c>
      <c r="E385">
        <v>5.2570577394460631</v>
      </c>
      <c r="F385">
        <v>17.95077975290145</v>
      </c>
    </row>
    <row r="386" spans="1:6" x14ac:dyDescent="0.25">
      <c r="A386">
        <v>42006</v>
      </c>
      <c r="B386">
        <v>2015</v>
      </c>
      <c r="C386">
        <v>11.406740074866747</v>
      </c>
      <c r="D386">
        <v>11.039126825188614</v>
      </c>
      <c r="E386">
        <v>5.2570577394460631</v>
      </c>
      <c r="F386">
        <v>17.95077975290145</v>
      </c>
    </row>
    <row r="387" spans="1:6" x14ac:dyDescent="0.25">
      <c r="A387">
        <v>41999</v>
      </c>
      <c r="B387">
        <v>2014</v>
      </c>
      <c r="C387">
        <v>9.8583376883381</v>
      </c>
      <c r="D387">
        <v>11.039126825188614</v>
      </c>
      <c r="E387">
        <v>5.2570577394460631</v>
      </c>
      <c r="F387">
        <v>17.95077975290145</v>
      </c>
    </row>
    <row r="388" spans="1:6" x14ac:dyDescent="0.25">
      <c r="A388">
        <v>41992</v>
      </c>
      <c r="B388">
        <v>2014</v>
      </c>
      <c r="C388">
        <v>10.624560997040021</v>
      </c>
      <c r="D388">
        <v>11.039126825188614</v>
      </c>
      <c r="E388">
        <v>5.2570577394460631</v>
      </c>
      <c r="F388">
        <v>17.95077975290145</v>
      </c>
    </row>
    <row r="389" spans="1:6" x14ac:dyDescent="0.25">
      <c r="A389">
        <v>41985</v>
      </c>
      <c r="B389">
        <v>2014</v>
      </c>
      <c r="C389">
        <v>11.2942522353543</v>
      </c>
      <c r="D389">
        <v>11.039126825188614</v>
      </c>
      <c r="E389">
        <v>5.2570577394460631</v>
      </c>
      <c r="F389">
        <v>17.95077975290145</v>
      </c>
    </row>
    <row r="390" spans="1:6" x14ac:dyDescent="0.25">
      <c r="A390">
        <v>41978</v>
      </c>
      <c r="B390">
        <v>2014</v>
      </c>
      <c r="C390">
        <v>12.247506430432278</v>
      </c>
      <c r="D390">
        <v>11.039126825188614</v>
      </c>
      <c r="E390">
        <v>5.2570577394460631</v>
      </c>
      <c r="F390">
        <v>17.95077975290145</v>
      </c>
    </row>
    <row r="391" spans="1:6" x14ac:dyDescent="0.25">
      <c r="A391">
        <v>41971</v>
      </c>
      <c r="B391">
        <v>2014</v>
      </c>
      <c r="C391">
        <v>13.21886038870794</v>
      </c>
      <c r="D391">
        <v>11.039126825188614</v>
      </c>
      <c r="E391">
        <v>5.2570577394460631</v>
      </c>
      <c r="F391">
        <v>17.95077975290145</v>
      </c>
    </row>
    <row r="392" spans="1:6" x14ac:dyDescent="0.25">
      <c r="A392">
        <v>41964</v>
      </c>
      <c r="B392">
        <v>2014</v>
      </c>
      <c r="C392">
        <v>13.671354468650023</v>
      </c>
      <c r="D392">
        <v>11.039126825188614</v>
      </c>
      <c r="E392">
        <v>5.2570577394460631</v>
      </c>
      <c r="F392">
        <v>17.95077975290145</v>
      </c>
    </row>
    <row r="393" spans="1:6" x14ac:dyDescent="0.25">
      <c r="A393">
        <v>41957</v>
      </c>
      <c r="B393">
        <v>2014</v>
      </c>
      <c r="C393">
        <v>13.960950679812955</v>
      </c>
      <c r="D393">
        <v>11.039126825188614</v>
      </c>
      <c r="E393">
        <v>5.2570577394460631</v>
      </c>
      <c r="F393">
        <v>17.95077975290145</v>
      </c>
    </row>
    <row r="394" spans="1:6" x14ac:dyDescent="0.25">
      <c r="A394">
        <v>41950</v>
      </c>
      <c r="B394">
        <v>2014</v>
      </c>
      <c r="C394">
        <v>14.449644286150399</v>
      </c>
      <c r="D394">
        <v>11.039126825188614</v>
      </c>
      <c r="E394">
        <v>5.2570577394460631</v>
      </c>
      <c r="F394">
        <v>17.95077975290145</v>
      </c>
    </row>
    <row r="395" spans="1:6" x14ac:dyDescent="0.25">
      <c r="A395">
        <v>41943</v>
      </c>
      <c r="B395">
        <v>2014</v>
      </c>
      <c r="C395">
        <v>14.503943575743447</v>
      </c>
      <c r="D395">
        <v>11.039126825188614</v>
      </c>
      <c r="E395">
        <v>5.2570577394460631</v>
      </c>
      <c r="F395">
        <v>17.95077975290145</v>
      </c>
    </row>
    <row r="396" spans="1:6" x14ac:dyDescent="0.25">
      <c r="A396">
        <v>41936</v>
      </c>
      <c r="B396">
        <v>2014</v>
      </c>
      <c r="C396">
        <v>14.491877066944994</v>
      </c>
      <c r="D396">
        <v>11.039126825188614</v>
      </c>
      <c r="E396">
        <v>5.2570577394460631</v>
      </c>
      <c r="F396">
        <v>17.95077975290145</v>
      </c>
    </row>
    <row r="397" spans="1:6" x14ac:dyDescent="0.25">
      <c r="A397">
        <v>41929</v>
      </c>
      <c r="B397">
        <v>2014</v>
      </c>
      <c r="C397">
        <v>14.648741681324916</v>
      </c>
      <c r="D397">
        <v>11.039126825188614</v>
      </c>
      <c r="E397">
        <v>5.2570577394460631</v>
      </c>
      <c r="F397">
        <v>17.95077975290145</v>
      </c>
    </row>
    <row r="398" spans="1:6" x14ac:dyDescent="0.25">
      <c r="A398">
        <v>41922</v>
      </c>
      <c r="B398">
        <v>2014</v>
      </c>
      <c r="C398">
        <v>15.197767831654636</v>
      </c>
      <c r="D398">
        <v>11.039126825188614</v>
      </c>
      <c r="E398">
        <v>5.2570577394460631</v>
      </c>
      <c r="F398">
        <v>17.95077975290145</v>
      </c>
    </row>
    <row r="399" spans="1:6" x14ac:dyDescent="0.25">
      <c r="A399">
        <v>41915</v>
      </c>
      <c r="B399">
        <v>2014</v>
      </c>
      <c r="C399">
        <v>15.843326052372001</v>
      </c>
      <c r="D399">
        <v>11.039126825188614</v>
      </c>
      <c r="E399">
        <v>5.2570577394460631</v>
      </c>
      <c r="F399">
        <v>17.95077975290145</v>
      </c>
    </row>
    <row r="400" spans="1:6" x14ac:dyDescent="0.25">
      <c r="A400">
        <v>41908</v>
      </c>
      <c r="B400">
        <v>2014</v>
      </c>
      <c r="C400">
        <v>16.072589719542659</v>
      </c>
      <c r="D400">
        <v>11.039126825188614</v>
      </c>
      <c r="E400">
        <v>5.2570577394460631</v>
      </c>
      <c r="F400">
        <v>17.95077975290145</v>
      </c>
    </row>
    <row r="401" spans="1:6" x14ac:dyDescent="0.25">
      <c r="A401">
        <v>41901</v>
      </c>
      <c r="B401">
        <v>2014</v>
      </c>
      <c r="C401">
        <v>16.319953149910994</v>
      </c>
      <c r="D401">
        <v>11.039126825188614</v>
      </c>
      <c r="E401">
        <v>5.2570577394460631</v>
      </c>
      <c r="F401">
        <v>17.95077975290145</v>
      </c>
    </row>
    <row r="402" spans="1:6" x14ac:dyDescent="0.25">
      <c r="A402">
        <v>41894</v>
      </c>
      <c r="B402">
        <v>2014</v>
      </c>
      <c r="C402">
        <v>16.651782141868516</v>
      </c>
      <c r="D402">
        <v>11.039126825188614</v>
      </c>
      <c r="E402">
        <v>5.2570577394460631</v>
      </c>
      <c r="F402">
        <v>17.95077975290145</v>
      </c>
    </row>
    <row r="403" spans="1:6" x14ac:dyDescent="0.25">
      <c r="A403">
        <v>41887</v>
      </c>
      <c r="B403">
        <v>2014</v>
      </c>
      <c r="C403">
        <v>17.140475748205969</v>
      </c>
      <c r="D403">
        <v>11.039126825188614</v>
      </c>
      <c r="E403">
        <v>5.2570577394460631</v>
      </c>
      <c r="F403">
        <v>17.95077975290145</v>
      </c>
    </row>
    <row r="404" spans="1:6" x14ac:dyDescent="0.25">
      <c r="A404">
        <v>41880</v>
      </c>
      <c r="B404">
        <v>2014</v>
      </c>
      <c r="C404">
        <v>17.291307108186658</v>
      </c>
      <c r="D404">
        <v>11.039126825188614</v>
      </c>
      <c r="E404">
        <v>5.2570577394460631</v>
      </c>
      <c r="F404">
        <v>17.95077975290145</v>
      </c>
    </row>
    <row r="405" spans="1:6" x14ac:dyDescent="0.25">
      <c r="A405">
        <v>41873</v>
      </c>
      <c r="B405">
        <v>2014</v>
      </c>
      <c r="C405">
        <v>16.983611133826042</v>
      </c>
      <c r="D405">
        <v>11.039126825188614</v>
      </c>
      <c r="E405">
        <v>5.2570577394460631</v>
      </c>
      <c r="F405">
        <v>17.95077975290145</v>
      </c>
    </row>
    <row r="406" spans="1:6" x14ac:dyDescent="0.25">
      <c r="A406">
        <v>41866</v>
      </c>
      <c r="B406">
        <v>2014</v>
      </c>
      <c r="C406">
        <v>17.134442493806734</v>
      </c>
      <c r="D406">
        <v>11.039126825188614</v>
      </c>
      <c r="E406">
        <v>5.2570577394460631</v>
      </c>
      <c r="F406">
        <v>17.95077975290145</v>
      </c>
    </row>
    <row r="407" spans="1:6" x14ac:dyDescent="0.25">
      <c r="A407">
        <v>41859</v>
      </c>
      <c r="B407">
        <v>2014</v>
      </c>
      <c r="C407">
        <v>17.122375985008283</v>
      </c>
      <c r="D407">
        <v>11.039126825188614</v>
      </c>
      <c r="E407">
        <v>5.2570577394460631</v>
      </c>
      <c r="F407">
        <v>17.95077975290145</v>
      </c>
    </row>
    <row r="408" spans="1:6" x14ac:dyDescent="0.25">
      <c r="A408">
        <v>41852</v>
      </c>
      <c r="B408">
        <v>2014</v>
      </c>
      <c r="C408">
        <v>17.146509002605189</v>
      </c>
      <c r="D408">
        <v>11.039126825188614</v>
      </c>
      <c r="E408">
        <v>5.2570577394460631</v>
      </c>
      <c r="F408">
        <v>17.95077975290145</v>
      </c>
    </row>
    <row r="409" spans="1:6" x14ac:dyDescent="0.25">
      <c r="A409">
        <v>41845</v>
      </c>
      <c r="B409">
        <v>2014</v>
      </c>
      <c r="C409">
        <v>17.068076695415233</v>
      </c>
      <c r="D409">
        <v>11.039126825188614</v>
      </c>
      <c r="E409">
        <v>5.2570577394460631</v>
      </c>
      <c r="F409">
        <v>17.95077975290145</v>
      </c>
    </row>
    <row r="410" spans="1:6" x14ac:dyDescent="0.25">
      <c r="A410">
        <v>41838</v>
      </c>
      <c r="B410">
        <v>2014</v>
      </c>
      <c r="C410">
        <v>16.856912791442262</v>
      </c>
      <c r="D410">
        <v>11.039126825188614</v>
      </c>
      <c r="E410">
        <v>5.2570577394460631</v>
      </c>
      <c r="F410">
        <v>17.95077975290145</v>
      </c>
    </row>
    <row r="411" spans="1:6" x14ac:dyDescent="0.25">
      <c r="A411">
        <v>41831</v>
      </c>
      <c r="B411">
        <v>2014</v>
      </c>
      <c r="C411">
        <v>16.850879537043031</v>
      </c>
      <c r="D411">
        <v>11.039126825188614</v>
      </c>
      <c r="E411">
        <v>5.2570577394460631</v>
      </c>
      <c r="F411">
        <v>17.95077975290145</v>
      </c>
    </row>
    <row r="412" spans="1:6" x14ac:dyDescent="0.25">
      <c r="A412">
        <v>41824</v>
      </c>
      <c r="B412">
        <v>2014</v>
      </c>
      <c r="C412">
        <v>17.164608765802875</v>
      </c>
      <c r="D412">
        <v>11.039126825188614</v>
      </c>
      <c r="E412">
        <v>5.2570577394460631</v>
      </c>
      <c r="F412">
        <v>17.95077975290145</v>
      </c>
    </row>
    <row r="413" spans="1:6" x14ac:dyDescent="0.25">
      <c r="A413">
        <v>41817</v>
      </c>
      <c r="B413">
        <v>2014</v>
      </c>
      <c r="C413">
        <v>17.737767933729511</v>
      </c>
      <c r="D413">
        <v>11.039126825188614</v>
      </c>
      <c r="E413">
        <v>5.2570577394460631</v>
      </c>
      <c r="F413">
        <v>17.95077975290145</v>
      </c>
    </row>
    <row r="414" spans="1:6" x14ac:dyDescent="0.25">
      <c r="A414">
        <v>41810</v>
      </c>
      <c r="B414">
        <v>2014</v>
      </c>
      <c r="C414">
        <v>17.773967460124876</v>
      </c>
      <c r="D414">
        <v>11.039126825188614</v>
      </c>
      <c r="E414">
        <v>5.2570577394460631</v>
      </c>
      <c r="F414">
        <v>17.95077975290145</v>
      </c>
    </row>
    <row r="415" spans="1:6" x14ac:dyDescent="0.25">
      <c r="A415">
        <v>41803</v>
      </c>
      <c r="B415">
        <v>2014</v>
      </c>
      <c r="C415">
        <v>17.188741783399788</v>
      </c>
      <c r="D415">
        <v>11.039126825188614</v>
      </c>
      <c r="E415">
        <v>5.2570577394460631</v>
      </c>
      <c r="F415">
        <v>17.95077975290145</v>
      </c>
    </row>
    <row r="416" spans="1:6" x14ac:dyDescent="0.25">
      <c r="A416">
        <v>41796</v>
      </c>
      <c r="B416">
        <v>2014</v>
      </c>
      <c r="C416">
        <v>16.887079063438399</v>
      </c>
      <c r="D416">
        <v>11.039126825188614</v>
      </c>
      <c r="E416">
        <v>5.2570577394460631</v>
      </c>
      <c r="F416">
        <v>17.95077975290145</v>
      </c>
    </row>
    <row r="417" spans="1:6" x14ac:dyDescent="0.25">
      <c r="A417">
        <v>41789</v>
      </c>
      <c r="B417">
        <v>2014</v>
      </c>
      <c r="C417">
        <v>17.212874800996698</v>
      </c>
      <c r="D417">
        <v>11.039126825188614</v>
      </c>
      <c r="E417">
        <v>5.2570577394460631</v>
      </c>
      <c r="F417">
        <v>17.95077975290145</v>
      </c>
    </row>
    <row r="418" spans="1:6" x14ac:dyDescent="0.25">
      <c r="A418">
        <v>41782</v>
      </c>
      <c r="B418">
        <v>2014</v>
      </c>
      <c r="C418">
        <v>17.411972196171213</v>
      </c>
      <c r="D418">
        <v>11.039126825188614</v>
      </c>
      <c r="E418">
        <v>5.2570577394460631</v>
      </c>
      <c r="F418">
        <v>17.95077975290145</v>
      </c>
    </row>
    <row r="419" spans="1:6" x14ac:dyDescent="0.25">
      <c r="A419">
        <v>41775</v>
      </c>
      <c r="B419">
        <v>2014</v>
      </c>
      <c r="C419">
        <v>17.430071959368892</v>
      </c>
      <c r="D419">
        <v>11.039126825188614</v>
      </c>
      <c r="E419">
        <v>5.2570577394460631</v>
      </c>
      <c r="F419">
        <v>17.95077975290145</v>
      </c>
    </row>
    <row r="420" spans="1:6" x14ac:dyDescent="0.25">
      <c r="A420">
        <v>41768</v>
      </c>
      <c r="B420">
        <v>2014</v>
      </c>
      <c r="C420">
        <v>17.152542257004416</v>
      </c>
      <c r="D420">
        <v>11.039126825188614</v>
      </c>
      <c r="E420">
        <v>5.2570577394460631</v>
      </c>
      <c r="F420">
        <v>17.95077975290145</v>
      </c>
    </row>
    <row r="421" spans="1:6" x14ac:dyDescent="0.25">
      <c r="A421">
        <v>41761</v>
      </c>
      <c r="B421">
        <v>2014</v>
      </c>
      <c r="C421">
        <v>17.309406871384343</v>
      </c>
      <c r="D421">
        <v>11.039126825188614</v>
      </c>
      <c r="E421">
        <v>5.2570577394460631</v>
      </c>
      <c r="F421">
        <v>17.95077975290145</v>
      </c>
    </row>
    <row r="422" spans="1:6" x14ac:dyDescent="0.25">
      <c r="A422">
        <v>41754</v>
      </c>
      <c r="B422">
        <v>2014</v>
      </c>
      <c r="C422">
        <v>17.707601661733367</v>
      </c>
      <c r="D422">
        <v>11.039126825188614</v>
      </c>
      <c r="E422">
        <v>5.2570577394460631</v>
      </c>
      <c r="F422">
        <v>17.95077975290145</v>
      </c>
    </row>
    <row r="423" spans="1:6" x14ac:dyDescent="0.25">
      <c r="A423">
        <v>41747</v>
      </c>
      <c r="B423">
        <v>2014</v>
      </c>
      <c r="C423">
        <v>17.683468644136457</v>
      </c>
      <c r="D423">
        <v>11.039126825188614</v>
      </c>
      <c r="E423">
        <v>5.2570577394460631</v>
      </c>
      <c r="F423">
        <v>17.95077975290145</v>
      </c>
    </row>
    <row r="424" spans="1:6" x14ac:dyDescent="0.25">
      <c r="A424">
        <v>41740</v>
      </c>
      <c r="B424">
        <v>2014</v>
      </c>
      <c r="C424">
        <v>17.273207344988972</v>
      </c>
      <c r="D424">
        <v>11.039126825188614</v>
      </c>
      <c r="E424">
        <v>5.2570577394460631</v>
      </c>
      <c r="F424">
        <v>17.95077975290145</v>
      </c>
    </row>
    <row r="425" spans="1:6" x14ac:dyDescent="0.25">
      <c r="A425">
        <v>41733</v>
      </c>
      <c r="B425">
        <v>2014</v>
      </c>
      <c r="C425">
        <v>17.092209713012142</v>
      </c>
      <c r="D425">
        <v>11.039126825188614</v>
      </c>
      <c r="E425">
        <v>5.2570577394460631</v>
      </c>
      <c r="F425">
        <v>17.95077975290145</v>
      </c>
    </row>
    <row r="426" spans="1:6" x14ac:dyDescent="0.25">
      <c r="A426">
        <v>41726</v>
      </c>
      <c r="B426">
        <v>2014</v>
      </c>
      <c r="C426">
        <v>17.182708529000561</v>
      </c>
      <c r="D426">
        <v>11.039126825188614</v>
      </c>
      <c r="E426">
        <v>5.2570577394460631</v>
      </c>
      <c r="F426">
        <v>17.95077975290145</v>
      </c>
    </row>
    <row r="427" spans="1:6" x14ac:dyDescent="0.25">
      <c r="A427">
        <v>41719</v>
      </c>
      <c r="B427">
        <v>2014</v>
      </c>
      <c r="C427">
        <v>17.086176458612911</v>
      </c>
      <c r="D427">
        <v>11.039126825188614</v>
      </c>
      <c r="E427">
        <v>5.2570577394460631</v>
      </c>
      <c r="F427">
        <v>17.95077975290145</v>
      </c>
    </row>
    <row r="428" spans="1:6" x14ac:dyDescent="0.25">
      <c r="A428">
        <v>41712</v>
      </c>
      <c r="B428">
        <v>2014</v>
      </c>
      <c r="C428">
        <v>17.466271485764263</v>
      </c>
      <c r="D428">
        <v>11.039126825188614</v>
      </c>
      <c r="E428">
        <v>5.2570577394460631</v>
      </c>
      <c r="F428">
        <v>17.95077975290145</v>
      </c>
    </row>
    <row r="429" spans="1:6" x14ac:dyDescent="0.25">
      <c r="A429">
        <v>41705</v>
      </c>
      <c r="B429">
        <v>2014</v>
      </c>
      <c r="C429">
        <v>18.051497162489348</v>
      </c>
      <c r="D429">
        <v>11.039126825188614</v>
      </c>
      <c r="E429">
        <v>5.2570577394460631</v>
      </c>
      <c r="F429">
        <v>17.95077975290145</v>
      </c>
    </row>
    <row r="430" spans="1:6" x14ac:dyDescent="0.25">
      <c r="A430">
        <v>41698</v>
      </c>
      <c r="B430">
        <v>2014</v>
      </c>
      <c r="C430">
        <v>17.930832074504792</v>
      </c>
      <c r="D430">
        <v>11.039126825188614</v>
      </c>
      <c r="E430">
        <v>5.2570577394460631</v>
      </c>
      <c r="F430">
        <v>17.95077975290145</v>
      </c>
    </row>
    <row r="431" spans="1:6" x14ac:dyDescent="0.25">
      <c r="A431">
        <v>41691</v>
      </c>
      <c r="B431">
        <v>2014</v>
      </c>
      <c r="C431">
        <v>18.383326154446877</v>
      </c>
      <c r="D431">
        <v>11.039126825188614</v>
      </c>
      <c r="E431">
        <v>5.2570577394460631</v>
      </c>
      <c r="F431">
        <v>17.95077975290145</v>
      </c>
    </row>
    <row r="432" spans="1:6" x14ac:dyDescent="0.25">
      <c r="A432">
        <v>41684</v>
      </c>
      <c r="B432">
        <v>2014</v>
      </c>
      <c r="C432">
        <v>17.954965092101709</v>
      </c>
      <c r="D432">
        <v>11.039126825188614</v>
      </c>
      <c r="E432">
        <v>5.2570577394460631</v>
      </c>
      <c r="F432">
        <v>17.95077975290145</v>
      </c>
    </row>
    <row r="433" spans="1:6" x14ac:dyDescent="0.25">
      <c r="A433">
        <v>41677</v>
      </c>
      <c r="B433">
        <v>2014</v>
      </c>
      <c r="C433">
        <v>17.381805924175069</v>
      </c>
      <c r="D433">
        <v>11.039126825188614</v>
      </c>
      <c r="E433">
        <v>5.2570577394460631</v>
      </c>
      <c r="F433">
        <v>17.95077975290145</v>
      </c>
    </row>
    <row r="434" spans="1:6" x14ac:dyDescent="0.25">
      <c r="A434">
        <v>41670</v>
      </c>
      <c r="B434">
        <v>2014</v>
      </c>
      <c r="C434">
        <v>17.67743538973723</v>
      </c>
      <c r="D434">
        <v>11.039126825188614</v>
      </c>
      <c r="E434">
        <v>5.2570577394460631</v>
      </c>
      <c r="F434">
        <v>17.95077975290145</v>
      </c>
    </row>
    <row r="435" spans="1:6" x14ac:dyDescent="0.25">
      <c r="A435">
        <v>41663</v>
      </c>
      <c r="B435">
        <v>2014</v>
      </c>
      <c r="C435">
        <v>17.743801188128735</v>
      </c>
      <c r="D435">
        <v>11.039126825188614</v>
      </c>
      <c r="E435">
        <v>5.2570577394460631</v>
      </c>
      <c r="F435">
        <v>17.95077975290145</v>
      </c>
    </row>
    <row r="436" spans="1:6" x14ac:dyDescent="0.25">
      <c r="A436">
        <v>41656</v>
      </c>
      <c r="B436">
        <v>2014</v>
      </c>
      <c r="C436">
        <v>17.568836810551129</v>
      </c>
      <c r="D436">
        <v>11.039126825188614</v>
      </c>
      <c r="E436">
        <v>5.2570577394460631</v>
      </c>
      <c r="F436">
        <v>17.95077975290145</v>
      </c>
    </row>
    <row r="437" spans="1:6" x14ac:dyDescent="0.25">
      <c r="A437">
        <v>41649</v>
      </c>
      <c r="B437">
        <v>2014</v>
      </c>
      <c r="C437">
        <v>17.54470379295422</v>
      </c>
      <c r="D437">
        <v>11.039126825188614</v>
      </c>
      <c r="E437">
        <v>5.2570577394460631</v>
      </c>
      <c r="F437">
        <v>17.95077975290145</v>
      </c>
    </row>
    <row r="438" spans="1:6" x14ac:dyDescent="0.25">
      <c r="A438">
        <v>41642</v>
      </c>
      <c r="B438">
        <v>2014</v>
      </c>
      <c r="C438">
        <v>17.858433021714063</v>
      </c>
      <c r="D438">
        <v>11.039126825188614</v>
      </c>
      <c r="E438">
        <v>5.2570577394460631</v>
      </c>
      <c r="F438">
        <v>17.95077975290145</v>
      </c>
    </row>
    <row r="439" spans="1:6" x14ac:dyDescent="0.25">
      <c r="A439">
        <v>41635</v>
      </c>
      <c r="B439">
        <v>2013</v>
      </c>
      <c r="C439">
        <v>18.33484584364513</v>
      </c>
      <c r="D439">
        <v>11.039126825188614</v>
      </c>
      <c r="E439">
        <v>5.2570577394460631</v>
      </c>
      <c r="F439">
        <v>17.95077975290145</v>
      </c>
    </row>
    <row r="440" spans="1:6" x14ac:dyDescent="0.25">
      <c r="A440">
        <v>41628</v>
      </c>
      <c r="B440">
        <v>2013</v>
      </c>
      <c r="C440">
        <v>17.746918555435681</v>
      </c>
      <c r="D440">
        <v>11.039126825188614</v>
      </c>
      <c r="E440">
        <v>5.2570577394460631</v>
      </c>
      <c r="F440">
        <v>17.95077975290145</v>
      </c>
    </row>
    <row r="441" spans="1:6" x14ac:dyDescent="0.25">
      <c r="A441">
        <v>41621</v>
      </c>
      <c r="B441">
        <v>2013</v>
      </c>
      <c r="C441">
        <v>17.631757540219393</v>
      </c>
      <c r="D441">
        <v>11.039126825188614</v>
      </c>
      <c r="E441">
        <v>5.2570577394460631</v>
      </c>
      <c r="F441">
        <v>17.95077975290145</v>
      </c>
    </row>
    <row r="442" spans="1:6" x14ac:dyDescent="0.25">
      <c r="A442">
        <v>41614</v>
      </c>
      <c r="B442">
        <v>2013</v>
      </c>
      <c r="C442">
        <v>17.892385100972042</v>
      </c>
      <c r="D442">
        <v>11.039126825188614</v>
      </c>
      <c r="E442">
        <v>5.2570577394460631</v>
      </c>
      <c r="F442">
        <v>17.95077975290145</v>
      </c>
    </row>
    <row r="443" spans="1:6" x14ac:dyDescent="0.25">
      <c r="A443">
        <v>41607</v>
      </c>
      <c r="B443">
        <v>2013</v>
      </c>
      <c r="C443">
        <v>17.831774040331894</v>
      </c>
      <c r="D443">
        <v>11.039126825188614</v>
      </c>
      <c r="E443">
        <v>5.2570577394460631</v>
      </c>
      <c r="F443">
        <v>17.95077975290145</v>
      </c>
    </row>
    <row r="444" spans="1:6" x14ac:dyDescent="0.25">
      <c r="A444">
        <v>41600</v>
      </c>
      <c r="B444">
        <v>2013</v>
      </c>
      <c r="C444">
        <v>17.328702237018653</v>
      </c>
      <c r="D444">
        <v>11.039126825188614</v>
      </c>
      <c r="E444">
        <v>5.2570577394460631</v>
      </c>
      <c r="F444">
        <v>17.95077975290145</v>
      </c>
    </row>
    <row r="445" spans="1:6" x14ac:dyDescent="0.25">
      <c r="A445">
        <v>41593</v>
      </c>
      <c r="B445">
        <v>2013</v>
      </c>
      <c r="C445">
        <v>16.922608130729653</v>
      </c>
      <c r="D445">
        <v>11.039126825188614</v>
      </c>
      <c r="E445">
        <v>5.2570577394460631</v>
      </c>
      <c r="F445">
        <v>17.95077975290145</v>
      </c>
    </row>
    <row r="446" spans="1:6" x14ac:dyDescent="0.25">
      <c r="A446">
        <v>41586</v>
      </c>
      <c r="B446">
        <v>2013</v>
      </c>
      <c r="C446">
        <v>16.686224994233072</v>
      </c>
      <c r="D446">
        <v>11.039126825188614</v>
      </c>
      <c r="E446">
        <v>5.2570577394460631</v>
      </c>
      <c r="F446">
        <v>17.95077975290145</v>
      </c>
    </row>
    <row r="447" spans="1:6" x14ac:dyDescent="0.25">
      <c r="A447">
        <v>41579</v>
      </c>
      <c r="B447">
        <v>2013</v>
      </c>
      <c r="C447">
        <v>17.42567993404289</v>
      </c>
      <c r="D447">
        <v>11.039126825188614</v>
      </c>
      <c r="E447">
        <v>5.2570577394460631</v>
      </c>
      <c r="F447">
        <v>17.95077975290145</v>
      </c>
    </row>
    <row r="448" spans="1:6" x14ac:dyDescent="0.25">
      <c r="A448">
        <v>41572</v>
      </c>
      <c r="B448">
        <v>2013</v>
      </c>
      <c r="C448">
        <v>17.286274494570545</v>
      </c>
      <c r="D448">
        <v>11.039126825188614</v>
      </c>
      <c r="E448">
        <v>5.2570577394460631</v>
      </c>
      <c r="F448">
        <v>17.95077975290145</v>
      </c>
    </row>
    <row r="449" spans="1:6" x14ac:dyDescent="0.25">
      <c r="A449">
        <v>41565</v>
      </c>
      <c r="B449">
        <v>2013</v>
      </c>
      <c r="C449">
        <v>17.589329797771295</v>
      </c>
      <c r="D449">
        <v>11.039126825188614</v>
      </c>
      <c r="E449">
        <v>5.2570577394460631</v>
      </c>
      <c r="F449">
        <v>17.95077975290145</v>
      </c>
    </row>
    <row r="450" spans="1:6" x14ac:dyDescent="0.25">
      <c r="A450">
        <v>41558</v>
      </c>
      <c r="B450">
        <v>2013</v>
      </c>
      <c r="C450">
        <v>17.668124176603484</v>
      </c>
      <c r="D450">
        <v>11.039126825188614</v>
      </c>
      <c r="E450">
        <v>5.2570577394460631</v>
      </c>
      <c r="F450">
        <v>17.95077975290145</v>
      </c>
    </row>
    <row r="451" spans="1:6" x14ac:dyDescent="0.25">
      <c r="A451">
        <v>41551</v>
      </c>
      <c r="B451">
        <v>2013</v>
      </c>
      <c r="C451">
        <v>17.316580024890627</v>
      </c>
      <c r="D451">
        <v>11.039126825188614</v>
      </c>
      <c r="E451">
        <v>5.2570577394460631</v>
      </c>
      <c r="F451">
        <v>17.95077975290145</v>
      </c>
    </row>
    <row r="452" spans="1:6" x14ac:dyDescent="0.25">
      <c r="A452">
        <v>41544</v>
      </c>
      <c r="B452">
        <v>2013</v>
      </c>
      <c r="C452">
        <v>17.268091176378505</v>
      </c>
      <c r="D452">
        <v>11.039126825188614</v>
      </c>
      <c r="E452">
        <v>5.2570577394460631</v>
      </c>
      <c r="F452">
        <v>17.95077975290145</v>
      </c>
    </row>
    <row r="453" spans="1:6" x14ac:dyDescent="0.25">
      <c r="A453">
        <v>41537</v>
      </c>
      <c r="B453">
        <v>2013</v>
      </c>
      <c r="C453">
        <v>17.637818646283414</v>
      </c>
      <c r="D453">
        <v>11.039126825188614</v>
      </c>
      <c r="E453">
        <v>5.2570577394460631</v>
      </c>
      <c r="F453">
        <v>17.95077975290145</v>
      </c>
    </row>
    <row r="454" spans="1:6" x14ac:dyDescent="0.25">
      <c r="A454">
        <v>41530</v>
      </c>
      <c r="B454">
        <v>2013</v>
      </c>
      <c r="C454">
        <v>18.068157176828471</v>
      </c>
      <c r="D454">
        <v>11.039126825188614</v>
      </c>
      <c r="E454">
        <v>5.2570577394460631</v>
      </c>
      <c r="F454">
        <v>17.95077975290145</v>
      </c>
    </row>
    <row r="455" spans="1:6" x14ac:dyDescent="0.25">
      <c r="A455">
        <v>41523</v>
      </c>
      <c r="B455">
        <v>2013</v>
      </c>
      <c r="C455">
        <v>18.401518010349292</v>
      </c>
      <c r="D455">
        <v>11.039126825188614</v>
      </c>
      <c r="E455">
        <v>5.2570577394460631</v>
      </c>
      <c r="F455">
        <v>17.95077975290145</v>
      </c>
    </row>
    <row r="456" spans="1:6" x14ac:dyDescent="0.25">
      <c r="A456">
        <v>41516</v>
      </c>
      <c r="B456">
        <v>2013</v>
      </c>
      <c r="C456">
        <v>18.765184374190191</v>
      </c>
      <c r="D456">
        <v>11.039126825188614</v>
      </c>
      <c r="E456">
        <v>5.2570577394460631</v>
      </c>
      <c r="F456">
        <v>17.95077975290145</v>
      </c>
    </row>
    <row r="457" spans="1:6" x14ac:dyDescent="0.25">
      <c r="A457">
        <v>41509</v>
      </c>
      <c r="B457">
        <v>2013</v>
      </c>
      <c r="C457">
        <v>18.292418101197025</v>
      </c>
      <c r="D457">
        <v>11.039126825188614</v>
      </c>
      <c r="E457">
        <v>5.2570577394460631</v>
      </c>
      <c r="F457">
        <v>17.95077975290145</v>
      </c>
    </row>
    <row r="458" spans="1:6" x14ac:dyDescent="0.25">
      <c r="A458">
        <v>41502</v>
      </c>
      <c r="B458">
        <v>2013</v>
      </c>
      <c r="C458">
        <v>18.140890449596647</v>
      </c>
      <c r="D458">
        <v>11.039126825188614</v>
      </c>
      <c r="E458">
        <v>5.2570577394460631</v>
      </c>
      <c r="F458">
        <v>17.95077975290145</v>
      </c>
    </row>
    <row r="459" spans="1:6" x14ac:dyDescent="0.25">
      <c r="A459">
        <v>41495</v>
      </c>
      <c r="B459">
        <v>2013</v>
      </c>
      <c r="C459">
        <v>17.680246388731518</v>
      </c>
      <c r="D459">
        <v>11.039126825188614</v>
      </c>
      <c r="E459">
        <v>5.2570577394460631</v>
      </c>
      <c r="F459">
        <v>17.95077975290145</v>
      </c>
    </row>
    <row r="460" spans="1:6" x14ac:dyDescent="0.25">
      <c r="A460">
        <v>41488</v>
      </c>
      <c r="B460">
        <v>2013</v>
      </c>
      <c r="C460">
        <v>17.843896252459921</v>
      </c>
      <c r="D460">
        <v>11.039126825188614</v>
      </c>
      <c r="E460">
        <v>5.2570577394460631</v>
      </c>
      <c r="F460">
        <v>17.95077975290145</v>
      </c>
    </row>
    <row r="461" spans="1:6" x14ac:dyDescent="0.25">
      <c r="A461">
        <v>41481</v>
      </c>
      <c r="B461">
        <v>2013</v>
      </c>
      <c r="C461">
        <v>17.601452009899322</v>
      </c>
      <c r="D461">
        <v>11.039126825188614</v>
      </c>
      <c r="E461">
        <v>5.2570577394460631</v>
      </c>
      <c r="F461">
        <v>17.95077975290145</v>
      </c>
    </row>
    <row r="462" spans="1:6" x14ac:dyDescent="0.25">
      <c r="A462">
        <v>41474</v>
      </c>
      <c r="B462">
        <v>2013</v>
      </c>
      <c r="C462">
        <v>17.837835146395907</v>
      </c>
      <c r="D462">
        <v>11.039126825188614</v>
      </c>
      <c r="E462">
        <v>5.2570577394460631</v>
      </c>
      <c r="F462">
        <v>17.95077975290145</v>
      </c>
    </row>
    <row r="463" spans="1:6" x14ac:dyDescent="0.25">
      <c r="A463">
        <v>41467</v>
      </c>
      <c r="B463">
        <v>2013</v>
      </c>
      <c r="C463">
        <v>17.486290994683038</v>
      </c>
      <c r="D463">
        <v>11.039126825188614</v>
      </c>
      <c r="E463">
        <v>5.2570577394460631</v>
      </c>
      <c r="F463">
        <v>17.95077975290145</v>
      </c>
    </row>
    <row r="464" spans="1:6" x14ac:dyDescent="0.25">
      <c r="A464">
        <v>41460</v>
      </c>
      <c r="B464">
        <v>2013</v>
      </c>
      <c r="C464">
        <v>17.043830252009954</v>
      </c>
      <c r="D464">
        <v>11.039126825188614</v>
      </c>
      <c r="E464">
        <v>5.2570577394460631</v>
      </c>
      <c r="F464">
        <v>17.95077975290145</v>
      </c>
    </row>
    <row r="465" spans="1:6" x14ac:dyDescent="0.25">
      <c r="A465">
        <v>41453</v>
      </c>
      <c r="B465">
        <v>2013</v>
      </c>
      <c r="C465">
        <v>16.589247297208836</v>
      </c>
      <c r="D465">
        <v>11.039126825188614</v>
      </c>
      <c r="E465">
        <v>5.2570577394460631</v>
      </c>
      <c r="F465">
        <v>17.95077975290145</v>
      </c>
    </row>
    <row r="466" spans="1:6" x14ac:dyDescent="0.25">
      <c r="A466">
        <v>41446</v>
      </c>
      <c r="B466">
        <v>2013</v>
      </c>
      <c r="C466">
        <v>16.940791448921701</v>
      </c>
      <c r="D466">
        <v>11.039126825188614</v>
      </c>
      <c r="E466">
        <v>5.2570577394460631</v>
      </c>
      <c r="F466">
        <v>17.95077975290145</v>
      </c>
    </row>
    <row r="467" spans="1:6" x14ac:dyDescent="0.25">
      <c r="A467">
        <v>41439</v>
      </c>
      <c r="B467">
        <v>2013</v>
      </c>
      <c r="C467">
        <v>16.892302600409575</v>
      </c>
      <c r="D467">
        <v>11.039126825188614</v>
      </c>
      <c r="E467">
        <v>5.2570577394460631</v>
      </c>
      <c r="F467">
        <v>17.95077975290145</v>
      </c>
    </row>
    <row r="468" spans="1:6" x14ac:dyDescent="0.25">
      <c r="A468">
        <v>41432</v>
      </c>
      <c r="B468">
        <v>2013</v>
      </c>
      <c r="C468">
        <v>16.698347206361102</v>
      </c>
      <c r="D468">
        <v>11.039126825188614</v>
      </c>
      <c r="E468">
        <v>5.2570577394460631</v>
      </c>
      <c r="F468">
        <v>17.95077975290145</v>
      </c>
    </row>
    <row r="469" spans="1:6" x14ac:dyDescent="0.25">
      <c r="A469">
        <v>41425</v>
      </c>
      <c r="B469">
        <v>2013</v>
      </c>
      <c r="C469">
        <v>16.43771964560846</v>
      </c>
      <c r="D469">
        <v>11.039126825188614</v>
      </c>
      <c r="E469">
        <v>5.2570577394460631</v>
      </c>
      <c r="F469">
        <v>17.95077975290145</v>
      </c>
    </row>
    <row r="470" spans="1:6" x14ac:dyDescent="0.25">
      <c r="A470">
        <v>41418</v>
      </c>
      <c r="B470">
        <v>2013</v>
      </c>
      <c r="C470">
        <v>16.60743061540088</v>
      </c>
      <c r="D470">
        <v>11.039126825188614</v>
      </c>
      <c r="E470">
        <v>5.2570577394460631</v>
      </c>
      <c r="F470">
        <v>17.95077975290145</v>
      </c>
    </row>
    <row r="471" spans="1:6" x14ac:dyDescent="0.25">
      <c r="A471">
        <v>41411</v>
      </c>
      <c r="B471">
        <v>2013</v>
      </c>
      <c r="C471">
        <v>16.577125085080802</v>
      </c>
      <c r="D471">
        <v>11.039126825188614</v>
      </c>
      <c r="E471">
        <v>5.2570577394460631</v>
      </c>
      <c r="F471">
        <v>17.95077975290145</v>
      </c>
    </row>
    <row r="472" spans="1:6" x14ac:dyDescent="0.25">
      <c r="A472">
        <v>41404</v>
      </c>
      <c r="B472">
        <v>2013</v>
      </c>
      <c r="C472">
        <v>16.655919463912998</v>
      </c>
      <c r="D472">
        <v>11.039126825188614</v>
      </c>
      <c r="E472">
        <v>5.2570577394460631</v>
      </c>
      <c r="F472">
        <v>17.95077975290145</v>
      </c>
    </row>
    <row r="473" spans="1:6" x14ac:dyDescent="0.25">
      <c r="A473">
        <v>41397</v>
      </c>
      <c r="B473">
        <v>2013</v>
      </c>
      <c r="C473">
        <v>16.280130887944068</v>
      </c>
      <c r="D473">
        <v>11.039126825188614</v>
      </c>
      <c r="E473">
        <v>5.2570577394460631</v>
      </c>
      <c r="F473">
        <v>17.95077975290145</v>
      </c>
    </row>
    <row r="474" spans="1:6" x14ac:dyDescent="0.25">
      <c r="A474">
        <v>41390</v>
      </c>
      <c r="B474">
        <v>2013</v>
      </c>
      <c r="C474">
        <v>16.552880660824741</v>
      </c>
      <c r="D474">
        <v>11.039126825188614</v>
      </c>
      <c r="E474">
        <v>5.2570577394460631</v>
      </c>
      <c r="F474">
        <v>17.95077975290145</v>
      </c>
    </row>
    <row r="475" spans="1:6" x14ac:dyDescent="0.25">
      <c r="A475">
        <v>41383</v>
      </c>
      <c r="B475">
        <v>2013</v>
      </c>
      <c r="C475">
        <v>16.322558630392177</v>
      </c>
      <c r="D475">
        <v>11.039126825188614</v>
      </c>
      <c r="E475">
        <v>5.2570577394460631</v>
      </c>
      <c r="F475">
        <v>17.95077975290145</v>
      </c>
    </row>
    <row r="476" spans="1:6" x14ac:dyDescent="0.25">
      <c r="A476">
        <v>41376</v>
      </c>
      <c r="B476">
        <v>2013</v>
      </c>
      <c r="C476">
        <v>17.443863252234937</v>
      </c>
      <c r="D476">
        <v>11.039126825188614</v>
      </c>
      <c r="E476">
        <v>5.2570577394460631</v>
      </c>
      <c r="F476">
        <v>17.95077975290145</v>
      </c>
    </row>
    <row r="477" spans="1:6" x14ac:dyDescent="0.25">
      <c r="A477">
        <v>41369</v>
      </c>
      <c r="B477">
        <v>2013</v>
      </c>
      <c r="C477">
        <v>17.952996161612187</v>
      </c>
      <c r="D477">
        <v>11.039126825188614</v>
      </c>
      <c r="E477">
        <v>5.2570577394460631</v>
      </c>
      <c r="F477">
        <v>17.95077975290145</v>
      </c>
    </row>
    <row r="478" spans="1:6" x14ac:dyDescent="0.25">
      <c r="A478">
        <v>41362</v>
      </c>
      <c r="B478">
        <v>2013</v>
      </c>
      <c r="C478">
        <v>17.807529616075829</v>
      </c>
      <c r="D478">
        <v>11.039126825188614</v>
      </c>
      <c r="E478">
        <v>5.2570577394460631</v>
      </c>
      <c r="F478">
        <v>17.95077975290145</v>
      </c>
    </row>
    <row r="479" spans="1:6" x14ac:dyDescent="0.25">
      <c r="A479">
        <v>41355</v>
      </c>
      <c r="B479">
        <v>2013</v>
      </c>
      <c r="C479">
        <v>17.686307494795532</v>
      </c>
      <c r="D479">
        <v>11.039126825188614</v>
      </c>
      <c r="E479">
        <v>5.2570577394460631</v>
      </c>
      <c r="F479">
        <v>17.95077975290145</v>
      </c>
    </row>
    <row r="480" spans="1:6" x14ac:dyDescent="0.25">
      <c r="A480">
        <v>41348</v>
      </c>
      <c r="B480">
        <v>2013</v>
      </c>
      <c r="C480">
        <v>18.134829343532637</v>
      </c>
      <c r="D480">
        <v>11.039126825188614</v>
      </c>
      <c r="E480">
        <v>5.2570577394460631</v>
      </c>
      <c r="F480">
        <v>17.95077975290145</v>
      </c>
    </row>
    <row r="481" spans="1:6" x14ac:dyDescent="0.25">
      <c r="A481">
        <v>41341</v>
      </c>
      <c r="B481">
        <v>2013</v>
      </c>
      <c r="C481">
        <v>18.256051464812938</v>
      </c>
      <c r="D481">
        <v>11.039126825188614</v>
      </c>
      <c r="E481">
        <v>5.2570577394460631</v>
      </c>
      <c r="F481">
        <v>17.95077975290145</v>
      </c>
    </row>
    <row r="482" spans="1:6" x14ac:dyDescent="0.25">
      <c r="A482">
        <v>41334</v>
      </c>
      <c r="B482">
        <v>2013</v>
      </c>
      <c r="C482">
        <v>18.710634419614056</v>
      </c>
      <c r="D482">
        <v>11.039126825188614</v>
      </c>
      <c r="E482">
        <v>5.2570577394460631</v>
      </c>
      <c r="F482">
        <v>17.95077975290145</v>
      </c>
    </row>
    <row r="483" spans="1:6" x14ac:dyDescent="0.25">
      <c r="A483">
        <v>41327</v>
      </c>
      <c r="B483">
        <v>2013</v>
      </c>
      <c r="C483">
        <v>19.431906041231827</v>
      </c>
      <c r="D483">
        <v>11.039126825188614</v>
      </c>
      <c r="E483">
        <v>5.2570577394460631</v>
      </c>
      <c r="F483">
        <v>17.95077975290145</v>
      </c>
    </row>
    <row r="484" spans="1:6" x14ac:dyDescent="0.25">
      <c r="A484">
        <v>41320</v>
      </c>
      <c r="B484">
        <v>2013</v>
      </c>
      <c r="C484">
        <v>19.904672314224996</v>
      </c>
      <c r="D484">
        <v>11.039126825188614</v>
      </c>
      <c r="E484">
        <v>5.2570577394460631</v>
      </c>
      <c r="F484">
        <v>17.95077975290145</v>
      </c>
    </row>
    <row r="485" spans="1:6" x14ac:dyDescent="0.25">
      <c r="A485">
        <v>41313</v>
      </c>
      <c r="B485">
        <v>2013</v>
      </c>
      <c r="C485">
        <v>19.680411389856442</v>
      </c>
      <c r="D485">
        <v>11.039126825188614</v>
      </c>
      <c r="E485">
        <v>5.2570577394460631</v>
      </c>
      <c r="F485">
        <v>17.95077975290145</v>
      </c>
    </row>
    <row r="486" spans="1:6" x14ac:dyDescent="0.25">
      <c r="A486">
        <v>41306</v>
      </c>
      <c r="B486">
        <v>2013</v>
      </c>
      <c r="C486">
        <v>19.268256177503424</v>
      </c>
      <c r="D486">
        <v>11.039126825188614</v>
      </c>
      <c r="E486">
        <v>5.2570577394460631</v>
      </c>
      <c r="F486">
        <v>17.95077975290145</v>
      </c>
    </row>
    <row r="487" spans="1:6" x14ac:dyDescent="0.25">
      <c r="A487">
        <v>41299</v>
      </c>
      <c r="B487">
        <v>2013</v>
      </c>
      <c r="C487">
        <v>18.947017556110634</v>
      </c>
      <c r="D487">
        <v>11.039126825188614</v>
      </c>
      <c r="E487">
        <v>5.2570577394460631</v>
      </c>
      <c r="F487">
        <v>17.95077975290145</v>
      </c>
    </row>
    <row r="488" spans="1:6" x14ac:dyDescent="0.25">
      <c r="A488">
        <v>41292</v>
      </c>
      <c r="B488">
        <v>2013</v>
      </c>
      <c r="C488">
        <v>18.722756631742083</v>
      </c>
      <c r="D488">
        <v>11.039126825188614</v>
      </c>
      <c r="E488">
        <v>5.2570577394460631</v>
      </c>
      <c r="F488">
        <v>17.95077975290145</v>
      </c>
    </row>
    <row r="489" spans="1:6" x14ac:dyDescent="0.25">
      <c r="A489">
        <v>41285</v>
      </c>
      <c r="B489">
        <v>2013</v>
      </c>
      <c r="C489">
        <v>18.577290086205725</v>
      </c>
      <c r="D489">
        <v>11.039126825188614</v>
      </c>
      <c r="E489">
        <v>5.2570577394460631</v>
      </c>
      <c r="F489">
        <v>17.95077975290145</v>
      </c>
    </row>
    <row r="490" spans="1:6" x14ac:dyDescent="0.25">
      <c r="A490">
        <v>41278</v>
      </c>
      <c r="B490">
        <v>2013</v>
      </c>
      <c r="C490">
        <v>18.12270713140461</v>
      </c>
      <c r="D490">
        <v>11.039126825188614</v>
      </c>
      <c r="E490">
        <v>5.2570577394460631</v>
      </c>
      <c r="F490">
        <v>17.95077975290145</v>
      </c>
    </row>
    <row r="491" spans="1:6" x14ac:dyDescent="0.25">
      <c r="A491">
        <v>41271</v>
      </c>
      <c r="B491">
        <v>2012</v>
      </c>
      <c r="C491">
        <v>19.146772414971394</v>
      </c>
      <c r="D491">
        <v>11.039126825188614</v>
      </c>
      <c r="E491">
        <v>5.2570577394460631</v>
      </c>
      <c r="F491">
        <v>17.95077975290145</v>
      </c>
    </row>
    <row r="492" spans="1:6" x14ac:dyDescent="0.25">
      <c r="A492">
        <v>41264</v>
      </c>
      <c r="B492">
        <v>2012</v>
      </c>
      <c r="C492">
        <v>18.664134039005283</v>
      </c>
      <c r="D492">
        <v>11.039126825188614</v>
      </c>
      <c r="E492">
        <v>5.2570577394460631</v>
      </c>
      <c r="F492">
        <v>17.95077975290145</v>
      </c>
    </row>
    <row r="493" spans="1:6" x14ac:dyDescent="0.25">
      <c r="A493">
        <v>41257</v>
      </c>
      <c r="B493">
        <v>2012</v>
      </c>
      <c r="C493">
        <v>18.308505761977624</v>
      </c>
      <c r="D493">
        <v>11.039126825188614</v>
      </c>
      <c r="E493">
        <v>5.2570577394460631</v>
      </c>
      <c r="F493">
        <v>17.95077975290145</v>
      </c>
    </row>
    <row r="494" spans="1:6" x14ac:dyDescent="0.25">
      <c r="A494">
        <v>41250</v>
      </c>
      <c r="B494">
        <v>2012</v>
      </c>
      <c r="C494">
        <v>18.594278484589129</v>
      </c>
      <c r="D494">
        <v>11.039126825188614</v>
      </c>
      <c r="E494">
        <v>5.2570577394460631</v>
      </c>
      <c r="F494">
        <v>17.95077975290145</v>
      </c>
    </row>
    <row r="495" spans="1:6" x14ac:dyDescent="0.25">
      <c r="A495">
        <v>41243</v>
      </c>
      <c r="B495">
        <v>2012</v>
      </c>
      <c r="C495">
        <v>19.070566355608321</v>
      </c>
      <c r="D495">
        <v>11.039126825188614</v>
      </c>
      <c r="E495">
        <v>5.2570577394460631</v>
      </c>
      <c r="F495">
        <v>17.95077975290145</v>
      </c>
    </row>
    <row r="496" spans="1:6" x14ac:dyDescent="0.25">
      <c r="A496">
        <v>41236</v>
      </c>
      <c r="B496">
        <v>2012</v>
      </c>
      <c r="C496">
        <v>19.299184533697531</v>
      </c>
      <c r="D496">
        <v>11.039126825188614</v>
      </c>
      <c r="E496">
        <v>5.2570577394460631</v>
      </c>
      <c r="F496">
        <v>17.95077975290145</v>
      </c>
    </row>
    <row r="497" spans="1:6" x14ac:dyDescent="0.25">
      <c r="A497">
        <v>41229</v>
      </c>
      <c r="B497">
        <v>2012</v>
      </c>
      <c r="C497">
        <v>18.562525959854522</v>
      </c>
      <c r="D497">
        <v>11.039126825188614</v>
      </c>
      <c r="E497">
        <v>5.2570577394460631</v>
      </c>
      <c r="F497">
        <v>17.95077975290145</v>
      </c>
    </row>
    <row r="498" spans="1:6" x14ac:dyDescent="0.25">
      <c r="A498">
        <v>41222</v>
      </c>
      <c r="B498">
        <v>2012</v>
      </c>
      <c r="C498">
        <v>18.50537141533222</v>
      </c>
      <c r="D498">
        <v>11.039126825188614</v>
      </c>
      <c r="E498">
        <v>5.2570577394460631</v>
      </c>
      <c r="F498">
        <v>17.95077975290145</v>
      </c>
    </row>
    <row r="499" spans="1:6" x14ac:dyDescent="0.25">
      <c r="A499">
        <v>41215</v>
      </c>
      <c r="B499">
        <v>2012</v>
      </c>
      <c r="C499">
        <v>18.74034009836835</v>
      </c>
      <c r="D499">
        <v>11.039126825188614</v>
      </c>
      <c r="E499">
        <v>5.2570577394460631</v>
      </c>
      <c r="F499">
        <v>17.95077975290145</v>
      </c>
    </row>
    <row r="500" spans="1:6" x14ac:dyDescent="0.25">
      <c r="A500">
        <v>41208</v>
      </c>
      <c r="B500">
        <v>2012</v>
      </c>
      <c r="C500">
        <v>19.146772414971394</v>
      </c>
      <c r="D500">
        <v>11.039126825188614</v>
      </c>
      <c r="E500">
        <v>5.2570577394460631</v>
      </c>
      <c r="F500">
        <v>17.95077975290145</v>
      </c>
    </row>
    <row r="501" spans="1:6" x14ac:dyDescent="0.25">
      <c r="A501">
        <v>41201</v>
      </c>
      <c r="B501">
        <v>2012</v>
      </c>
      <c r="C501">
        <v>20.023142097646698</v>
      </c>
      <c r="D501">
        <v>11.039126825188614</v>
      </c>
      <c r="E501">
        <v>5.2570577394460631</v>
      </c>
      <c r="F501">
        <v>17.95077975290145</v>
      </c>
    </row>
    <row r="502" spans="1:6" x14ac:dyDescent="0.25">
      <c r="A502">
        <v>41194</v>
      </c>
      <c r="B502">
        <v>2012</v>
      </c>
      <c r="C502">
        <v>20.366069364780511</v>
      </c>
      <c r="D502">
        <v>11.039126825188614</v>
      </c>
      <c r="E502">
        <v>5.2570577394460631</v>
      </c>
      <c r="F502">
        <v>17.95077975290145</v>
      </c>
    </row>
    <row r="503" spans="1:6" x14ac:dyDescent="0.25">
      <c r="A503">
        <v>41187</v>
      </c>
      <c r="B503">
        <v>2012</v>
      </c>
      <c r="C503">
        <v>19.9659875531244</v>
      </c>
      <c r="D503">
        <v>11.039126825188614</v>
      </c>
      <c r="E503">
        <v>5.2570577394460631</v>
      </c>
      <c r="F503">
        <v>17.95077975290145</v>
      </c>
    </row>
    <row r="504" spans="1:6" x14ac:dyDescent="0.25">
      <c r="A504">
        <v>41180</v>
      </c>
      <c r="B504">
        <v>2012</v>
      </c>
      <c r="C504">
        <v>19.9659875531244</v>
      </c>
      <c r="D504">
        <v>11.039126825188614</v>
      </c>
      <c r="E504">
        <v>5.2570577394460631</v>
      </c>
      <c r="F504">
        <v>17.95077975290145</v>
      </c>
    </row>
    <row r="505" spans="1:6" x14ac:dyDescent="0.25">
      <c r="A505">
        <v>41173</v>
      </c>
      <c r="B505">
        <v>2012</v>
      </c>
      <c r="C505">
        <v>19.92153401849594</v>
      </c>
      <c r="D505">
        <v>11.039126825188614</v>
      </c>
      <c r="E505">
        <v>5.2570577394460631</v>
      </c>
      <c r="F505">
        <v>17.95077975290145</v>
      </c>
    </row>
    <row r="506" spans="1:6" x14ac:dyDescent="0.25">
      <c r="A506">
        <v>41166</v>
      </c>
      <c r="B506">
        <v>2012</v>
      </c>
      <c r="C506">
        <v>20.721697641808174</v>
      </c>
      <c r="D506">
        <v>11.039126825188614</v>
      </c>
      <c r="E506">
        <v>5.2570577394460631</v>
      </c>
      <c r="F506">
        <v>17.95077975290145</v>
      </c>
    </row>
    <row r="507" spans="1:6" x14ac:dyDescent="0.25">
      <c r="A507">
        <v>41159</v>
      </c>
      <c r="B507">
        <v>2012</v>
      </c>
      <c r="C507">
        <v>20.493079463718971</v>
      </c>
      <c r="D507">
        <v>11.039126825188614</v>
      </c>
      <c r="E507">
        <v>5.2570577394460631</v>
      </c>
      <c r="F507">
        <v>17.95077975290145</v>
      </c>
    </row>
    <row r="508" spans="1:6" x14ac:dyDescent="0.25">
      <c r="A508">
        <v>41152</v>
      </c>
      <c r="B508">
        <v>2012</v>
      </c>
      <c r="C508">
        <v>20.689945117073567</v>
      </c>
      <c r="D508">
        <v>11.039126825188614</v>
      </c>
      <c r="E508">
        <v>5.2570577394460631</v>
      </c>
      <c r="F508">
        <v>17.95077975290145</v>
      </c>
    </row>
    <row r="509" spans="1:6" x14ac:dyDescent="0.25">
      <c r="A509">
        <v>41145</v>
      </c>
      <c r="B509">
        <v>2012</v>
      </c>
      <c r="C509">
        <v>20.321615830152059</v>
      </c>
      <c r="D509">
        <v>11.039126825188614</v>
      </c>
      <c r="E509">
        <v>5.2570577394460631</v>
      </c>
      <c r="F509">
        <v>17.95077975290145</v>
      </c>
    </row>
    <row r="510" spans="1:6" x14ac:dyDescent="0.25">
      <c r="A510">
        <v>41138</v>
      </c>
      <c r="B510">
        <v>2012</v>
      </c>
      <c r="C510">
        <v>20.112049166903613</v>
      </c>
      <c r="D510">
        <v>11.039126825188614</v>
      </c>
      <c r="E510">
        <v>5.2570577394460631</v>
      </c>
      <c r="F510">
        <v>17.95077975290145</v>
      </c>
    </row>
    <row r="511" spans="1:6" x14ac:dyDescent="0.25">
      <c r="A511">
        <v>41131</v>
      </c>
      <c r="B511">
        <v>2012</v>
      </c>
      <c r="C511">
        <v>19.762771394822874</v>
      </c>
      <c r="D511">
        <v>11.039126825188614</v>
      </c>
      <c r="E511">
        <v>5.2570577394460631</v>
      </c>
      <c r="F511">
        <v>17.95077975290145</v>
      </c>
    </row>
    <row r="512" spans="1:6" x14ac:dyDescent="0.25">
      <c r="A512">
        <v>41124</v>
      </c>
      <c r="B512">
        <v>2012</v>
      </c>
      <c r="C512">
        <v>18.765742118156041</v>
      </c>
      <c r="D512">
        <v>11.039126825188614</v>
      </c>
      <c r="E512">
        <v>5.2570577394460631</v>
      </c>
      <c r="F512">
        <v>17.95077975290145</v>
      </c>
    </row>
    <row r="513" spans="1:6" x14ac:dyDescent="0.25">
      <c r="A513">
        <v>41117</v>
      </c>
      <c r="B513">
        <v>2012</v>
      </c>
      <c r="C513">
        <v>18.58157747469529</v>
      </c>
      <c r="D513">
        <v>11.039126825188614</v>
      </c>
      <c r="E513">
        <v>5.2570577394460631</v>
      </c>
      <c r="F513">
        <v>17.95077975290145</v>
      </c>
    </row>
    <row r="514" spans="1:6" x14ac:dyDescent="0.25">
      <c r="A514">
        <v>41110</v>
      </c>
      <c r="B514">
        <v>2012</v>
      </c>
      <c r="C514">
        <v>18.791144137943729</v>
      </c>
      <c r="D514">
        <v>11.039126825188614</v>
      </c>
      <c r="E514">
        <v>5.2570577394460631</v>
      </c>
      <c r="F514">
        <v>17.95077975290145</v>
      </c>
    </row>
    <row r="515" spans="1:6" x14ac:dyDescent="0.25">
      <c r="A515">
        <v>41103</v>
      </c>
      <c r="B515">
        <v>2012</v>
      </c>
      <c r="C515">
        <v>18.111640108623021</v>
      </c>
      <c r="D515">
        <v>11.039126825188614</v>
      </c>
      <c r="E515">
        <v>5.2570577394460631</v>
      </c>
      <c r="F515">
        <v>17.95077975290145</v>
      </c>
    </row>
    <row r="516" spans="1:6" x14ac:dyDescent="0.25">
      <c r="A516">
        <v>41096</v>
      </c>
      <c r="B516">
        <v>2012</v>
      </c>
      <c r="C516">
        <v>17.768712841489204</v>
      </c>
      <c r="D516">
        <v>11.039126825188614</v>
      </c>
      <c r="E516">
        <v>5.2570577394460631</v>
      </c>
      <c r="F516">
        <v>17.95077975290145</v>
      </c>
    </row>
    <row r="517" spans="1:6" x14ac:dyDescent="0.25">
      <c r="A517">
        <v>41089</v>
      </c>
      <c r="B517">
        <v>2012</v>
      </c>
      <c r="C517">
        <v>16.968549218176971</v>
      </c>
      <c r="D517">
        <v>11.039126825188614</v>
      </c>
      <c r="E517">
        <v>5.2570577394460631</v>
      </c>
      <c r="F517">
        <v>17.95077975290145</v>
      </c>
    </row>
    <row r="518" spans="1:6" x14ac:dyDescent="0.25">
      <c r="A518">
        <v>41082</v>
      </c>
      <c r="B518">
        <v>2012</v>
      </c>
      <c r="C518">
        <v>16.873291643973129</v>
      </c>
      <c r="D518">
        <v>11.039126825188614</v>
      </c>
      <c r="E518">
        <v>5.2570577394460631</v>
      </c>
      <c r="F518">
        <v>17.95077975290145</v>
      </c>
    </row>
    <row r="519" spans="1:6" x14ac:dyDescent="0.25">
      <c r="A519">
        <v>41075</v>
      </c>
      <c r="B519">
        <v>2012</v>
      </c>
      <c r="C519">
        <v>17.01935325775235</v>
      </c>
      <c r="D519">
        <v>11.039126825188614</v>
      </c>
      <c r="E519">
        <v>5.2570577394460631</v>
      </c>
      <c r="F519">
        <v>17.95077975290145</v>
      </c>
    </row>
    <row r="520" spans="1:6" x14ac:dyDescent="0.25">
      <c r="A520">
        <v>41068</v>
      </c>
      <c r="B520">
        <v>2012</v>
      </c>
      <c r="C520">
        <v>17.165414871531567</v>
      </c>
      <c r="D520">
        <v>11.039126825188614</v>
      </c>
      <c r="E520">
        <v>5.2570577394460631</v>
      </c>
      <c r="F520">
        <v>17.95077975290145</v>
      </c>
    </row>
    <row r="521" spans="1:6" x14ac:dyDescent="0.25">
      <c r="A521">
        <v>41061</v>
      </c>
      <c r="B521">
        <v>2012</v>
      </c>
      <c r="C521">
        <v>17.603599712869219</v>
      </c>
      <c r="D521">
        <v>11.039126825188614</v>
      </c>
      <c r="E521">
        <v>5.2570577394460631</v>
      </c>
      <c r="F521">
        <v>17.95077975290145</v>
      </c>
    </row>
    <row r="522" spans="1:6" x14ac:dyDescent="0.25">
      <c r="A522">
        <v>41054</v>
      </c>
      <c r="B522">
        <v>2012</v>
      </c>
      <c r="C522">
        <v>18.308505761977624</v>
      </c>
      <c r="D522">
        <v>11.039126825188614</v>
      </c>
      <c r="E522">
        <v>5.2570577394460631</v>
      </c>
      <c r="F522">
        <v>17.95077975290145</v>
      </c>
    </row>
    <row r="523" spans="1:6" x14ac:dyDescent="0.25">
      <c r="A523">
        <v>41047</v>
      </c>
      <c r="B523">
        <v>2012</v>
      </c>
      <c r="C523">
        <v>18.702237068686813</v>
      </c>
      <c r="D523">
        <v>11.039126825188614</v>
      </c>
      <c r="E523">
        <v>5.2570577394460631</v>
      </c>
      <c r="F523">
        <v>17.95077975290145</v>
      </c>
    </row>
    <row r="524" spans="1:6" x14ac:dyDescent="0.25">
      <c r="A524">
        <v>41040</v>
      </c>
      <c r="B524">
        <v>2012</v>
      </c>
      <c r="C524">
        <v>19.31188554359138</v>
      </c>
      <c r="D524">
        <v>11.039126825188614</v>
      </c>
      <c r="E524">
        <v>5.2570577394460631</v>
      </c>
      <c r="F524">
        <v>17.95077975290145</v>
      </c>
    </row>
    <row r="525" spans="1:6" x14ac:dyDescent="0.25">
      <c r="A525">
        <v>41033</v>
      </c>
      <c r="B525">
        <v>2012</v>
      </c>
      <c r="C525">
        <v>20.245409770788992</v>
      </c>
      <c r="D525">
        <v>11.039126825188614</v>
      </c>
      <c r="E525">
        <v>5.2570577394460631</v>
      </c>
      <c r="F525">
        <v>17.95077975290145</v>
      </c>
    </row>
    <row r="526" spans="1:6" x14ac:dyDescent="0.25">
      <c r="A526">
        <v>41026</v>
      </c>
      <c r="B526">
        <v>2012</v>
      </c>
      <c r="C526">
        <v>20.454976434037434</v>
      </c>
      <c r="D526">
        <v>11.039126825188614</v>
      </c>
      <c r="E526">
        <v>5.2570577394460631</v>
      </c>
      <c r="F526">
        <v>17.95077975290145</v>
      </c>
    </row>
    <row r="527" spans="1:6" x14ac:dyDescent="0.25">
      <c r="A527">
        <v>41019</v>
      </c>
      <c r="B527">
        <v>2012</v>
      </c>
      <c r="C527">
        <v>20.378770374674364</v>
      </c>
      <c r="D527">
        <v>11.039126825188614</v>
      </c>
      <c r="E527">
        <v>5.2570577394460631</v>
      </c>
      <c r="F527">
        <v>17.95077975290145</v>
      </c>
    </row>
    <row r="528" spans="1:6" x14ac:dyDescent="0.25">
      <c r="A528">
        <v>41012</v>
      </c>
      <c r="B528">
        <v>2012</v>
      </c>
      <c r="C528">
        <v>20.359718859833592</v>
      </c>
      <c r="D528">
        <v>11.039126825188614</v>
      </c>
      <c r="E528">
        <v>5.2570577394460631</v>
      </c>
      <c r="F528">
        <v>17.95077975290145</v>
      </c>
    </row>
    <row r="529" spans="1:6" x14ac:dyDescent="0.25">
      <c r="A529">
        <v>41005</v>
      </c>
      <c r="B529">
        <v>2012</v>
      </c>
      <c r="C529">
        <v>20.75980067148971</v>
      </c>
      <c r="D529">
        <v>11.039126825188614</v>
      </c>
      <c r="E529">
        <v>5.2570577394460631</v>
      </c>
      <c r="F529">
        <v>17.95077975290145</v>
      </c>
    </row>
    <row r="530" spans="1:6" x14ac:dyDescent="0.25">
      <c r="A530">
        <v>40998</v>
      </c>
      <c r="B530">
        <v>2012</v>
      </c>
      <c r="C530">
        <v>20.670893602232791</v>
      </c>
      <c r="D530">
        <v>11.039126825188614</v>
      </c>
      <c r="E530">
        <v>5.2570577394460631</v>
      </c>
      <c r="F530">
        <v>17.95077975290145</v>
      </c>
    </row>
    <row r="531" spans="1:6" x14ac:dyDescent="0.25">
      <c r="A531">
        <v>40991</v>
      </c>
      <c r="B531">
        <v>2012</v>
      </c>
      <c r="C531">
        <v>20.588337037922802</v>
      </c>
      <c r="D531">
        <v>11.039126825188614</v>
      </c>
      <c r="E531">
        <v>5.2570577394460631</v>
      </c>
      <c r="F531">
        <v>17.95077975290145</v>
      </c>
    </row>
    <row r="532" spans="1:6" x14ac:dyDescent="0.25">
      <c r="A532">
        <v>40984</v>
      </c>
      <c r="B532">
        <v>2012</v>
      </c>
      <c r="C532">
        <v>20.861408750640472</v>
      </c>
      <c r="D532">
        <v>11.039126825188614</v>
      </c>
      <c r="E532">
        <v>5.2570577394460631</v>
      </c>
      <c r="F532">
        <v>17.95077975290145</v>
      </c>
    </row>
    <row r="533" spans="1:6" x14ac:dyDescent="0.25">
      <c r="A533">
        <v>40977</v>
      </c>
      <c r="B533">
        <v>2012</v>
      </c>
      <c r="C533">
        <v>20.632790572551261</v>
      </c>
      <c r="D533">
        <v>11.039126825188614</v>
      </c>
      <c r="E533">
        <v>5.2570577394460631</v>
      </c>
      <c r="F533">
        <v>17.95077975290145</v>
      </c>
    </row>
    <row r="534" spans="1:6" x14ac:dyDescent="0.25">
      <c r="A534">
        <v>40970</v>
      </c>
      <c r="B534">
        <v>2012</v>
      </c>
      <c r="C534">
        <v>20.60738855276357</v>
      </c>
      <c r="D534">
        <v>11.039126825188614</v>
      </c>
      <c r="E534">
        <v>5.2570577394460631</v>
      </c>
      <c r="F534">
        <v>17.95077975290145</v>
      </c>
    </row>
    <row r="535" spans="1:6" x14ac:dyDescent="0.25">
      <c r="A535">
        <v>40963</v>
      </c>
      <c r="B535">
        <v>2012</v>
      </c>
      <c r="C535">
        <v>20.905862285268931</v>
      </c>
      <c r="D535">
        <v>11.039126825188614</v>
      </c>
      <c r="E535">
        <v>5.2570577394460631</v>
      </c>
      <c r="F535">
        <v>17.95077975290145</v>
      </c>
    </row>
    <row r="536" spans="1:6" x14ac:dyDescent="0.25">
      <c r="A536">
        <v>40956</v>
      </c>
      <c r="B536">
        <v>2012</v>
      </c>
      <c r="C536">
        <v>20.220007751001301</v>
      </c>
      <c r="D536">
        <v>11.039126825188614</v>
      </c>
      <c r="E536">
        <v>5.2570577394460631</v>
      </c>
      <c r="F536">
        <v>17.95077975290145</v>
      </c>
    </row>
    <row r="537" spans="1:6" x14ac:dyDescent="0.25">
      <c r="A537">
        <v>40949</v>
      </c>
      <c r="B537">
        <v>2012</v>
      </c>
      <c r="C537">
        <v>20.334316840045901</v>
      </c>
      <c r="D537">
        <v>11.039126825188614</v>
      </c>
      <c r="E537">
        <v>5.2570577394460631</v>
      </c>
      <c r="F537">
        <v>17.95077975290145</v>
      </c>
    </row>
    <row r="538" spans="1:6" x14ac:dyDescent="0.25">
      <c r="A538">
        <v>40942</v>
      </c>
      <c r="B538">
        <v>2012</v>
      </c>
      <c r="C538">
        <v>19.616709781043657</v>
      </c>
      <c r="D538">
        <v>11.039126825188614</v>
      </c>
      <c r="E538">
        <v>5.2570577394460631</v>
      </c>
      <c r="F538">
        <v>17.95077975290145</v>
      </c>
    </row>
    <row r="539" spans="1:6" x14ac:dyDescent="0.25">
      <c r="A539">
        <v>40935</v>
      </c>
      <c r="B539">
        <v>2012</v>
      </c>
      <c r="C539">
        <v>19.521452206839822</v>
      </c>
      <c r="D539">
        <v>11.039126825188614</v>
      </c>
      <c r="E539">
        <v>5.2570577394460631</v>
      </c>
      <c r="F539">
        <v>17.95077975290145</v>
      </c>
    </row>
    <row r="540" spans="1:6" x14ac:dyDescent="0.25">
      <c r="A540">
        <v>40928</v>
      </c>
      <c r="B540">
        <v>2012</v>
      </c>
      <c r="C540">
        <v>19.515101701892895</v>
      </c>
      <c r="D540">
        <v>11.039126825188614</v>
      </c>
      <c r="E540">
        <v>5.2570577394460631</v>
      </c>
      <c r="F540">
        <v>17.95077975290145</v>
      </c>
    </row>
    <row r="541" spans="1:6" x14ac:dyDescent="0.25">
      <c r="A541">
        <v>40921</v>
      </c>
      <c r="B541">
        <v>2012</v>
      </c>
      <c r="C541">
        <v>19.851678464079793</v>
      </c>
      <c r="D541">
        <v>11.039126825188614</v>
      </c>
      <c r="E541">
        <v>5.2570577394460631</v>
      </c>
      <c r="F541">
        <v>17.95077975290145</v>
      </c>
    </row>
    <row r="542" spans="1:6" x14ac:dyDescent="0.25">
      <c r="A542">
        <v>40914</v>
      </c>
      <c r="B542">
        <v>2012</v>
      </c>
      <c r="C542">
        <v>19.527802711786745</v>
      </c>
      <c r="D542">
        <v>11.039126825188614</v>
      </c>
      <c r="E542">
        <v>5.2570577394460631</v>
      </c>
      <c r="F542">
        <v>17.95077975290145</v>
      </c>
    </row>
    <row r="543" spans="1:6" x14ac:dyDescent="0.25">
      <c r="A543">
        <v>40907</v>
      </c>
      <c r="B543">
        <v>2011</v>
      </c>
      <c r="C543">
        <v>17.471348845665815</v>
      </c>
      <c r="D543">
        <v>11.039126825188614</v>
      </c>
      <c r="E543">
        <v>5.2570577394460631</v>
      </c>
      <c r="F543">
        <v>17.95077975290145</v>
      </c>
    </row>
    <row r="544" spans="1:6" x14ac:dyDescent="0.25">
      <c r="A544">
        <v>40900</v>
      </c>
      <c r="B544">
        <v>2011</v>
      </c>
      <c r="C544">
        <v>17.104859065890842</v>
      </c>
      <c r="D544">
        <v>11.039126825188614</v>
      </c>
      <c r="E544">
        <v>5.2570577394460631</v>
      </c>
      <c r="F544">
        <v>17.95077975290145</v>
      </c>
    </row>
    <row r="545" spans="1:6" x14ac:dyDescent="0.25">
      <c r="A545">
        <v>40893</v>
      </c>
      <c r="B545">
        <v>2011</v>
      </c>
      <c r="C545">
        <v>16.768409431999068</v>
      </c>
      <c r="D545">
        <v>11.039126825188614</v>
      </c>
      <c r="E545">
        <v>5.2570577394460631</v>
      </c>
      <c r="F545">
        <v>17.95077975290145</v>
      </c>
    </row>
    <row r="546" spans="1:6" x14ac:dyDescent="0.25">
      <c r="A546">
        <v>40886</v>
      </c>
      <c r="B546">
        <v>2011</v>
      </c>
      <c r="C546">
        <v>17.507397020725648</v>
      </c>
      <c r="D546">
        <v>11.039126825188614</v>
      </c>
      <c r="E546">
        <v>5.2570577394460631</v>
      </c>
      <c r="F546">
        <v>17.95077975290145</v>
      </c>
    </row>
    <row r="547" spans="1:6" x14ac:dyDescent="0.25">
      <c r="A547">
        <v>40879</v>
      </c>
      <c r="B547">
        <v>2011</v>
      </c>
      <c r="C547">
        <v>17.867878771323976</v>
      </c>
      <c r="D547">
        <v>11.039126825188614</v>
      </c>
      <c r="E547">
        <v>5.2570577394460631</v>
      </c>
      <c r="F547">
        <v>17.95077975290145</v>
      </c>
    </row>
    <row r="548" spans="1:6" x14ac:dyDescent="0.25">
      <c r="A548">
        <v>40872</v>
      </c>
      <c r="B548">
        <v>2011</v>
      </c>
      <c r="C548">
        <v>17.7477181877912</v>
      </c>
      <c r="D548">
        <v>11.039126825188614</v>
      </c>
      <c r="E548">
        <v>5.2570577394460631</v>
      </c>
      <c r="F548">
        <v>17.95077975290145</v>
      </c>
    </row>
    <row r="549" spans="1:6" x14ac:dyDescent="0.25">
      <c r="A549">
        <v>40865</v>
      </c>
      <c r="B549">
        <v>2011</v>
      </c>
      <c r="C549">
        <v>18.58884227252064</v>
      </c>
      <c r="D549">
        <v>11.039126825188614</v>
      </c>
      <c r="E549">
        <v>5.2570577394460631</v>
      </c>
      <c r="F549">
        <v>17.95077975290145</v>
      </c>
    </row>
    <row r="550" spans="1:6" x14ac:dyDescent="0.25">
      <c r="A550">
        <v>40858</v>
      </c>
      <c r="B550">
        <v>2011</v>
      </c>
      <c r="C550">
        <v>18.787107235349723</v>
      </c>
      <c r="D550">
        <v>11.039126825188614</v>
      </c>
      <c r="E550">
        <v>5.2570577394460631</v>
      </c>
      <c r="F550">
        <v>17.95077975290145</v>
      </c>
    </row>
    <row r="551" spans="1:6" x14ac:dyDescent="0.25">
      <c r="A551">
        <v>40851</v>
      </c>
      <c r="B551">
        <v>2011</v>
      </c>
      <c r="C551">
        <v>18.186304317685838</v>
      </c>
      <c r="D551">
        <v>11.039126825188614</v>
      </c>
      <c r="E551">
        <v>5.2570577394460631</v>
      </c>
      <c r="F551">
        <v>17.95077975290145</v>
      </c>
    </row>
    <row r="552" spans="1:6" x14ac:dyDescent="0.25">
      <c r="A552">
        <v>40844</v>
      </c>
      <c r="B552">
        <v>2011</v>
      </c>
      <c r="C552">
        <v>18.270416726158786</v>
      </c>
      <c r="D552">
        <v>11.039126825188614</v>
      </c>
      <c r="E552">
        <v>5.2570577394460631</v>
      </c>
      <c r="F552">
        <v>17.95077975290145</v>
      </c>
    </row>
    <row r="553" spans="1:6" x14ac:dyDescent="0.25">
      <c r="A553">
        <v>40837</v>
      </c>
      <c r="B553">
        <v>2011</v>
      </c>
      <c r="C553">
        <v>18.042111617446505</v>
      </c>
      <c r="D553">
        <v>11.039126825188614</v>
      </c>
      <c r="E553">
        <v>5.2570577394460631</v>
      </c>
      <c r="F553">
        <v>17.95077975290145</v>
      </c>
    </row>
    <row r="554" spans="1:6" x14ac:dyDescent="0.25">
      <c r="A554">
        <v>40830</v>
      </c>
      <c r="B554">
        <v>2011</v>
      </c>
      <c r="C554">
        <v>17.717678041908005</v>
      </c>
      <c r="D554">
        <v>11.039126825188614</v>
      </c>
      <c r="E554">
        <v>5.2570577394460631</v>
      </c>
      <c r="F554">
        <v>17.95077975290145</v>
      </c>
    </row>
    <row r="555" spans="1:6" x14ac:dyDescent="0.25">
      <c r="A555">
        <v>40823</v>
      </c>
      <c r="B555">
        <v>2011</v>
      </c>
      <c r="C555">
        <v>17.164939357657236</v>
      </c>
      <c r="D555">
        <v>11.039126825188614</v>
      </c>
      <c r="E555">
        <v>5.2570577394460631</v>
      </c>
      <c r="F555">
        <v>17.95077975290145</v>
      </c>
    </row>
    <row r="556" spans="1:6" x14ac:dyDescent="0.25">
      <c r="A556">
        <v>40816</v>
      </c>
      <c r="B556">
        <v>2011</v>
      </c>
      <c r="C556">
        <v>17.309132057896562</v>
      </c>
      <c r="D556">
        <v>11.039126825188614</v>
      </c>
      <c r="E556">
        <v>5.2570577394460631</v>
      </c>
      <c r="F556">
        <v>17.95077975290145</v>
      </c>
    </row>
    <row r="557" spans="1:6" x14ac:dyDescent="0.25">
      <c r="A557">
        <v>40809</v>
      </c>
      <c r="B557">
        <v>2011</v>
      </c>
      <c r="C557">
        <v>17.405260524722785</v>
      </c>
      <c r="D557">
        <v>11.039126825188614</v>
      </c>
      <c r="E557">
        <v>5.2570577394460631</v>
      </c>
      <c r="F557">
        <v>17.95077975290145</v>
      </c>
    </row>
    <row r="558" spans="1:6" x14ac:dyDescent="0.25">
      <c r="A558">
        <v>40802</v>
      </c>
      <c r="B558">
        <v>2011</v>
      </c>
      <c r="C558">
        <v>17.80779847955759</v>
      </c>
      <c r="D558">
        <v>11.039126825188614</v>
      </c>
      <c r="E558">
        <v>5.2570577394460631</v>
      </c>
      <c r="F558">
        <v>17.95077975290145</v>
      </c>
    </row>
    <row r="559" spans="1:6" x14ac:dyDescent="0.25">
      <c r="A559">
        <v>40795</v>
      </c>
      <c r="B559">
        <v>2011</v>
      </c>
      <c r="C559">
        <v>18.132232055096086</v>
      </c>
      <c r="D559">
        <v>11.039126825188614</v>
      </c>
      <c r="E559">
        <v>5.2570577394460631</v>
      </c>
      <c r="F559">
        <v>17.95077975290145</v>
      </c>
    </row>
    <row r="560" spans="1:6" x14ac:dyDescent="0.25">
      <c r="A560">
        <v>40788</v>
      </c>
      <c r="B560">
        <v>2011</v>
      </c>
      <c r="C560">
        <v>18.516745922400975</v>
      </c>
      <c r="D560">
        <v>11.039126825188614</v>
      </c>
      <c r="E560">
        <v>5.2570577394460631</v>
      </c>
      <c r="F560">
        <v>17.95077975290145</v>
      </c>
    </row>
    <row r="561" spans="1:6" x14ac:dyDescent="0.25">
      <c r="A561">
        <v>40781</v>
      </c>
      <c r="B561">
        <v>2011</v>
      </c>
      <c r="C561">
        <v>18.162272200979285</v>
      </c>
      <c r="D561">
        <v>11.039126825188614</v>
      </c>
      <c r="E561">
        <v>5.2570577394460631</v>
      </c>
      <c r="F561">
        <v>17.95077975290145</v>
      </c>
    </row>
    <row r="562" spans="1:6" x14ac:dyDescent="0.25">
      <c r="A562">
        <v>40774</v>
      </c>
      <c r="B562">
        <v>2011</v>
      </c>
      <c r="C562">
        <v>17.976023296503477</v>
      </c>
      <c r="D562">
        <v>11.039126825188614</v>
      </c>
      <c r="E562">
        <v>5.2570577394460631</v>
      </c>
      <c r="F562">
        <v>17.95077975290145</v>
      </c>
    </row>
    <row r="563" spans="1:6" x14ac:dyDescent="0.25">
      <c r="A563">
        <v>40767</v>
      </c>
      <c r="B563">
        <v>2011</v>
      </c>
      <c r="C563">
        <v>17.453324758135899</v>
      </c>
      <c r="D563">
        <v>11.039126825188614</v>
      </c>
      <c r="E563">
        <v>5.2570577394460631</v>
      </c>
      <c r="F563">
        <v>17.95077975290145</v>
      </c>
    </row>
    <row r="564" spans="1:6" x14ac:dyDescent="0.25">
      <c r="A564">
        <v>40760</v>
      </c>
      <c r="B564">
        <v>2011</v>
      </c>
      <c r="C564">
        <v>18.402593368044837</v>
      </c>
      <c r="D564">
        <v>11.039126825188614</v>
      </c>
      <c r="E564">
        <v>5.2570577394460631</v>
      </c>
      <c r="F564">
        <v>17.95077975290145</v>
      </c>
    </row>
    <row r="565" spans="1:6" x14ac:dyDescent="0.25">
      <c r="A565">
        <v>40753</v>
      </c>
      <c r="B565">
        <v>2011</v>
      </c>
      <c r="C565">
        <v>19.003396285708725</v>
      </c>
      <c r="D565">
        <v>11.039126825188614</v>
      </c>
      <c r="E565">
        <v>5.2570577394460631</v>
      </c>
      <c r="F565">
        <v>17.95077975290145</v>
      </c>
    </row>
    <row r="566" spans="1:6" x14ac:dyDescent="0.25">
      <c r="A566">
        <v>40746</v>
      </c>
      <c r="B566">
        <v>2011</v>
      </c>
      <c r="C566">
        <v>19.009404314885362</v>
      </c>
      <c r="D566">
        <v>11.039126825188614</v>
      </c>
      <c r="E566">
        <v>5.2570577394460631</v>
      </c>
      <c r="F566">
        <v>17.95077975290145</v>
      </c>
    </row>
    <row r="567" spans="1:6" x14ac:dyDescent="0.25">
      <c r="A567">
        <v>40739</v>
      </c>
      <c r="B567">
        <v>2011</v>
      </c>
      <c r="C567">
        <v>18.847187527116116</v>
      </c>
      <c r="D567">
        <v>11.039126825188614</v>
      </c>
      <c r="E567">
        <v>5.2570577394460631</v>
      </c>
      <c r="F567">
        <v>17.95077975290145</v>
      </c>
    </row>
    <row r="568" spans="1:6" x14ac:dyDescent="0.25">
      <c r="A568">
        <v>40732</v>
      </c>
      <c r="B568">
        <v>2011</v>
      </c>
      <c r="C568">
        <v>18.498721834871059</v>
      </c>
      <c r="D568">
        <v>11.039126825188614</v>
      </c>
      <c r="E568">
        <v>5.2570577394460631</v>
      </c>
      <c r="F568">
        <v>17.95077975290145</v>
      </c>
    </row>
    <row r="569" spans="1:6" x14ac:dyDescent="0.25">
      <c r="A569">
        <v>40725</v>
      </c>
      <c r="B569">
        <v>2011</v>
      </c>
      <c r="C569">
        <v>17.633565633435062</v>
      </c>
      <c r="D569">
        <v>11.039126825188614</v>
      </c>
      <c r="E569">
        <v>5.2570577394460631</v>
      </c>
      <c r="F569">
        <v>17.95077975290145</v>
      </c>
    </row>
    <row r="570" spans="1:6" x14ac:dyDescent="0.25">
      <c r="A570">
        <v>40718</v>
      </c>
      <c r="B570">
        <v>2011</v>
      </c>
      <c r="C570">
        <v>17.603525487551867</v>
      </c>
      <c r="D570">
        <v>11.039126825188614</v>
      </c>
      <c r="E570">
        <v>5.2570577394460631</v>
      </c>
      <c r="F570">
        <v>17.95077975290145</v>
      </c>
    </row>
    <row r="571" spans="1:6" x14ac:dyDescent="0.25">
      <c r="A571">
        <v>40711</v>
      </c>
      <c r="B571">
        <v>2011</v>
      </c>
      <c r="C571">
        <v>18.715010885230058</v>
      </c>
      <c r="D571">
        <v>11.039126825188614</v>
      </c>
      <c r="E571">
        <v>5.2570577394460631</v>
      </c>
      <c r="F571">
        <v>17.95077975290145</v>
      </c>
    </row>
    <row r="572" spans="1:6" x14ac:dyDescent="0.25">
      <c r="A572">
        <v>40704</v>
      </c>
      <c r="B572">
        <v>2011</v>
      </c>
      <c r="C572">
        <v>18.913275848059143</v>
      </c>
      <c r="D572">
        <v>11.039126825188614</v>
      </c>
      <c r="E572">
        <v>5.2570577394460631</v>
      </c>
      <c r="F572">
        <v>17.95077975290145</v>
      </c>
    </row>
    <row r="573" spans="1:6" x14ac:dyDescent="0.25">
      <c r="A573">
        <v>40697</v>
      </c>
      <c r="B573">
        <v>2011</v>
      </c>
      <c r="C573">
        <v>18.757067089466531</v>
      </c>
      <c r="D573">
        <v>11.039126825188614</v>
      </c>
      <c r="E573">
        <v>5.2570577394460631</v>
      </c>
      <c r="F573">
        <v>17.95077975290145</v>
      </c>
    </row>
    <row r="574" spans="1:6" x14ac:dyDescent="0.25">
      <c r="A574">
        <v>40690</v>
      </c>
      <c r="B574">
        <v>2011</v>
      </c>
      <c r="C574">
        <v>18.282432784512061</v>
      </c>
      <c r="D574">
        <v>11.039126825188614</v>
      </c>
      <c r="E574">
        <v>5.2570577394460631</v>
      </c>
      <c r="F574">
        <v>17.95077975290145</v>
      </c>
    </row>
    <row r="575" spans="1:6" x14ac:dyDescent="0.25">
      <c r="A575">
        <v>40683</v>
      </c>
      <c r="B575">
        <v>2011</v>
      </c>
      <c r="C575">
        <v>18.144248113449368</v>
      </c>
      <c r="D575">
        <v>11.039126825188614</v>
      </c>
      <c r="E575">
        <v>5.2570577394460631</v>
      </c>
      <c r="F575">
        <v>17.95077975290145</v>
      </c>
    </row>
    <row r="576" spans="1:6" x14ac:dyDescent="0.25">
      <c r="A576">
        <v>40676</v>
      </c>
      <c r="B576">
        <v>2011</v>
      </c>
      <c r="C576">
        <v>18.570818184990724</v>
      </c>
      <c r="D576">
        <v>11.039126825188614</v>
      </c>
      <c r="E576">
        <v>5.2570577394460631</v>
      </c>
      <c r="F576">
        <v>17.95077975290145</v>
      </c>
    </row>
    <row r="577" spans="1:6" x14ac:dyDescent="0.25">
      <c r="A577">
        <v>40669</v>
      </c>
      <c r="B577">
        <v>2011</v>
      </c>
      <c r="C577">
        <v>19.075492635828393</v>
      </c>
      <c r="D577">
        <v>11.039126825188614</v>
      </c>
      <c r="E577">
        <v>5.2570577394460631</v>
      </c>
      <c r="F577">
        <v>17.95077975290145</v>
      </c>
    </row>
    <row r="578" spans="1:6" x14ac:dyDescent="0.25">
      <c r="A578">
        <v>40662</v>
      </c>
      <c r="B578">
        <v>2011</v>
      </c>
      <c r="C578">
        <v>19.916616720557826</v>
      </c>
      <c r="D578">
        <v>11.039126825188614</v>
      </c>
      <c r="E578">
        <v>5.2570577394460631</v>
      </c>
      <c r="F578">
        <v>17.95077975290145</v>
      </c>
    </row>
    <row r="579" spans="1:6" x14ac:dyDescent="0.25">
      <c r="A579">
        <v>40655</v>
      </c>
      <c r="B579">
        <v>2011</v>
      </c>
      <c r="C579">
        <v>19.484038619839829</v>
      </c>
      <c r="D579">
        <v>11.039126825188614</v>
      </c>
      <c r="E579">
        <v>5.2570577394460631</v>
      </c>
      <c r="F579">
        <v>17.95077975290145</v>
      </c>
    </row>
    <row r="580" spans="1:6" x14ac:dyDescent="0.25">
      <c r="A580">
        <v>40648</v>
      </c>
      <c r="B580">
        <v>2011</v>
      </c>
      <c r="C580">
        <v>19.520086794899662</v>
      </c>
      <c r="D580">
        <v>11.039126825188614</v>
      </c>
      <c r="E580">
        <v>5.2570577394460631</v>
      </c>
      <c r="F580">
        <v>17.95077975290145</v>
      </c>
    </row>
    <row r="581" spans="1:6" x14ac:dyDescent="0.25">
      <c r="A581">
        <v>40641</v>
      </c>
      <c r="B581">
        <v>2011</v>
      </c>
      <c r="C581">
        <v>19.6342393492558</v>
      </c>
      <c r="D581">
        <v>11.039126825188614</v>
      </c>
      <c r="E581">
        <v>5.2570577394460631</v>
      </c>
      <c r="F581">
        <v>17.95077975290145</v>
      </c>
    </row>
    <row r="582" spans="1:6" x14ac:dyDescent="0.25">
      <c r="A582">
        <v>40634</v>
      </c>
      <c r="B582">
        <v>2011</v>
      </c>
      <c r="C582">
        <v>18.901259789705861</v>
      </c>
      <c r="D582">
        <v>11.039126825188614</v>
      </c>
      <c r="E582">
        <v>5.2570577394460631</v>
      </c>
      <c r="F582">
        <v>17.95077975290145</v>
      </c>
    </row>
    <row r="583" spans="1:6" x14ac:dyDescent="0.25">
      <c r="A583">
        <v>40627</v>
      </c>
      <c r="B583">
        <v>2011</v>
      </c>
      <c r="C583">
        <v>18.895251760529227</v>
      </c>
      <c r="D583">
        <v>11.039126825188614</v>
      </c>
      <c r="E583">
        <v>5.2570577394460631</v>
      </c>
      <c r="F583">
        <v>17.95077975290145</v>
      </c>
    </row>
    <row r="584" spans="1:6" x14ac:dyDescent="0.25">
      <c r="A584">
        <v>40620</v>
      </c>
      <c r="B584">
        <v>2011</v>
      </c>
      <c r="C584">
        <v>18.60686636005056</v>
      </c>
      <c r="D584">
        <v>11.039126825188614</v>
      </c>
      <c r="E584">
        <v>5.2570577394460631</v>
      </c>
      <c r="F584">
        <v>17.95077975290145</v>
      </c>
    </row>
    <row r="585" spans="1:6" x14ac:dyDescent="0.25">
      <c r="A585">
        <v>40613</v>
      </c>
      <c r="B585">
        <v>2011</v>
      </c>
      <c r="C585">
        <v>18.624890447580476</v>
      </c>
      <c r="D585">
        <v>11.039126825188614</v>
      </c>
      <c r="E585">
        <v>5.2570577394460631</v>
      </c>
      <c r="F585">
        <v>17.95077975290145</v>
      </c>
    </row>
    <row r="586" spans="1:6" x14ac:dyDescent="0.25">
      <c r="A586">
        <v>40606</v>
      </c>
      <c r="B586">
        <v>2011</v>
      </c>
      <c r="C586">
        <v>18.781099206173089</v>
      </c>
      <c r="D586">
        <v>11.039126825188614</v>
      </c>
      <c r="E586">
        <v>5.2570577394460631</v>
      </c>
      <c r="F586">
        <v>17.95077975290145</v>
      </c>
    </row>
    <row r="587" spans="1:6" x14ac:dyDescent="0.25">
      <c r="A587">
        <v>40599</v>
      </c>
      <c r="B587">
        <v>2011</v>
      </c>
      <c r="C587">
        <v>17.765742275321116</v>
      </c>
      <c r="D587">
        <v>11.039126825188614</v>
      </c>
      <c r="E587">
        <v>5.2570577394460631</v>
      </c>
      <c r="F587">
        <v>17.95077975290145</v>
      </c>
    </row>
    <row r="588" spans="1:6" x14ac:dyDescent="0.25">
      <c r="A588">
        <v>40592</v>
      </c>
      <c r="B588">
        <v>2011</v>
      </c>
      <c r="C588">
        <v>16.918610161415035</v>
      </c>
      <c r="D588">
        <v>11.039126825188614</v>
      </c>
      <c r="E588">
        <v>5.2570577394460631</v>
      </c>
      <c r="F588">
        <v>17.95077975290145</v>
      </c>
    </row>
    <row r="589" spans="1:6" x14ac:dyDescent="0.25">
      <c r="A589">
        <v>40585</v>
      </c>
      <c r="B589">
        <v>2011</v>
      </c>
      <c r="C589">
        <v>16.714337169409319</v>
      </c>
      <c r="D589">
        <v>11.039126825188614</v>
      </c>
      <c r="E589">
        <v>5.2570577394460631</v>
      </c>
      <c r="F589">
        <v>17.95077975290145</v>
      </c>
    </row>
    <row r="590" spans="1:6" x14ac:dyDescent="0.25">
      <c r="A590">
        <v>40578</v>
      </c>
      <c r="B590">
        <v>2011</v>
      </c>
      <c r="C590">
        <v>16.66026490681957</v>
      </c>
      <c r="D590">
        <v>11.039126825188614</v>
      </c>
      <c r="E590">
        <v>5.2570577394460631</v>
      </c>
      <c r="F590">
        <v>17.95077975290145</v>
      </c>
    </row>
    <row r="591" spans="1:6" x14ac:dyDescent="0.25">
      <c r="A591">
        <v>40571</v>
      </c>
      <c r="B591">
        <v>2011</v>
      </c>
      <c r="C591">
        <v>16.035429872449129</v>
      </c>
      <c r="D591">
        <v>11.039126825188614</v>
      </c>
      <c r="E591">
        <v>5.2570577394460631</v>
      </c>
      <c r="F591">
        <v>17.95077975290145</v>
      </c>
    </row>
    <row r="592" spans="1:6" x14ac:dyDescent="0.25">
      <c r="A592">
        <v>40564</v>
      </c>
      <c r="B592">
        <v>2011</v>
      </c>
      <c r="C592">
        <v>15.975349580682735</v>
      </c>
      <c r="D592">
        <v>11.039126825188614</v>
      </c>
      <c r="E592">
        <v>5.2570577394460631</v>
      </c>
      <c r="F592">
        <v>17.95077975290145</v>
      </c>
    </row>
    <row r="593" spans="1:6" x14ac:dyDescent="0.25">
      <c r="A593">
        <v>40557</v>
      </c>
      <c r="B593">
        <v>2011</v>
      </c>
      <c r="C593">
        <v>15.74704447197046</v>
      </c>
      <c r="D593">
        <v>11.039126825188614</v>
      </c>
      <c r="E593">
        <v>5.2570577394460631</v>
      </c>
      <c r="F593">
        <v>17.95077975290145</v>
      </c>
    </row>
    <row r="594" spans="1:6" x14ac:dyDescent="0.25">
      <c r="A594">
        <v>40550</v>
      </c>
      <c r="B594">
        <v>2011</v>
      </c>
      <c r="C594">
        <v>15.080153233363545</v>
      </c>
      <c r="D594">
        <v>11.039126825188614</v>
      </c>
      <c r="E594">
        <v>5.2570577394460631</v>
      </c>
      <c r="F594">
        <v>17.95077975290145</v>
      </c>
    </row>
    <row r="595" spans="1:6" x14ac:dyDescent="0.25">
      <c r="A595">
        <v>40543</v>
      </c>
      <c r="B595">
        <v>2010</v>
      </c>
      <c r="C595">
        <v>16.151875449321118</v>
      </c>
      <c r="D595">
        <v>11.039126825188614</v>
      </c>
      <c r="E595">
        <v>5.2570577394460631</v>
      </c>
      <c r="F595">
        <v>17.95077975290145</v>
      </c>
    </row>
    <row r="596" spans="1:6" x14ac:dyDescent="0.25">
      <c r="A596">
        <v>40536</v>
      </c>
      <c r="B596">
        <v>2010</v>
      </c>
      <c r="C596">
        <v>16.048213192125313</v>
      </c>
      <c r="D596">
        <v>11.039126825188614</v>
      </c>
      <c r="E596">
        <v>5.2570577394460631</v>
      </c>
      <c r="F596">
        <v>17.95077975290145</v>
      </c>
    </row>
    <row r="597" spans="1:6" x14ac:dyDescent="0.25">
      <c r="A597">
        <v>40529</v>
      </c>
      <c r="B597">
        <v>2010</v>
      </c>
      <c r="C597">
        <v>15.840888677733707</v>
      </c>
      <c r="D597">
        <v>11.039126825188614</v>
      </c>
      <c r="E597">
        <v>5.2570577394460631</v>
      </c>
      <c r="F597">
        <v>17.95077975290145</v>
      </c>
    </row>
    <row r="598" spans="1:6" x14ac:dyDescent="0.25">
      <c r="A598">
        <v>40522</v>
      </c>
      <c r="B598">
        <v>2010</v>
      </c>
      <c r="C598">
        <v>15.698353074089477</v>
      </c>
      <c r="D598">
        <v>11.039126825188614</v>
      </c>
      <c r="E598">
        <v>5.2570577394460631</v>
      </c>
      <c r="F598">
        <v>17.95077975290145</v>
      </c>
    </row>
    <row r="599" spans="1:6" x14ac:dyDescent="0.25">
      <c r="A599">
        <v>40515</v>
      </c>
      <c r="B599">
        <v>2010</v>
      </c>
      <c r="C599">
        <v>15.432718540025233</v>
      </c>
      <c r="D599">
        <v>11.039126825188614</v>
      </c>
      <c r="E599">
        <v>5.2570577394460631</v>
      </c>
      <c r="F599">
        <v>17.95077975290145</v>
      </c>
    </row>
    <row r="600" spans="1:6" x14ac:dyDescent="0.25">
      <c r="A600">
        <v>40508</v>
      </c>
      <c r="B600">
        <v>2010</v>
      </c>
      <c r="C600">
        <v>14.862576125448314</v>
      </c>
      <c r="D600">
        <v>11.039126825188614</v>
      </c>
      <c r="E600">
        <v>5.2570577394460631</v>
      </c>
      <c r="F600">
        <v>17.95077975290145</v>
      </c>
    </row>
    <row r="601" spans="1:6" x14ac:dyDescent="0.25">
      <c r="A601">
        <v>40501</v>
      </c>
      <c r="B601">
        <v>2010</v>
      </c>
      <c r="C601">
        <v>14.81074499685041</v>
      </c>
      <c r="D601">
        <v>11.039126825188614</v>
      </c>
      <c r="E601">
        <v>5.2570577394460631</v>
      </c>
      <c r="F601">
        <v>17.95077975290145</v>
      </c>
    </row>
    <row r="602" spans="1:6" x14ac:dyDescent="0.25">
      <c r="A602">
        <v>40494</v>
      </c>
      <c r="B602">
        <v>2010</v>
      </c>
      <c r="C602">
        <v>15.497507450772611</v>
      </c>
      <c r="D602">
        <v>11.039126825188614</v>
      </c>
      <c r="E602">
        <v>5.2570577394460631</v>
      </c>
      <c r="F602">
        <v>17.95077975290145</v>
      </c>
    </row>
    <row r="603" spans="1:6" x14ac:dyDescent="0.25">
      <c r="A603">
        <v>40487</v>
      </c>
      <c r="B603">
        <v>2010</v>
      </c>
      <c r="C603">
        <v>14.979196164793589</v>
      </c>
      <c r="D603">
        <v>11.039126825188614</v>
      </c>
      <c r="E603">
        <v>5.2570577394460631</v>
      </c>
      <c r="F603">
        <v>17.95077975290145</v>
      </c>
    </row>
    <row r="604" spans="1:6" x14ac:dyDescent="0.25">
      <c r="A604">
        <v>40480</v>
      </c>
      <c r="B604">
        <v>2010</v>
      </c>
      <c r="C604">
        <v>14.551589353860905</v>
      </c>
      <c r="D604">
        <v>11.039126825188614</v>
      </c>
      <c r="E604">
        <v>5.2570577394460631</v>
      </c>
      <c r="F604">
        <v>17.95077975290145</v>
      </c>
    </row>
    <row r="605" spans="1:6" x14ac:dyDescent="0.25">
      <c r="A605">
        <v>40473</v>
      </c>
      <c r="B605">
        <v>2010</v>
      </c>
      <c r="C605">
        <v>14.447927096665097</v>
      </c>
      <c r="D605">
        <v>11.039126825188614</v>
      </c>
      <c r="E605">
        <v>5.2570577394460631</v>
      </c>
      <c r="F605">
        <v>17.95077975290145</v>
      </c>
    </row>
    <row r="606" spans="1:6" x14ac:dyDescent="0.25">
      <c r="A606">
        <v>40466</v>
      </c>
      <c r="B606">
        <v>2010</v>
      </c>
      <c r="C606">
        <v>14.577504918159851</v>
      </c>
      <c r="D606">
        <v>11.039126825188614</v>
      </c>
      <c r="E606">
        <v>5.2570577394460631</v>
      </c>
      <c r="F606">
        <v>17.95077975290145</v>
      </c>
    </row>
    <row r="607" spans="1:6" x14ac:dyDescent="0.25">
      <c r="A607">
        <v>40459</v>
      </c>
      <c r="B607">
        <v>2010</v>
      </c>
      <c r="C607">
        <v>14.655251611056705</v>
      </c>
      <c r="D607">
        <v>11.039126825188614</v>
      </c>
      <c r="E607">
        <v>5.2570577394460631</v>
      </c>
      <c r="F607">
        <v>17.95077975290145</v>
      </c>
    </row>
    <row r="608" spans="1:6" x14ac:dyDescent="0.25">
      <c r="A608">
        <v>40452</v>
      </c>
      <c r="B608">
        <v>2010</v>
      </c>
      <c r="C608">
        <v>14.214687017974541</v>
      </c>
      <c r="D608">
        <v>11.039126825188614</v>
      </c>
      <c r="E608">
        <v>5.2570577394460631</v>
      </c>
      <c r="F608">
        <v>17.95077975290145</v>
      </c>
    </row>
    <row r="609" spans="1:6" x14ac:dyDescent="0.25">
      <c r="A609">
        <v>40445</v>
      </c>
      <c r="B609">
        <v>2010</v>
      </c>
      <c r="C609">
        <v>13.702854623070264</v>
      </c>
      <c r="D609">
        <v>11.039126825188614</v>
      </c>
      <c r="E609">
        <v>5.2570577394460631</v>
      </c>
      <c r="F609">
        <v>17.95077975290145</v>
      </c>
    </row>
    <row r="610" spans="1:6" x14ac:dyDescent="0.25">
      <c r="A610">
        <v>40438</v>
      </c>
      <c r="B610">
        <v>2010</v>
      </c>
      <c r="C610">
        <v>13.702854623070264</v>
      </c>
      <c r="D610">
        <v>11.039126825188614</v>
      </c>
      <c r="E610">
        <v>5.2570577394460631</v>
      </c>
      <c r="F610">
        <v>17.95077975290145</v>
      </c>
    </row>
    <row r="611" spans="1:6" x14ac:dyDescent="0.25">
      <c r="A611">
        <v>40431</v>
      </c>
      <c r="B611">
        <v>2010</v>
      </c>
      <c r="C611">
        <v>13.527924564052345</v>
      </c>
      <c r="D611">
        <v>11.039126825188614</v>
      </c>
      <c r="E611">
        <v>5.2570577394460631</v>
      </c>
      <c r="F611">
        <v>17.95077975290145</v>
      </c>
    </row>
    <row r="612" spans="1:6" x14ac:dyDescent="0.25">
      <c r="A612">
        <v>40424</v>
      </c>
      <c r="B612">
        <v>2010</v>
      </c>
      <c r="C612">
        <v>13.281726703212311</v>
      </c>
      <c r="D612">
        <v>11.039126825188614</v>
      </c>
      <c r="E612">
        <v>5.2570577394460631</v>
      </c>
      <c r="F612">
        <v>17.95077975290145</v>
      </c>
    </row>
    <row r="613" spans="1:6" x14ac:dyDescent="0.25">
      <c r="A613">
        <v>40417</v>
      </c>
      <c r="B613">
        <v>2010</v>
      </c>
      <c r="C613">
        <v>13.171585554941769</v>
      </c>
      <c r="D613">
        <v>11.039126825188614</v>
      </c>
      <c r="E613">
        <v>5.2570577394460631</v>
      </c>
      <c r="F613">
        <v>17.95077975290145</v>
      </c>
    </row>
    <row r="614" spans="1:6" x14ac:dyDescent="0.25">
      <c r="A614">
        <v>40410</v>
      </c>
      <c r="B614">
        <v>2010</v>
      </c>
      <c r="C614">
        <v>13.288205594287048</v>
      </c>
      <c r="D614">
        <v>11.039126825188614</v>
      </c>
      <c r="E614">
        <v>5.2570577394460631</v>
      </c>
      <c r="F614">
        <v>17.95077975290145</v>
      </c>
    </row>
    <row r="615" spans="1:6" x14ac:dyDescent="0.25">
      <c r="A615">
        <v>40403</v>
      </c>
      <c r="B615">
        <v>2010</v>
      </c>
      <c r="C615">
        <v>13.547361237276558</v>
      </c>
      <c r="D615">
        <v>11.039126825188614</v>
      </c>
      <c r="E615">
        <v>5.2570577394460631</v>
      </c>
      <c r="F615">
        <v>17.95077975290145</v>
      </c>
    </row>
    <row r="616" spans="1:6" x14ac:dyDescent="0.25">
      <c r="A616">
        <v>40396</v>
      </c>
      <c r="B616">
        <v>2010</v>
      </c>
      <c r="C616">
        <v>14.111024760778736</v>
      </c>
      <c r="D616">
        <v>11.039126825188614</v>
      </c>
      <c r="E616">
        <v>5.2570577394460631</v>
      </c>
      <c r="F616">
        <v>17.95077975290145</v>
      </c>
    </row>
    <row r="617" spans="1:6" x14ac:dyDescent="0.25">
      <c r="A617">
        <v>40389</v>
      </c>
      <c r="B617">
        <v>2010</v>
      </c>
      <c r="C617">
        <v>13.242853356763886</v>
      </c>
      <c r="D617">
        <v>11.039126825188614</v>
      </c>
      <c r="E617">
        <v>5.2570577394460631</v>
      </c>
      <c r="F617">
        <v>17.95077975290145</v>
      </c>
    </row>
    <row r="618" spans="1:6" x14ac:dyDescent="0.25">
      <c r="A618">
        <v>40382</v>
      </c>
      <c r="B618">
        <v>2010</v>
      </c>
      <c r="C618">
        <v>13.24933224783862</v>
      </c>
      <c r="D618">
        <v>11.039126825188614</v>
      </c>
      <c r="E618">
        <v>5.2570577394460631</v>
      </c>
      <c r="F618">
        <v>17.95077975290145</v>
      </c>
    </row>
    <row r="619" spans="1:6" x14ac:dyDescent="0.25">
      <c r="A619">
        <v>40375</v>
      </c>
      <c r="B619">
        <v>2010</v>
      </c>
      <c r="C619">
        <v>13.178064446016508</v>
      </c>
      <c r="D619">
        <v>11.039126825188614</v>
      </c>
      <c r="E619">
        <v>5.2570577394460631</v>
      </c>
      <c r="F619">
        <v>17.95077975290145</v>
      </c>
    </row>
    <row r="620" spans="1:6" x14ac:dyDescent="0.25">
      <c r="A620">
        <v>40368</v>
      </c>
      <c r="B620">
        <v>2010</v>
      </c>
      <c r="C620">
        <v>12.912429911952259</v>
      </c>
      <c r="D620">
        <v>11.039126825188614</v>
      </c>
      <c r="E620">
        <v>5.2570577394460631</v>
      </c>
      <c r="F620">
        <v>17.95077975290145</v>
      </c>
    </row>
    <row r="621" spans="1:6" x14ac:dyDescent="0.25">
      <c r="A621">
        <v>40361</v>
      </c>
      <c r="B621">
        <v>2010</v>
      </c>
      <c r="C621">
        <v>12.880035456578572</v>
      </c>
      <c r="D621">
        <v>11.039126825188614</v>
      </c>
      <c r="E621">
        <v>5.2570577394460631</v>
      </c>
      <c r="F621">
        <v>17.95077975290145</v>
      </c>
    </row>
    <row r="622" spans="1:6" x14ac:dyDescent="0.25">
      <c r="A622">
        <v>40354</v>
      </c>
      <c r="B622">
        <v>2010</v>
      </c>
      <c r="C622">
        <v>13.579755692650243</v>
      </c>
      <c r="D622">
        <v>11.039126825188614</v>
      </c>
      <c r="E622">
        <v>5.2570577394460631</v>
      </c>
      <c r="F622">
        <v>17.95077975290145</v>
      </c>
    </row>
    <row r="623" spans="1:6" x14ac:dyDescent="0.25">
      <c r="A623">
        <v>40347</v>
      </c>
      <c r="B623">
        <v>2010</v>
      </c>
      <c r="C623">
        <v>13.644544603397621</v>
      </c>
      <c r="D623">
        <v>11.039126825188614</v>
      </c>
      <c r="E623">
        <v>5.2570577394460631</v>
      </c>
      <c r="F623">
        <v>17.95077975290145</v>
      </c>
    </row>
    <row r="624" spans="1:6" x14ac:dyDescent="0.25">
      <c r="A624">
        <v>40340</v>
      </c>
      <c r="B624">
        <v>2010</v>
      </c>
      <c r="C624">
        <v>13.054965515596489</v>
      </c>
      <c r="D624">
        <v>11.039126825188614</v>
      </c>
      <c r="E624">
        <v>5.2570577394460631</v>
      </c>
      <c r="F624">
        <v>17.95077975290145</v>
      </c>
    </row>
    <row r="625" spans="1:6" x14ac:dyDescent="0.25">
      <c r="A625">
        <v>40333</v>
      </c>
      <c r="B625">
        <v>2010</v>
      </c>
      <c r="C625">
        <v>13.061444406671228</v>
      </c>
      <c r="D625">
        <v>11.039126825188614</v>
      </c>
      <c r="E625">
        <v>5.2570577394460631</v>
      </c>
      <c r="F625">
        <v>17.95077975290145</v>
      </c>
    </row>
    <row r="626" spans="1:6" x14ac:dyDescent="0.25">
      <c r="A626">
        <v>40326</v>
      </c>
      <c r="B626">
        <v>2010</v>
      </c>
      <c r="C626">
        <v>12.78285209045751</v>
      </c>
      <c r="D626">
        <v>11.039126825188614</v>
      </c>
      <c r="E626">
        <v>5.2570577394460631</v>
      </c>
      <c r="F626">
        <v>17.95077975290145</v>
      </c>
    </row>
    <row r="627" spans="1:6" x14ac:dyDescent="0.25">
      <c r="A627">
        <v>40319</v>
      </c>
      <c r="B627">
        <v>2010</v>
      </c>
      <c r="C627">
        <v>12.666232051112228</v>
      </c>
      <c r="D627">
        <v>11.039126825188614</v>
      </c>
      <c r="E627">
        <v>5.2570577394460631</v>
      </c>
      <c r="F627">
        <v>17.95077975290145</v>
      </c>
    </row>
    <row r="628" spans="1:6" x14ac:dyDescent="0.25">
      <c r="A628">
        <v>40312</v>
      </c>
      <c r="B628">
        <v>2010</v>
      </c>
      <c r="C628">
        <v>13.774122424892376</v>
      </c>
      <c r="D628">
        <v>11.039126825188614</v>
      </c>
      <c r="E628">
        <v>5.2570577394460631</v>
      </c>
      <c r="F628">
        <v>17.95077975290145</v>
      </c>
    </row>
    <row r="629" spans="1:6" x14ac:dyDescent="0.25">
      <c r="A629">
        <v>40305</v>
      </c>
      <c r="B629">
        <v>2010</v>
      </c>
      <c r="C629">
        <v>14.240602582273493</v>
      </c>
      <c r="D629">
        <v>11.039126825188614</v>
      </c>
      <c r="E629">
        <v>5.2570577394460631</v>
      </c>
      <c r="F629">
        <v>17.95077975290145</v>
      </c>
    </row>
    <row r="630" spans="1:6" x14ac:dyDescent="0.25">
      <c r="A630">
        <v>40298</v>
      </c>
      <c r="B630">
        <v>2010</v>
      </c>
      <c r="C630">
        <v>14.67468828428092</v>
      </c>
      <c r="D630">
        <v>11.039126825188614</v>
      </c>
      <c r="E630">
        <v>5.2570577394460631</v>
      </c>
      <c r="F630">
        <v>17.95077975290145</v>
      </c>
    </row>
    <row r="631" spans="1:6" x14ac:dyDescent="0.25">
      <c r="A631">
        <v>40291</v>
      </c>
      <c r="B631">
        <v>2010</v>
      </c>
      <c r="C631">
        <v>14.292433710871393</v>
      </c>
      <c r="D631">
        <v>11.039126825188614</v>
      </c>
      <c r="E631">
        <v>5.2570577394460631</v>
      </c>
      <c r="F631">
        <v>17.95077975290145</v>
      </c>
    </row>
    <row r="632" spans="1:6" x14ac:dyDescent="0.25">
      <c r="A632">
        <v>40284</v>
      </c>
      <c r="B632">
        <v>2010</v>
      </c>
      <c r="C632">
        <v>14.493279334188264</v>
      </c>
      <c r="D632">
        <v>11.039126825188614</v>
      </c>
      <c r="E632">
        <v>5.2570577394460631</v>
      </c>
      <c r="F632">
        <v>17.95077975290145</v>
      </c>
    </row>
    <row r="633" spans="1:6" x14ac:dyDescent="0.25">
      <c r="A633">
        <v>40277</v>
      </c>
      <c r="B633">
        <v>2010</v>
      </c>
      <c r="C633">
        <v>14.661730502131441</v>
      </c>
      <c r="D633">
        <v>11.039126825188614</v>
      </c>
      <c r="E633">
        <v>5.2570577394460631</v>
      </c>
      <c r="F633">
        <v>17.95077975290145</v>
      </c>
    </row>
    <row r="634" spans="1:6" x14ac:dyDescent="0.25">
      <c r="A634">
        <v>40270</v>
      </c>
      <c r="B634">
        <v>2010</v>
      </c>
      <c r="C634">
        <v>14.136940325077687</v>
      </c>
      <c r="D634">
        <v>11.039126825188614</v>
      </c>
      <c r="E634">
        <v>5.2570577394460631</v>
      </c>
      <c r="F634">
        <v>17.95077975290145</v>
      </c>
    </row>
    <row r="635" spans="1:6" x14ac:dyDescent="0.25">
      <c r="A635">
        <v>40263</v>
      </c>
      <c r="B635">
        <v>2010</v>
      </c>
      <c r="C635">
        <v>13.566797910500769</v>
      </c>
      <c r="D635">
        <v>11.039126825188614</v>
      </c>
      <c r="E635">
        <v>5.2570577394460631</v>
      </c>
      <c r="F635">
        <v>17.95077975290145</v>
      </c>
    </row>
    <row r="636" spans="1:6" x14ac:dyDescent="0.25">
      <c r="A636">
        <v>40256</v>
      </c>
      <c r="B636">
        <v>2010</v>
      </c>
      <c r="C636">
        <v>13.631586821248149</v>
      </c>
      <c r="D636">
        <v>11.039126825188614</v>
      </c>
      <c r="E636">
        <v>5.2570577394460631</v>
      </c>
      <c r="F636">
        <v>17.95077975290145</v>
      </c>
    </row>
    <row r="637" spans="1:6" x14ac:dyDescent="0.25">
      <c r="A637">
        <v>40249</v>
      </c>
      <c r="B637">
        <v>2010</v>
      </c>
      <c r="C637">
        <v>13.683417949846051</v>
      </c>
      <c r="D637">
        <v>11.039126825188614</v>
      </c>
      <c r="E637">
        <v>5.2570577394460631</v>
      </c>
      <c r="F637">
        <v>17.95077975290145</v>
      </c>
    </row>
    <row r="638" spans="1:6" x14ac:dyDescent="0.25">
      <c r="A638">
        <v>40242</v>
      </c>
      <c r="B638">
        <v>2010</v>
      </c>
      <c r="C638">
        <v>13.547361237276558</v>
      </c>
      <c r="D638">
        <v>11.039126825188614</v>
      </c>
      <c r="E638">
        <v>5.2570577394460631</v>
      </c>
      <c r="F638">
        <v>17.95077975290145</v>
      </c>
    </row>
    <row r="639" spans="1:6" x14ac:dyDescent="0.25">
      <c r="A639">
        <v>40235</v>
      </c>
      <c r="B639">
        <v>2010</v>
      </c>
      <c r="C639">
        <v>13.281726703212311</v>
      </c>
      <c r="D639">
        <v>11.039126825188614</v>
      </c>
      <c r="E639">
        <v>5.2570577394460631</v>
      </c>
      <c r="F639">
        <v>17.95077975290145</v>
      </c>
    </row>
    <row r="640" spans="1:6" x14ac:dyDescent="0.25">
      <c r="A640">
        <v>40228</v>
      </c>
      <c r="B640">
        <v>2010</v>
      </c>
      <c r="C640">
        <v>13.158627772792297</v>
      </c>
      <c r="D640">
        <v>11.039126825188614</v>
      </c>
      <c r="E640">
        <v>5.2570577394460631</v>
      </c>
      <c r="F640">
        <v>17.95077975290145</v>
      </c>
    </row>
    <row r="641" spans="1:6" x14ac:dyDescent="0.25">
      <c r="A641">
        <v>40221</v>
      </c>
      <c r="B641">
        <v>2010</v>
      </c>
      <c r="C641">
        <v>12.497780883169048</v>
      </c>
      <c r="D641">
        <v>11.039126825188614</v>
      </c>
      <c r="E641">
        <v>5.2570577394460631</v>
      </c>
      <c r="F641">
        <v>17.95077975290145</v>
      </c>
    </row>
    <row r="642" spans="1:6" x14ac:dyDescent="0.25">
      <c r="A642">
        <v>40214</v>
      </c>
      <c r="B642">
        <v>2010</v>
      </c>
      <c r="C642">
        <v>12.672710942186965</v>
      </c>
      <c r="D642">
        <v>11.039126825188614</v>
      </c>
      <c r="E642">
        <v>5.2570577394460631</v>
      </c>
      <c r="F642">
        <v>17.95077975290145</v>
      </c>
    </row>
    <row r="643" spans="1:6" x14ac:dyDescent="0.25">
      <c r="A643">
        <v>40207</v>
      </c>
      <c r="B643">
        <v>2010</v>
      </c>
      <c r="C643">
        <v>12.556090902841687</v>
      </c>
      <c r="D643">
        <v>11.039126825188614</v>
      </c>
      <c r="E643">
        <v>5.2570577394460631</v>
      </c>
      <c r="F643">
        <v>17.95077975290145</v>
      </c>
    </row>
    <row r="644" spans="1:6" x14ac:dyDescent="0.25">
      <c r="A644">
        <v>40200</v>
      </c>
      <c r="B644">
        <v>2010</v>
      </c>
      <c r="C644">
        <v>12.918908803027</v>
      </c>
      <c r="D644">
        <v>11.039126825188614</v>
      </c>
      <c r="E644">
        <v>5.2570577394460631</v>
      </c>
      <c r="F644">
        <v>17.95077975290145</v>
      </c>
    </row>
    <row r="645" spans="1:6" x14ac:dyDescent="0.25">
      <c r="A645">
        <v>40193</v>
      </c>
      <c r="B645">
        <v>2010</v>
      </c>
      <c r="C645">
        <v>13.579755692650243</v>
      </c>
      <c r="D645">
        <v>11.039126825188614</v>
      </c>
      <c r="E645">
        <v>5.2570577394460631</v>
      </c>
      <c r="F645">
        <v>17.95077975290145</v>
      </c>
    </row>
    <row r="646" spans="1:6" x14ac:dyDescent="0.25">
      <c r="A646">
        <v>40186</v>
      </c>
      <c r="B646">
        <v>2010</v>
      </c>
      <c r="C646">
        <v>14.059193632180834</v>
      </c>
      <c r="D646">
        <v>11.039126825188614</v>
      </c>
      <c r="E646">
        <v>5.2570577394460631</v>
      </c>
      <c r="F646">
        <v>17.95077975290145</v>
      </c>
    </row>
    <row r="647" spans="1:6" x14ac:dyDescent="0.25">
      <c r="A647">
        <v>40179</v>
      </c>
      <c r="B647">
        <v>2010</v>
      </c>
      <c r="C647">
        <v>13.437220089006013</v>
      </c>
      <c r="D647">
        <v>11.039126825188614</v>
      </c>
      <c r="E647">
        <v>5.2570577394460631</v>
      </c>
      <c r="F647">
        <v>17.95077975290145</v>
      </c>
    </row>
    <row r="648" spans="1:6" x14ac:dyDescent="0.25">
      <c r="A648">
        <v>40172</v>
      </c>
      <c r="B648">
        <v>2009</v>
      </c>
      <c r="C648">
        <v>12.266055904661787</v>
      </c>
      <c r="D648">
        <v>11.039126825188614</v>
      </c>
      <c r="E648">
        <v>5.2570577394460631</v>
      </c>
      <c r="F648">
        <v>17.95077975290145</v>
      </c>
    </row>
    <row r="649" spans="1:6" x14ac:dyDescent="0.25">
      <c r="A649">
        <v>40165</v>
      </c>
      <c r="B649">
        <v>2009</v>
      </c>
      <c r="C649">
        <v>12.159666644264211</v>
      </c>
      <c r="D649">
        <v>11.039126825188614</v>
      </c>
      <c r="E649">
        <v>5.2570577394460631</v>
      </c>
      <c r="F649">
        <v>17.95077975290145</v>
      </c>
    </row>
    <row r="650" spans="1:6" x14ac:dyDescent="0.25">
      <c r="A650">
        <v>40158</v>
      </c>
      <c r="B650">
        <v>2009</v>
      </c>
      <c r="C650">
        <v>12.097084726383283</v>
      </c>
      <c r="D650">
        <v>11.039126825188614</v>
      </c>
      <c r="E650">
        <v>5.2570577394460631</v>
      </c>
      <c r="F650">
        <v>17.95077975290145</v>
      </c>
    </row>
    <row r="651" spans="1:6" x14ac:dyDescent="0.25">
      <c r="A651">
        <v>40151</v>
      </c>
      <c r="B651">
        <v>2009</v>
      </c>
      <c r="C651">
        <v>12.55393272691405</v>
      </c>
      <c r="D651">
        <v>11.039126825188614</v>
      </c>
      <c r="E651">
        <v>5.2570577394460631</v>
      </c>
      <c r="F651">
        <v>17.95077975290145</v>
      </c>
    </row>
    <row r="652" spans="1:6" x14ac:dyDescent="0.25">
      <c r="A652">
        <v>40144</v>
      </c>
      <c r="B652">
        <v>2009</v>
      </c>
      <c r="C652">
        <v>12.284830480026065</v>
      </c>
      <c r="D652">
        <v>11.039126825188614</v>
      </c>
      <c r="E652">
        <v>5.2570577394460631</v>
      </c>
      <c r="F652">
        <v>17.95077975290145</v>
      </c>
    </row>
    <row r="653" spans="1:6" x14ac:dyDescent="0.25">
      <c r="A653">
        <v>40137</v>
      </c>
      <c r="B653">
        <v>2009</v>
      </c>
      <c r="C653">
        <v>12.510125384397405</v>
      </c>
      <c r="D653">
        <v>11.039126825188614</v>
      </c>
      <c r="E653">
        <v>5.2570577394460631</v>
      </c>
      <c r="F653">
        <v>17.95077975290145</v>
      </c>
    </row>
    <row r="654" spans="1:6" x14ac:dyDescent="0.25">
      <c r="A654">
        <v>40130</v>
      </c>
      <c r="B654">
        <v>2009</v>
      </c>
      <c r="C654">
        <v>12.341154206118899</v>
      </c>
      <c r="D654">
        <v>11.039126825188614</v>
      </c>
      <c r="E654">
        <v>5.2570577394460631</v>
      </c>
      <c r="F654">
        <v>17.95077975290145</v>
      </c>
    </row>
    <row r="655" spans="1:6" x14ac:dyDescent="0.25">
      <c r="A655">
        <v>40123</v>
      </c>
      <c r="B655">
        <v>2009</v>
      </c>
      <c r="C655">
        <v>12.528899959761681</v>
      </c>
      <c r="D655">
        <v>11.039126825188614</v>
      </c>
      <c r="E655">
        <v>5.2570577394460631</v>
      </c>
      <c r="F655">
        <v>17.95077975290145</v>
      </c>
    </row>
    <row r="656" spans="1:6" x14ac:dyDescent="0.25">
      <c r="A656">
        <v>40116</v>
      </c>
      <c r="B656">
        <v>2009</v>
      </c>
      <c r="C656">
        <v>12.610256453006887</v>
      </c>
      <c r="D656">
        <v>11.039126825188614</v>
      </c>
      <c r="E656">
        <v>5.2570577394460631</v>
      </c>
      <c r="F656">
        <v>17.95077975290145</v>
      </c>
    </row>
    <row r="657" spans="1:6" x14ac:dyDescent="0.25">
      <c r="A657">
        <v>40109</v>
      </c>
      <c r="B657">
        <v>2009</v>
      </c>
      <c r="C657">
        <v>12.854325932742505</v>
      </c>
      <c r="D657">
        <v>11.039126825188614</v>
      </c>
      <c r="E657">
        <v>5.2570577394460631</v>
      </c>
      <c r="F657">
        <v>17.95077975290145</v>
      </c>
    </row>
    <row r="658" spans="1:6" x14ac:dyDescent="0.25">
      <c r="A658">
        <v>40102</v>
      </c>
      <c r="B658">
        <v>2009</v>
      </c>
      <c r="C658">
        <v>12.203473986780859</v>
      </c>
      <c r="D658">
        <v>11.039126825188614</v>
      </c>
      <c r="E658">
        <v>5.2570577394460631</v>
      </c>
      <c r="F658">
        <v>17.95077975290145</v>
      </c>
    </row>
    <row r="659" spans="1:6" x14ac:dyDescent="0.25">
      <c r="A659">
        <v>40095</v>
      </c>
      <c r="B659">
        <v>2009</v>
      </c>
      <c r="C659">
        <v>11.339843520024061</v>
      </c>
      <c r="D659">
        <v>11.039126825188614</v>
      </c>
      <c r="E659">
        <v>5.2570577394460631</v>
      </c>
      <c r="F659">
        <v>17.95077975290145</v>
      </c>
    </row>
    <row r="660" spans="1:6" x14ac:dyDescent="0.25">
      <c r="A660">
        <v>40088</v>
      </c>
      <c r="B660">
        <v>2009</v>
      </c>
      <c r="C660">
        <v>10.976868396314678</v>
      </c>
      <c r="D660">
        <v>11.039126825188614</v>
      </c>
      <c r="E660">
        <v>5.2570577394460631</v>
      </c>
      <c r="F660">
        <v>17.95077975290145</v>
      </c>
    </row>
    <row r="661" spans="1:6" x14ac:dyDescent="0.25">
      <c r="A661">
        <v>40081</v>
      </c>
      <c r="B661">
        <v>2009</v>
      </c>
      <c r="C661">
        <v>10.945577437374217</v>
      </c>
      <c r="D661">
        <v>11.039126825188614</v>
      </c>
      <c r="E661">
        <v>5.2570577394460631</v>
      </c>
      <c r="F661">
        <v>17.95077975290145</v>
      </c>
    </row>
    <row r="662" spans="1:6" x14ac:dyDescent="0.25">
      <c r="A662">
        <v>40074</v>
      </c>
      <c r="B662">
        <v>2009</v>
      </c>
      <c r="C662">
        <v>11.170872341745556</v>
      </c>
      <c r="D662">
        <v>11.039126825188614</v>
      </c>
      <c r="E662">
        <v>5.2570577394460631</v>
      </c>
      <c r="F662">
        <v>17.95077975290145</v>
      </c>
    </row>
    <row r="663" spans="1:6" x14ac:dyDescent="0.25">
      <c r="A663">
        <v>40067</v>
      </c>
      <c r="B663">
        <v>2009</v>
      </c>
      <c r="C663">
        <v>10.914286478433752</v>
      </c>
      <c r="D663">
        <v>11.039126825188614</v>
      </c>
      <c r="E663">
        <v>5.2570577394460631</v>
      </c>
      <c r="F663">
        <v>17.95077975290145</v>
      </c>
    </row>
    <row r="664" spans="1:6" x14ac:dyDescent="0.25">
      <c r="A664">
        <v>40060</v>
      </c>
      <c r="B664">
        <v>2009</v>
      </c>
      <c r="C664">
        <v>10.845446368764735</v>
      </c>
      <c r="D664">
        <v>11.039126825188614</v>
      </c>
      <c r="E664">
        <v>5.2570577394460631</v>
      </c>
      <c r="F664">
        <v>17.95077975290145</v>
      </c>
    </row>
    <row r="665" spans="1:6" x14ac:dyDescent="0.25">
      <c r="A665">
        <v>40053</v>
      </c>
      <c r="B665">
        <v>2009</v>
      </c>
      <c r="C665">
        <v>11.690302260157255</v>
      </c>
      <c r="D665">
        <v>11.039126825188614</v>
      </c>
      <c r="E665">
        <v>5.2570577394460631</v>
      </c>
      <c r="F665">
        <v>17.95077975290145</v>
      </c>
    </row>
    <row r="666" spans="1:6" x14ac:dyDescent="0.25">
      <c r="A666">
        <v>40046</v>
      </c>
      <c r="B666">
        <v>2009</v>
      </c>
      <c r="C666">
        <v>11.765400561614365</v>
      </c>
      <c r="D666">
        <v>11.039126825188614</v>
      </c>
      <c r="E666">
        <v>5.2570577394460631</v>
      </c>
      <c r="F666">
        <v>17.95077975290145</v>
      </c>
    </row>
    <row r="667" spans="1:6" x14ac:dyDescent="0.25">
      <c r="A667">
        <v>40039</v>
      </c>
      <c r="B667">
        <v>2009</v>
      </c>
      <c r="C667">
        <v>11.859273438435761</v>
      </c>
      <c r="D667">
        <v>11.039126825188614</v>
      </c>
      <c r="E667">
        <v>5.2570577394460631</v>
      </c>
      <c r="F667">
        <v>17.95077975290145</v>
      </c>
    </row>
    <row r="668" spans="1:6" x14ac:dyDescent="0.25">
      <c r="A668">
        <v>40032</v>
      </c>
      <c r="B668">
        <v>2009</v>
      </c>
      <c r="C668">
        <v>11.990695465985706</v>
      </c>
      <c r="D668">
        <v>11.039126825188614</v>
      </c>
      <c r="E668">
        <v>5.2570577394460631</v>
      </c>
      <c r="F668">
        <v>17.95077975290145</v>
      </c>
    </row>
    <row r="669" spans="1:6" x14ac:dyDescent="0.25">
      <c r="A669">
        <v>40025</v>
      </c>
      <c r="B669">
        <v>2009</v>
      </c>
      <c r="C669">
        <v>11.258487026778855</v>
      </c>
      <c r="D669">
        <v>11.039126825188614</v>
      </c>
      <c r="E669">
        <v>5.2570577394460631</v>
      </c>
      <c r="F669">
        <v>17.95077975290145</v>
      </c>
    </row>
    <row r="670" spans="1:6" x14ac:dyDescent="0.25">
      <c r="A670">
        <v>40018</v>
      </c>
      <c r="B670">
        <v>2009</v>
      </c>
      <c r="C670">
        <v>11.220937876050296</v>
      </c>
      <c r="D670">
        <v>11.039126825188614</v>
      </c>
      <c r="E670">
        <v>5.2570577394460631</v>
      </c>
      <c r="F670">
        <v>17.95077975290145</v>
      </c>
    </row>
    <row r="671" spans="1:6" x14ac:dyDescent="0.25">
      <c r="A671">
        <v>40011</v>
      </c>
      <c r="B671">
        <v>2009</v>
      </c>
      <c r="C671">
        <v>10.194594422803087</v>
      </c>
      <c r="D671">
        <v>11.039126825188614</v>
      </c>
      <c r="E671">
        <v>5.2570577394460631</v>
      </c>
      <c r="F671">
        <v>17.95077975290145</v>
      </c>
    </row>
    <row r="672" spans="1:6" x14ac:dyDescent="0.25">
      <c r="A672">
        <v>40004</v>
      </c>
      <c r="B672">
        <v>2009</v>
      </c>
      <c r="C672">
        <v>10.08820516240551</v>
      </c>
      <c r="D672">
        <v>11.039126825188614</v>
      </c>
      <c r="E672">
        <v>5.2570577394460631</v>
      </c>
      <c r="F672">
        <v>17.95077975290145</v>
      </c>
    </row>
    <row r="673" spans="1:6" x14ac:dyDescent="0.25">
      <c r="A673">
        <v>39997</v>
      </c>
      <c r="B673">
        <v>2009</v>
      </c>
      <c r="C673">
        <v>11.127064999228905</v>
      </c>
      <c r="D673">
        <v>11.039126825188614</v>
      </c>
      <c r="E673">
        <v>5.2570577394460631</v>
      </c>
      <c r="F673">
        <v>17.95077975290145</v>
      </c>
    </row>
    <row r="674" spans="1:6" x14ac:dyDescent="0.25">
      <c r="A674">
        <v>39990</v>
      </c>
      <c r="B674">
        <v>2009</v>
      </c>
      <c r="C674">
        <v>11.239712451414576</v>
      </c>
      <c r="D674">
        <v>11.039126825188614</v>
      </c>
      <c r="E674">
        <v>5.2570577394460631</v>
      </c>
      <c r="F674">
        <v>17.95077975290145</v>
      </c>
    </row>
    <row r="675" spans="1:6" x14ac:dyDescent="0.25">
      <c r="A675">
        <v>39983</v>
      </c>
      <c r="B675">
        <v>2009</v>
      </c>
      <c r="C675">
        <v>11.540105657243029</v>
      </c>
      <c r="D675">
        <v>11.039126825188614</v>
      </c>
      <c r="E675">
        <v>5.2570577394460631</v>
      </c>
      <c r="F675">
        <v>17.95077975290145</v>
      </c>
    </row>
    <row r="676" spans="1:6" x14ac:dyDescent="0.25">
      <c r="A676">
        <v>39976</v>
      </c>
      <c r="B676">
        <v>2009</v>
      </c>
      <c r="C676">
        <v>11.396167246116894</v>
      </c>
      <c r="D676">
        <v>11.039126825188614</v>
      </c>
      <c r="E676">
        <v>5.2570577394460631</v>
      </c>
      <c r="F676">
        <v>17.95077975290145</v>
      </c>
    </row>
    <row r="677" spans="1:6" x14ac:dyDescent="0.25">
      <c r="A677">
        <v>39969</v>
      </c>
      <c r="B677">
        <v>2009</v>
      </c>
      <c r="C677">
        <v>10.989384779890866</v>
      </c>
      <c r="D677">
        <v>11.039126825188614</v>
      </c>
      <c r="E677">
        <v>5.2570577394460631</v>
      </c>
      <c r="F677">
        <v>17.95077975290145</v>
      </c>
    </row>
    <row r="678" spans="1:6" x14ac:dyDescent="0.25">
      <c r="A678">
        <v>39962</v>
      </c>
      <c r="B678">
        <v>2009</v>
      </c>
      <c r="C678">
        <v>9.9254921759150996</v>
      </c>
      <c r="D678">
        <v>11.039126825188614</v>
      </c>
      <c r="E678">
        <v>5.2570577394460631</v>
      </c>
      <c r="F678">
        <v>17.95077975290145</v>
      </c>
    </row>
    <row r="679" spans="1:6" x14ac:dyDescent="0.25">
      <c r="A679">
        <v>39955</v>
      </c>
      <c r="B679">
        <v>2009</v>
      </c>
      <c r="C679">
        <v>9.456127791808143</v>
      </c>
      <c r="D679">
        <v>11.039126825188614</v>
      </c>
      <c r="E679">
        <v>5.2570577394460631</v>
      </c>
      <c r="F679">
        <v>17.95077975290145</v>
      </c>
    </row>
    <row r="680" spans="1:6" x14ac:dyDescent="0.25">
      <c r="A680">
        <v>39948</v>
      </c>
      <c r="B680">
        <v>2009</v>
      </c>
      <c r="C680">
        <v>9.1619927777677823</v>
      </c>
      <c r="D680">
        <v>11.039126825188614</v>
      </c>
      <c r="E680">
        <v>5.2570577394460631</v>
      </c>
      <c r="F680">
        <v>17.95077975290145</v>
      </c>
    </row>
    <row r="681" spans="1:6" x14ac:dyDescent="0.25">
      <c r="A681">
        <v>39941</v>
      </c>
      <c r="B681">
        <v>2009</v>
      </c>
      <c r="C681">
        <v>8.9617306405488151</v>
      </c>
      <c r="D681">
        <v>11.039126825188614</v>
      </c>
      <c r="E681">
        <v>5.2570577394460631</v>
      </c>
      <c r="F681">
        <v>17.95077975290145</v>
      </c>
    </row>
    <row r="682" spans="1:6" x14ac:dyDescent="0.25">
      <c r="A682">
        <v>39934</v>
      </c>
      <c r="B682">
        <v>2009</v>
      </c>
      <c r="C682">
        <v>8.2232640095538727</v>
      </c>
      <c r="D682">
        <v>11.039126825188614</v>
      </c>
      <c r="E682">
        <v>5.2570577394460631</v>
      </c>
      <c r="F682">
        <v>17.95077975290145</v>
      </c>
    </row>
    <row r="683" spans="1:6" x14ac:dyDescent="0.25">
      <c r="A683">
        <v>39927</v>
      </c>
      <c r="B683">
        <v>2009</v>
      </c>
      <c r="C683">
        <v>8.3046205027990787</v>
      </c>
      <c r="D683">
        <v>11.039126825188614</v>
      </c>
      <c r="E683">
        <v>5.2570577394460631</v>
      </c>
      <c r="F683">
        <v>17.95077975290145</v>
      </c>
    </row>
    <row r="684" spans="1:6" x14ac:dyDescent="0.25">
      <c r="A684">
        <v>39920</v>
      </c>
      <c r="B684">
        <v>2009</v>
      </c>
      <c r="C684">
        <v>8.8303086129988664</v>
      </c>
      <c r="D684">
        <v>11.039126825188614</v>
      </c>
      <c r="E684">
        <v>5.2570577394460631</v>
      </c>
      <c r="F684">
        <v>17.95077975290145</v>
      </c>
    </row>
    <row r="685" spans="1:6" x14ac:dyDescent="0.25">
      <c r="A685">
        <v>39913</v>
      </c>
      <c r="B685">
        <v>2009</v>
      </c>
      <c r="C685">
        <v>8.8428249965750521</v>
      </c>
      <c r="D685">
        <v>11.039126825188614</v>
      </c>
      <c r="E685">
        <v>5.2570577394460631</v>
      </c>
      <c r="F685">
        <v>17.95077975290145</v>
      </c>
    </row>
    <row r="686" spans="1:6" x14ac:dyDescent="0.25">
      <c r="A686">
        <v>39906</v>
      </c>
      <c r="B686">
        <v>2009</v>
      </c>
      <c r="C686">
        <v>8.6363046675679911</v>
      </c>
      <c r="D686">
        <v>11.039126825188614</v>
      </c>
      <c r="E686">
        <v>5.2570577394460631</v>
      </c>
      <c r="F686">
        <v>17.95077975290145</v>
      </c>
    </row>
    <row r="687" spans="1:6" x14ac:dyDescent="0.25">
      <c r="A687">
        <v>39899</v>
      </c>
      <c r="B687">
        <v>2009</v>
      </c>
      <c r="C687">
        <v>9.08689447631067</v>
      </c>
      <c r="D687">
        <v>11.039126825188614</v>
      </c>
      <c r="E687">
        <v>5.2570577394460631</v>
      </c>
      <c r="F687">
        <v>17.95077975290145</v>
      </c>
    </row>
    <row r="688" spans="1:6" x14ac:dyDescent="0.25">
      <c r="A688">
        <v>39892</v>
      </c>
      <c r="B688">
        <v>2009</v>
      </c>
      <c r="C688">
        <v>7.8915798447849541</v>
      </c>
      <c r="D688">
        <v>11.039126825188614</v>
      </c>
      <c r="E688">
        <v>5.2570577394460631</v>
      </c>
      <c r="F688">
        <v>17.95077975290145</v>
      </c>
    </row>
    <row r="689" spans="1:6" x14ac:dyDescent="0.25">
      <c r="A689">
        <v>39885</v>
      </c>
      <c r="B689">
        <v>2009</v>
      </c>
      <c r="C689">
        <v>7.3095680084923291</v>
      </c>
      <c r="D689">
        <v>11.039126825188614</v>
      </c>
      <c r="E689">
        <v>5.2570577394460631</v>
      </c>
      <c r="F689">
        <v>17.95077975290145</v>
      </c>
    </row>
    <row r="690" spans="1:6" x14ac:dyDescent="0.25">
      <c r="A690">
        <v>39878</v>
      </c>
      <c r="B690">
        <v>2009</v>
      </c>
      <c r="C690">
        <v>7.265760665975681</v>
      </c>
      <c r="D690">
        <v>11.039126825188614</v>
      </c>
      <c r="E690">
        <v>5.2570577394460631</v>
      </c>
      <c r="F690">
        <v>17.95077975290145</v>
      </c>
    </row>
    <row r="691" spans="1:6" x14ac:dyDescent="0.25">
      <c r="A691">
        <v>39871</v>
      </c>
      <c r="B691">
        <v>2009</v>
      </c>
      <c r="C691">
        <v>7.6913177075659886</v>
      </c>
      <c r="D691">
        <v>11.039126825188614</v>
      </c>
      <c r="E691">
        <v>5.2570577394460631</v>
      </c>
      <c r="F691">
        <v>17.95077975290145</v>
      </c>
    </row>
    <row r="692" spans="1:6" x14ac:dyDescent="0.25">
      <c r="A692">
        <v>39864</v>
      </c>
      <c r="B692">
        <v>2009</v>
      </c>
      <c r="C692">
        <v>7.3220843920685157</v>
      </c>
      <c r="D692">
        <v>11.039126825188614</v>
      </c>
      <c r="E692">
        <v>5.2570577394460631</v>
      </c>
      <c r="F692">
        <v>17.95077975290145</v>
      </c>
    </row>
    <row r="693" spans="1:6" x14ac:dyDescent="0.25">
      <c r="A693">
        <v>39857</v>
      </c>
      <c r="B693">
        <v>2009</v>
      </c>
      <c r="C693">
        <v>8.0793255984277383</v>
      </c>
      <c r="D693">
        <v>11.039126825188614</v>
      </c>
      <c r="E693">
        <v>5.2570577394460631</v>
      </c>
      <c r="F693">
        <v>17.95077975290145</v>
      </c>
    </row>
    <row r="694" spans="1:6" x14ac:dyDescent="0.25">
      <c r="A694">
        <v>39850</v>
      </c>
      <c r="B694">
        <v>2009</v>
      </c>
      <c r="C694">
        <v>8.3171368863752626</v>
      </c>
      <c r="D694">
        <v>11.039126825188614</v>
      </c>
      <c r="E694">
        <v>5.2570577394460631</v>
      </c>
      <c r="F694">
        <v>17.95077975290145</v>
      </c>
    </row>
    <row r="695" spans="1:6" x14ac:dyDescent="0.25">
      <c r="A695">
        <v>39843</v>
      </c>
      <c r="B695">
        <v>2009</v>
      </c>
      <c r="C695">
        <v>8.7176611608131989</v>
      </c>
      <c r="D695">
        <v>11.039126825188614</v>
      </c>
      <c r="E695">
        <v>5.2570577394460631</v>
      </c>
      <c r="F695">
        <v>17.95077975290145</v>
      </c>
    </row>
    <row r="696" spans="1:6" x14ac:dyDescent="0.25">
      <c r="A696">
        <v>39836</v>
      </c>
      <c r="B696">
        <v>2009</v>
      </c>
      <c r="C696">
        <v>8.6300464757799009</v>
      </c>
      <c r="D696">
        <v>11.039126825188614</v>
      </c>
      <c r="E696">
        <v>5.2570577394460631</v>
      </c>
      <c r="F696">
        <v>17.95077975290145</v>
      </c>
    </row>
    <row r="697" spans="1:6" x14ac:dyDescent="0.25">
      <c r="A697">
        <v>39829</v>
      </c>
      <c r="B697">
        <v>2009</v>
      </c>
      <c r="C697">
        <v>9.3810294903510307</v>
      </c>
      <c r="D697">
        <v>11.039126825188614</v>
      </c>
      <c r="E697">
        <v>5.2570577394460631</v>
      </c>
      <c r="F697">
        <v>17.95077975290145</v>
      </c>
    </row>
    <row r="698" spans="1:6" x14ac:dyDescent="0.25">
      <c r="A698">
        <v>39822</v>
      </c>
      <c r="B698">
        <v>2009</v>
      </c>
      <c r="C698">
        <v>9.8879430251865443</v>
      </c>
      <c r="D698">
        <v>11.039126825188614</v>
      </c>
      <c r="E698">
        <v>5.2570577394460631</v>
      </c>
      <c r="F698">
        <v>17.95077975290145</v>
      </c>
    </row>
    <row r="699" spans="1:6" x14ac:dyDescent="0.25">
      <c r="A699">
        <v>39815</v>
      </c>
      <c r="B699">
        <v>2009</v>
      </c>
      <c r="C699">
        <v>8.5173990235942316</v>
      </c>
      <c r="D699">
        <v>11.039126825188614</v>
      </c>
      <c r="E699">
        <v>5.2570577394460631</v>
      </c>
      <c r="F699">
        <v>17.95077975290145</v>
      </c>
    </row>
    <row r="700" spans="1:6" x14ac:dyDescent="0.25">
      <c r="A700">
        <v>39808</v>
      </c>
      <c r="B700">
        <v>2008</v>
      </c>
      <c r="C700">
        <v>7.8155748630650201</v>
      </c>
      <c r="D700">
        <v>11.039126825188614</v>
      </c>
      <c r="E700">
        <v>5.2570577394460631</v>
      </c>
      <c r="F700">
        <v>17.95077975290145</v>
      </c>
    </row>
    <row r="701" spans="1:6" x14ac:dyDescent="0.25">
      <c r="A701">
        <v>39801</v>
      </c>
      <c r="B701">
        <v>2008</v>
      </c>
      <c r="C701">
        <v>8.023910826665384</v>
      </c>
      <c r="D701">
        <v>11.039126825188614</v>
      </c>
      <c r="E701">
        <v>5.2570577394460631</v>
      </c>
      <c r="F701">
        <v>17.95077975290145</v>
      </c>
    </row>
    <row r="702" spans="1:6" x14ac:dyDescent="0.25">
      <c r="A702">
        <v>39794</v>
      </c>
      <c r="B702">
        <v>2008</v>
      </c>
      <c r="C702">
        <v>7.9167666168137689</v>
      </c>
      <c r="D702">
        <v>11.039126825188614</v>
      </c>
      <c r="E702">
        <v>5.2570577394460631</v>
      </c>
      <c r="F702">
        <v>17.95077975290145</v>
      </c>
    </row>
    <row r="703" spans="1:6" x14ac:dyDescent="0.25">
      <c r="A703">
        <v>39787</v>
      </c>
      <c r="B703">
        <v>2008</v>
      </c>
      <c r="C703">
        <v>9.1429725740044727</v>
      </c>
      <c r="D703">
        <v>11.039126825188614</v>
      </c>
      <c r="E703">
        <v>5.2570577394460631</v>
      </c>
      <c r="F703">
        <v>17.95077975290145</v>
      </c>
    </row>
    <row r="704" spans="1:6" x14ac:dyDescent="0.25">
      <c r="A704">
        <v>39780</v>
      </c>
      <c r="B704">
        <v>2008</v>
      </c>
      <c r="C704">
        <v>10.476322741046792</v>
      </c>
      <c r="D704">
        <v>11.039126825188614</v>
      </c>
      <c r="E704">
        <v>5.2570577394460631</v>
      </c>
      <c r="F704">
        <v>17.95077975290145</v>
      </c>
    </row>
    <row r="705" spans="1:6" x14ac:dyDescent="0.25">
      <c r="A705">
        <v>39773</v>
      </c>
      <c r="B705">
        <v>2008</v>
      </c>
      <c r="C705">
        <v>10.458465372738187</v>
      </c>
      <c r="D705">
        <v>11.039126825188614</v>
      </c>
      <c r="E705">
        <v>5.2570577394460631</v>
      </c>
      <c r="F705">
        <v>17.95077975290145</v>
      </c>
    </row>
    <row r="706" spans="1:6" x14ac:dyDescent="0.25">
      <c r="A706">
        <v>39766</v>
      </c>
      <c r="B706">
        <v>2008</v>
      </c>
      <c r="C706">
        <v>11.482287822431399</v>
      </c>
      <c r="D706">
        <v>11.039126825188614</v>
      </c>
      <c r="E706">
        <v>5.2570577394460631</v>
      </c>
      <c r="F706">
        <v>17.95077975290145</v>
      </c>
    </row>
    <row r="707" spans="1:6" x14ac:dyDescent="0.25">
      <c r="A707">
        <v>39759</v>
      </c>
      <c r="B707">
        <v>2008</v>
      </c>
      <c r="C707">
        <v>12.190630098672628</v>
      </c>
      <c r="D707">
        <v>11.039126825188614</v>
      </c>
      <c r="E707">
        <v>5.2570577394460631</v>
      </c>
      <c r="F707">
        <v>17.95077975290145</v>
      </c>
    </row>
    <row r="708" spans="1:6" x14ac:dyDescent="0.25">
      <c r="A708">
        <v>39752</v>
      </c>
      <c r="B708">
        <v>2008</v>
      </c>
      <c r="C708">
        <v>12.006103959483738</v>
      </c>
      <c r="D708">
        <v>11.039126825188614</v>
      </c>
      <c r="E708">
        <v>5.2570577394460631</v>
      </c>
      <c r="F708">
        <v>17.95077975290145</v>
      </c>
    </row>
    <row r="709" spans="1:6" x14ac:dyDescent="0.25">
      <c r="A709">
        <v>39745</v>
      </c>
      <c r="B709">
        <v>2008</v>
      </c>
      <c r="C709">
        <v>12.720398691827837</v>
      </c>
      <c r="D709">
        <v>11.039126825188614</v>
      </c>
      <c r="E709">
        <v>5.2570577394460631</v>
      </c>
      <c r="F709">
        <v>17.95077975290145</v>
      </c>
    </row>
    <row r="710" spans="1:6" x14ac:dyDescent="0.25">
      <c r="A710">
        <v>39738</v>
      </c>
      <c r="B710">
        <v>2008</v>
      </c>
      <c r="C710">
        <v>13.637076931669432</v>
      </c>
      <c r="D710">
        <v>11.039126825188614</v>
      </c>
      <c r="E710">
        <v>5.2570577394460631</v>
      </c>
      <c r="F710">
        <v>17.95077975290145</v>
      </c>
    </row>
    <row r="711" spans="1:6" x14ac:dyDescent="0.25">
      <c r="A711">
        <v>39731</v>
      </c>
      <c r="B711">
        <v>2008</v>
      </c>
      <c r="C711">
        <v>14.970427098711749</v>
      </c>
      <c r="D711">
        <v>11.039126825188614</v>
      </c>
      <c r="E711">
        <v>5.2570577394460631</v>
      </c>
      <c r="F711">
        <v>17.95077975290145</v>
      </c>
    </row>
    <row r="712" spans="1:6" x14ac:dyDescent="0.25">
      <c r="A712">
        <v>39724</v>
      </c>
      <c r="B712">
        <v>2008</v>
      </c>
      <c r="C712">
        <v>17.053786734715377</v>
      </c>
      <c r="D712">
        <v>11.039126825188614</v>
      </c>
      <c r="E712">
        <v>5.2570577394460631</v>
      </c>
      <c r="F712">
        <v>17.95077975290145</v>
      </c>
    </row>
    <row r="713" spans="1:6" x14ac:dyDescent="0.25">
      <c r="A713">
        <v>39717</v>
      </c>
      <c r="B713">
        <v>2008</v>
      </c>
      <c r="C713">
        <v>19.268100404982082</v>
      </c>
      <c r="D713">
        <v>11.039126825188614</v>
      </c>
      <c r="E713">
        <v>5.2570577394460631</v>
      </c>
      <c r="F713">
        <v>17.95077975290145</v>
      </c>
    </row>
    <row r="714" spans="1:6" x14ac:dyDescent="0.25">
      <c r="A714">
        <v>39710</v>
      </c>
      <c r="B714">
        <v>2008</v>
      </c>
      <c r="C714">
        <v>20.649070220847339</v>
      </c>
      <c r="D714">
        <v>11.039126825188614</v>
      </c>
      <c r="E714">
        <v>5.2570577394460631</v>
      </c>
      <c r="F714">
        <v>17.95077975290145</v>
      </c>
    </row>
    <row r="715" spans="1:6" x14ac:dyDescent="0.25">
      <c r="A715">
        <v>39703</v>
      </c>
      <c r="B715">
        <v>2008</v>
      </c>
      <c r="C715">
        <v>22.107421966049873</v>
      </c>
      <c r="D715">
        <v>11.039126825188614</v>
      </c>
      <c r="E715">
        <v>5.2570577394460631</v>
      </c>
      <c r="F715">
        <v>17.95077975290145</v>
      </c>
    </row>
    <row r="716" spans="1:6" x14ac:dyDescent="0.25">
      <c r="A716">
        <v>39696</v>
      </c>
      <c r="B716">
        <v>2008</v>
      </c>
      <c r="C716">
        <v>19.190718475644807</v>
      </c>
      <c r="D716">
        <v>11.039126825188614</v>
      </c>
      <c r="E716">
        <v>5.2570577394460631</v>
      </c>
      <c r="F716">
        <v>17.95077975290145</v>
      </c>
    </row>
    <row r="717" spans="1:6" x14ac:dyDescent="0.25">
      <c r="A717">
        <v>39689</v>
      </c>
      <c r="B717">
        <v>2008</v>
      </c>
      <c r="C717">
        <v>19.756201805417216</v>
      </c>
      <c r="D717">
        <v>11.039126825188614</v>
      </c>
      <c r="E717">
        <v>5.2570577394460631</v>
      </c>
      <c r="F717">
        <v>17.95077975290145</v>
      </c>
    </row>
    <row r="718" spans="1:6" x14ac:dyDescent="0.25">
      <c r="A718">
        <v>39682</v>
      </c>
      <c r="B718">
        <v>2008</v>
      </c>
      <c r="C718">
        <v>19.24429058057061</v>
      </c>
      <c r="D718">
        <v>11.039126825188614</v>
      </c>
      <c r="E718">
        <v>5.2570577394460631</v>
      </c>
      <c r="F718">
        <v>17.95077975290145</v>
      </c>
    </row>
    <row r="719" spans="1:6" x14ac:dyDescent="0.25">
      <c r="A719">
        <v>39675</v>
      </c>
      <c r="B719">
        <v>2008</v>
      </c>
      <c r="C719">
        <v>18.738331811826875</v>
      </c>
      <c r="D719">
        <v>11.039126825188614</v>
      </c>
      <c r="E719">
        <v>5.2570577394460631</v>
      </c>
      <c r="F719">
        <v>17.95077975290145</v>
      </c>
    </row>
    <row r="720" spans="1:6" x14ac:dyDescent="0.25">
      <c r="A720">
        <v>39668</v>
      </c>
      <c r="B720">
        <v>2008</v>
      </c>
      <c r="C720">
        <v>19.827631278651626</v>
      </c>
      <c r="D720">
        <v>11.039126825188614</v>
      </c>
      <c r="E720">
        <v>5.2570577394460631</v>
      </c>
      <c r="F720">
        <v>17.95077975290145</v>
      </c>
    </row>
    <row r="721" spans="1:6" x14ac:dyDescent="0.25">
      <c r="A721">
        <v>39661</v>
      </c>
      <c r="B721">
        <v>2008</v>
      </c>
      <c r="C721">
        <v>21.422889514220113</v>
      </c>
      <c r="D721">
        <v>11.039126825188614</v>
      </c>
      <c r="E721">
        <v>5.2570577394460631</v>
      </c>
      <c r="F721">
        <v>17.95077975290145</v>
      </c>
    </row>
    <row r="722" spans="1:6" x14ac:dyDescent="0.25">
      <c r="A722">
        <v>39654</v>
      </c>
      <c r="B722">
        <v>2008</v>
      </c>
      <c r="C722">
        <v>22.155041614872818</v>
      </c>
      <c r="D722">
        <v>11.039126825188614</v>
      </c>
      <c r="E722">
        <v>5.2570577394460631</v>
      </c>
      <c r="F722">
        <v>17.95077975290145</v>
      </c>
    </row>
    <row r="723" spans="1:6" x14ac:dyDescent="0.25">
      <c r="A723">
        <v>39647</v>
      </c>
      <c r="B723">
        <v>2008</v>
      </c>
      <c r="C723">
        <v>23.524106518532342</v>
      </c>
      <c r="D723">
        <v>11.039126825188614</v>
      </c>
      <c r="E723">
        <v>5.2570577394460631</v>
      </c>
      <c r="F723">
        <v>17.95077975290145</v>
      </c>
    </row>
    <row r="724" spans="1:6" x14ac:dyDescent="0.25">
      <c r="A724">
        <v>39640</v>
      </c>
      <c r="B724">
        <v>2008</v>
      </c>
      <c r="C724">
        <v>24.107447216613359</v>
      </c>
      <c r="D724">
        <v>11.039126825188614</v>
      </c>
      <c r="E724">
        <v>5.2570577394460631</v>
      </c>
      <c r="F724">
        <v>17.95077975290145</v>
      </c>
    </row>
    <row r="725" spans="1:6" x14ac:dyDescent="0.25">
      <c r="A725">
        <v>39633</v>
      </c>
      <c r="B725">
        <v>2008</v>
      </c>
      <c r="C725">
        <v>24.458642126682538</v>
      </c>
      <c r="D725">
        <v>11.039126825188614</v>
      </c>
      <c r="E725">
        <v>5.2570577394460631</v>
      </c>
      <c r="F725">
        <v>17.95077975290145</v>
      </c>
    </row>
    <row r="726" spans="1:6" x14ac:dyDescent="0.25">
      <c r="A726">
        <v>39626</v>
      </c>
      <c r="B726">
        <v>2008</v>
      </c>
      <c r="C726">
        <v>23.262198450006167</v>
      </c>
      <c r="D726">
        <v>11.039126825188614</v>
      </c>
      <c r="E726">
        <v>5.2570577394460631</v>
      </c>
      <c r="F726">
        <v>17.95077975290145</v>
      </c>
    </row>
    <row r="727" spans="1:6" x14ac:dyDescent="0.25">
      <c r="A727">
        <v>39619</v>
      </c>
      <c r="B727">
        <v>2008</v>
      </c>
      <c r="C727">
        <v>22.911003539936988</v>
      </c>
      <c r="D727">
        <v>11.039126825188614</v>
      </c>
      <c r="E727">
        <v>5.2570577394460631</v>
      </c>
      <c r="F727">
        <v>17.95077975290145</v>
      </c>
    </row>
    <row r="728" spans="1:6" x14ac:dyDescent="0.25">
      <c r="A728">
        <v>39612</v>
      </c>
      <c r="B728">
        <v>2008</v>
      </c>
      <c r="C728">
        <v>23.488391781915137</v>
      </c>
      <c r="D728">
        <v>11.039126825188614</v>
      </c>
      <c r="E728">
        <v>5.2570577394460631</v>
      </c>
      <c r="F728">
        <v>17.95077975290145</v>
      </c>
    </row>
    <row r="729" spans="1:6" x14ac:dyDescent="0.25">
      <c r="A729">
        <v>39605</v>
      </c>
      <c r="B729">
        <v>2008</v>
      </c>
      <c r="C729">
        <v>22.512188981044865</v>
      </c>
      <c r="D729">
        <v>11.039126825188614</v>
      </c>
      <c r="E729">
        <v>5.2570577394460631</v>
      </c>
      <c r="F729">
        <v>17.95077975290145</v>
      </c>
    </row>
    <row r="730" spans="1:6" x14ac:dyDescent="0.25">
      <c r="A730">
        <v>39598</v>
      </c>
      <c r="B730">
        <v>2008</v>
      </c>
      <c r="C730">
        <v>22.88719371552552</v>
      </c>
      <c r="D730">
        <v>11.039126825188614</v>
      </c>
      <c r="E730">
        <v>5.2570577394460631</v>
      </c>
      <c r="F730">
        <v>17.95077975290145</v>
      </c>
    </row>
    <row r="731" spans="1:6" x14ac:dyDescent="0.25">
      <c r="A731">
        <v>39591</v>
      </c>
      <c r="B731">
        <v>2008</v>
      </c>
      <c r="C731">
        <v>23.625298272281089</v>
      </c>
      <c r="D731">
        <v>11.039126825188614</v>
      </c>
      <c r="E731">
        <v>5.2570577394460631</v>
      </c>
      <c r="F731">
        <v>17.95077975290145</v>
      </c>
    </row>
    <row r="732" spans="1:6" x14ac:dyDescent="0.25">
      <c r="A732">
        <v>39584</v>
      </c>
      <c r="B732">
        <v>2008</v>
      </c>
      <c r="C732">
        <v>22.327662841855975</v>
      </c>
      <c r="D732">
        <v>11.039126825188614</v>
      </c>
      <c r="E732">
        <v>5.2570577394460631</v>
      </c>
      <c r="F732">
        <v>17.95077975290145</v>
      </c>
    </row>
    <row r="733" spans="1:6" x14ac:dyDescent="0.25">
      <c r="A733">
        <v>39577</v>
      </c>
      <c r="B733">
        <v>2008</v>
      </c>
      <c r="C733">
        <v>21.315745304368502</v>
      </c>
      <c r="D733">
        <v>11.039126825188614</v>
      </c>
      <c r="E733">
        <v>5.2570577394460631</v>
      </c>
      <c r="F733">
        <v>17.95077975290145</v>
      </c>
    </row>
    <row r="734" spans="1:6" x14ac:dyDescent="0.25">
      <c r="A734">
        <v>39570</v>
      </c>
      <c r="B734">
        <v>2008</v>
      </c>
      <c r="C734">
        <v>19.922870576297505</v>
      </c>
      <c r="D734">
        <v>11.039126825188614</v>
      </c>
      <c r="E734">
        <v>5.2570577394460631</v>
      </c>
      <c r="F734">
        <v>17.95077975290145</v>
      </c>
    </row>
    <row r="735" spans="1:6" x14ac:dyDescent="0.25">
      <c r="A735">
        <v>39563</v>
      </c>
      <c r="B735">
        <v>2008</v>
      </c>
      <c r="C735">
        <v>20.785976711213294</v>
      </c>
      <c r="D735">
        <v>11.039126825188614</v>
      </c>
      <c r="E735">
        <v>5.2570577394460631</v>
      </c>
      <c r="F735">
        <v>17.95077975290145</v>
      </c>
    </row>
    <row r="736" spans="1:6" x14ac:dyDescent="0.25">
      <c r="A736">
        <v>39556</v>
      </c>
      <c r="B736">
        <v>2008</v>
      </c>
      <c r="C736">
        <v>20.625260396435866</v>
      </c>
      <c r="D736">
        <v>11.039126825188614</v>
      </c>
      <c r="E736">
        <v>5.2570577394460631</v>
      </c>
      <c r="F736">
        <v>17.95077975290145</v>
      </c>
    </row>
    <row r="737" spans="1:6" x14ac:dyDescent="0.25">
      <c r="A737">
        <v>39549</v>
      </c>
      <c r="B737">
        <v>2008</v>
      </c>
      <c r="C737">
        <v>19.952632856811842</v>
      </c>
      <c r="D737">
        <v>11.039126825188614</v>
      </c>
      <c r="E737">
        <v>5.2570577394460631</v>
      </c>
      <c r="F737">
        <v>17.95077975290145</v>
      </c>
    </row>
    <row r="738" spans="1:6" x14ac:dyDescent="0.25">
      <c r="A738">
        <v>39542</v>
      </c>
      <c r="B738">
        <v>2008</v>
      </c>
      <c r="C738">
        <v>18.339517252934751</v>
      </c>
      <c r="D738">
        <v>11.039126825188614</v>
      </c>
      <c r="E738">
        <v>5.2570577394460631</v>
      </c>
      <c r="F738">
        <v>17.95077975290145</v>
      </c>
    </row>
    <row r="739" spans="1:6" x14ac:dyDescent="0.25">
      <c r="A739">
        <v>39535</v>
      </c>
      <c r="B739">
        <v>2008</v>
      </c>
      <c r="C739">
        <v>18.244277955288872</v>
      </c>
      <c r="D739">
        <v>11.039126825188614</v>
      </c>
      <c r="E739">
        <v>5.2570577394460631</v>
      </c>
      <c r="F739">
        <v>17.95077975290145</v>
      </c>
    </row>
    <row r="740" spans="1:6" x14ac:dyDescent="0.25">
      <c r="A740">
        <v>39528</v>
      </c>
      <c r="B740">
        <v>2008</v>
      </c>
      <c r="C740">
        <v>19.178813563439071</v>
      </c>
      <c r="D740">
        <v>11.039126825188614</v>
      </c>
      <c r="E740">
        <v>5.2570577394460631</v>
      </c>
      <c r="F740">
        <v>17.95077975290145</v>
      </c>
    </row>
    <row r="741" spans="1:6" x14ac:dyDescent="0.25">
      <c r="A741">
        <v>39521</v>
      </c>
      <c r="B741">
        <v>2008</v>
      </c>
      <c r="C741">
        <v>19.149051282924734</v>
      </c>
      <c r="D741">
        <v>11.039126825188614</v>
      </c>
      <c r="E741">
        <v>5.2570577394460631</v>
      </c>
      <c r="F741">
        <v>17.95077975290145</v>
      </c>
    </row>
    <row r="742" spans="1:6" x14ac:dyDescent="0.25">
      <c r="A742">
        <v>39514</v>
      </c>
      <c r="B742">
        <v>2008</v>
      </c>
      <c r="C742">
        <v>18.012132167277038</v>
      </c>
      <c r="D742">
        <v>11.039126825188614</v>
      </c>
      <c r="E742">
        <v>5.2570577394460631</v>
      </c>
      <c r="F742">
        <v>17.95077975290145</v>
      </c>
    </row>
    <row r="743" spans="1:6" x14ac:dyDescent="0.25">
      <c r="A743">
        <v>39507</v>
      </c>
      <c r="B743">
        <v>2008</v>
      </c>
      <c r="C743">
        <v>17.190693225081326</v>
      </c>
      <c r="D743">
        <v>11.039126825188614</v>
      </c>
      <c r="E743">
        <v>5.2570577394460631</v>
      </c>
      <c r="F743">
        <v>17.95077975290145</v>
      </c>
    </row>
    <row r="744" spans="1:6" x14ac:dyDescent="0.25">
      <c r="A744">
        <v>39500</v>
      </c>
      <c r="B744">
        <v>2008</v>
      </c>
      <c r="C744">
        <v>16.922832700452286</v>
      </c>
      <c r="D744">
        <v>11.039126825188614</v>
      </c>
      <c r="E744">
        <v>5.2570577394460631</v>
      </c>
      <c r="F744">
        <v>17.95077975290145</v>
      </c>
    </row>
    <row r="745" spans="1:6" x14ac:dyDescent="0.25">
      <c r="A745">
        <v>39493</v>
      </c>
      <c r="B745">
        <v>2008</v>
      </c>
      <c r="C745">
        <v>16.190680599799588</v>
      </c>
      <c r="D745">
        <v>11.039126825188614</v>
      </c>
      <c r="E745">
        <v>5.2570577394460631</v>
      </c>
      <c r="F745">
        <v>17.95077975290145</v>
      </c>
    </row>
    <row r="746" spans="1:6" x14ac:dyDescent="0.25">
      <c r="A746">
        <v>39486</v>
      </c>
      <c r="B746">
        <v>2008</v>
      </c>
      <c r="C746">
        <v>15.06566639635763</v>
      </c>
      <c r="D746">
        <v>11.039126825188614</v>
      </c>
      <c r="E746">
        <v>5.2570577394460631</v>
      </c>
      <c r="F746">
        <v>17.95077975290145</v>
      </c>
    </row>
    <row r="747" spans="1:6" x14ac:dyDescent="0.25">
      <c r="A747">
        <v>39479</v>
      </c>
      <c r="B747">
        <v>2008</v>
      </c>
      <c r="C747">
        <v>15.250192535546519</v>
      </c>
      <c r="D747">
        <v>11.039126825188614</v>
      </c>
      <c r="E747">
        <v>5.2570577394460631</v>
      </c>
      <c r="F747">
        <v>17.95077975290145</v>
      </c>
    </row>
    <row r="748" spans="1:6" x14ac:dyDescent="0.25">
      <c r="A748">
        <v>39472</v>
      </c>
      <c r="B748">
        <v>2008</v>
      </c>
      <c r="C748">
        <v>15.071618852460498</v>
      </c>
      <c r="D748">
        <v>11.039126825188614</v>
      </c>
      <c r="E748">
        <v>5.2570577394460631</v>
      </c>
      <c r="F748">
        <v>17.95077975290145</v>
      </c>
    </row>
    <row r="749" spans="1:6" x14ac:dyDescent="0.25">
      <c r="A749">
        <v>39465</v>
      </c>
      <c r="B749">
        <v>2008</v>
      </c>
      <c r="C749">
        <v>15.434718674735414</v>
      </c>
      <c r="D749">
        <v>11.039126825188614</v>
      </c>
      <c r="E749">
        <v>5.2570577394460631</v>
      </c>
      <c r="F749">
        <v>17.95077975290145</v>
      </c>
    </row>
    <row r="750" spans="1:6" x14ac:dyDescent="0.25">
      <c r="A750">
        <v>39458</v>
      </c>
      <c r="B750">
        <v>2008</v>
      </c>
      <c r="C750">
        <v>15.577577621204233</v>
      </c>
      <c r="D750">
        <v>11.039126825188614</v>
      </c>
      <c r="E750">
        <v>5.2570577394460631</v>
      </c>
      <c r="F750">
        <v>17.95077975290145</v>
      </c>
    </row>
    <row r="751" spans="1:6" x14ac:dyDescent="0.25">
      <c r="A751">
        <v>39451</v>
      </c>
      <c r="B751">
        <v>2008</v>
      </c>
      <c r="C751">
        <v>16.196633055902453</v>
      </c>
      <c r="D751">
        <v>11.039126825188614</v>
      </c>
      <c r="E751">
        <v>5.2570577394460631</v>
      </c>
      <c r="F751">
        <v>17.95077975290145</v>
      </c>
    </row>
    <row r="752" spans="1:6" x14ac:dyDescent="0.25">
      <c r="A752">
        <v>39444</v>
      </c>
      <c r="B752">
        <v>2007</v>
      </c>
      <c r="C752">
        <v>17.474431957168097</v>
      </c>
      <c r="D752">
        <v>11.039126825188614</v>
      </c>
      <c r="E752">
        <v>5.2570577394460631</v>
      </c>
      <c r="F752">
        <v>17.95077975290145</v>
      </c>
    </row>
    <row r="753" spans="1:6" x14ac:dyDescent="0.25">
      <c r="A753">
        <v>39437</v>
      </c>
      <c r="B753">
        <v>2007</v>
      </c>
      <c r="C753">
        <v>17.078635083846059</v>
      </c>
      <c r="D753">
        <v>11.039126825188614</v>
      </c>
      <c r="E753">
        <v>5.2570577394460631</v>
      </c>
      <c r="F753">
        <v>17.95077975290145</v>
      </c>
    </row>
    <row r="754" spans="1:6" x14ac:dyDescent="0.25">
      <c r="A754">
        <v>39430</v>
      </c>
      <c r="B754">
        <v>2007</v>
      </c>
      <c r="C754">
        <v>17.157794458510462</v>
      </c>
      <c r="D754">
        <v>11.039126825188614</v>
      </c>
      <c r="E754">
        <v>5.2570577394460631</v>
      </c>
      <c r="F754">
        <v>17.95077975290145</v>
      </c>
    </row>
    <row r="755" spans="1:6" x14ac:dyDescent="0.25">
      <c r="A755">
        <v>39423</v>
      </c>
      <c r="B755">
        <v>2007</v>
      </c>
      <c r="C755">
        <v>16.887333261740405</v>
      </c>
      <c r="D755">
        <v>11.039126825188614</v>
      </c>
      <c r="E755">
        <v>5.2570577394460631</v>
      </c>
      <c r="F755">
        <v>17.95077975290145</v>
      </c>
    </row>
    <row r="756" spans="1:6" x14ac:dyDescent="0.25">
      <c r="A756">
        <v>39416</v>
      </c>
      <c r="B756">
        <v>2007</v>
      </c>
      <c r="C756">
        <v>17.573381175498611</v>
      </c>
      <c r="D756">
        <v>11.039126825188614</v>
      </c>
      <c r="E756">
        <v>5.2570577394460631</v>
      </c>
      <c r="F756">
        <v>17.95077975290145</v>
      </c>
    </row>
    <row r="757" spans="1:6" x14ac:dyDescent="0.25">
      <c r="A757">
        <v>39409</v>
      </c>
      <c r="B757">
        <v>2007</v>
      </c>
      <c r="C757">
        <v>18.074723881706529</v>
      </c>
      <c r="D757">
        <v>11.039126825188614</v>
      </c>
      <c r="E757">
        <v>5.2570577394460631</v>
      </c>
      <c r="F757">
        <v>17.95077975290145</v>
      </c>
    </row>
    <row r="758" spans="1:6" x14ac:dyDescent="0.25">
      <c r="A758">
        <v>39402</v>
      </c>
      <c r="B758">
        <v>2007</v>
      </c>
      <c r="C758">
        <v>17.375482738837587</v>
      </c>
      <c r="D758">
        <v>11.039126825188614</v>
      </c>
      <c r="E758">
        <v>5.2570577394460631</v>
      </c>
      <c r="F758">
        <v>17.95077975290145</v>
      </c>
    </row>
    <row r="759" spans="1:6" x14ac:dyDescent="0.25">
      <c r="A759">
        <v>39395</v>
      </c>
      <c r="B759">
        <v>2007</v>
      </c>
      <c r="C759">
        <v>17.758086383048894</v>
      </c>
      <c r="D759">
        <v>11.039126825188614</v>
      </c>
      <c r="E759">
        <v>5.2570577394460631</v>
      </c>
      <c r="F759">
        <v>17.95077975290145</v>
      </c>
    </row>
    <row r="760" spans="1:6" x14ac:dyDescent="0.25">
      <c r="A760">
        <v>39388</v>
      </c>
      <c r="B760">
        <v>2007</v>
      </c>
      <c r="C760">
        <v>16.986282480070912</v>
      </c>
      <c r="D760">
        <v>11.039126825188614</v>
      </c>
      <c r="E760">
        <v>5.2570577394460631</v>
      </c>
      <c r="F760">
        <v>17.95077975290145</v>
      </c>
    </row>
    <row r="761" spans="1:6" x14ac:dyDescent="0.25">
      <c r="A761">
        <v>39381</v>
      </c>
      <c r="B761">
        <v>2007</v>
      </c>
      <c r="C761">
        <v>16.009983525876546</v>
      </c>
      <c r="D761">
        <v>11.039126825188614</v>
      </c>
      <c r="E761">
        <v>5.2570577394460631</v>
      </c>
      <c r="F761">
        <v>17.95077975290145</v>
      </c>
    </row>
    <row r="762" spans="1:6" x14ac:dyDescent="0.25">
      <c r="A762">
        <v>39374</v>
      </c>
      <c r="B762">
        <v>2007</v>
      </c>
      <c r="C762">
        <v>15.79889186010479</v>
      </c>
      <c r="D762">
        <v>11.039126825188614</v>
      </c>
      <c r="E762">
        <v>5.2570577394460631</v>
      </c>
      <c r="F762">
        <v>17.95077975290145</v>
      </c>
    </row>
    <row r="763" spans="1:6" x14ac:dyDescent="0.25">
      <c r="A763">
        <v>39367</v>
      </c>
      <c r="B763">
        <v>2007</v>
      </c>
      <c r="C763">
        <v>15.013894728016076</v>
      </c>
      <c r="D763">
        <v>11.039126825188614</v>
      </c>
      <c r="E763">
        <v>5.2570577394460631</v>
      </c>
      <c r="F763">
        <v>17.95077975290145</v>
      </c>
    </row>
    <row r="764" spans="1:6" x14ac:dyDescent="0.25">
      <c r="A764">
        <v>39360</v>
      </c>
      <c r="B764">
        <v>2007</v>
      </c>
      <c r="C764">
        <v>15.086457488125117</v>
      </c>
      <c r="D764">
        <v>11.039126825188614</v>
      </c>
      <c r="E764">
        <v>5.2570577394460631</v>
      </c>
      <c r="F764">
        <v>17.95077975290145</v>
      </c>
    </row>
    <row r="765" spans="1:6" x14ac:dyDescent="0.25">
      <c r="A765">
        <v>39353</v>
      </c>
      <c r="B765">
        <v>2007</v>
      </c>
      <c r="C765">
        <v>15.093054102680487</v>
      </c>
      <c r="D765">
        <v>11.039126825188614</v>
      </c>
      <c r="E765">
        <v>5.2570577394460631</v>
      </c>
      <c r="F765">
        <v>17.95077975290145</v>
      </c>
    </row>
    <row r="766" spans="1:6" x14ac:dyDescent="0.25">
      <c r="A766">
        <v>39346</v>
      </c>
      <c r="B766">
        <v>2007</v>
      </c>
      <c r="C766">
        <v>15.27775931023077</v>
      </c>
      <c r="D766">
        <v>11.039126825188614</v>
      </c>
      <c r="E766">
        <v>5.2570577394460631</v>
      </c>
      <c r="F766">
        <v>17.95077975290145</v>
      </c>
    </row>
    <row r="767" spans="1:6" x14ac:dyDescent="0.25">
      <c r="A767">
        <v>39339</v>
      </c>
      <c r="B767">
        <v>2007</v>
      </c>
      <c r="C767">
        <v>14.901752280574833</v>
      </c>
      <c r="D767">
        <v>11.039126825188614</v>
      </c>
      <c r="E767">
        <v>5.2570577394460631</v>
      </c>
      <c r="F767">
        <v>17.95077975290145</v>
      </c>
    </row>
    <row r="768" spans="1:6" x14ac:dyDescent="0.25">
      <c r="A768">
        <v>39332</v>
      </c>
      <c r="B768">
        <v>2007</v>
      </c>
      <c r="C768">
        <v>14.38721634525618</v>
      </c>
      <c r="D768">
        <v>11.039126825188614</v>
      </c>
      <c r="E768">
        <v>5.2570577394460631</v>
      </c>
      <c r="F768">
        <v>17.95077975290145</v>
      </c>
    </row>
    <row r="769" spans="1:6" x14ac:dyDescent="0.25">
      <c r="A769">
        <v>39325</v>
      </c>
      <c r="B769">
        <v>2007</v>
      </c>
      <c r="C769">
        <v>13.998016086489507</v>
      </c>
      <c r="D769">
        <v>11.039126825188614</v>
      </c>
      <c r="E769">
        <v>5.2570577394460631</v>
      </c>
      <c r="F769">
        <v>17.95077975290145</v>
      </c>
    </row>
    <row r="770" spans="1:6" x14ac:dyDescent="0.25">
      <c r="A770">
        <v>39318</v>
      </c>
      <c r="B770">
        <v>2007</v>
      </c>
      <c r="C770">
        <v>13.707765046053341</v>
      </c>
      <c r="D770">
        <v>11.039126825188614</v>
      </c>
      <c r="E770">
        <v>5.2570577394460631</v>
      </c>
      <c r="F770">
        <v>17.95077975290145</v>
      </c>
    </row>
    <row r="771" spans="1:6" x14ac:dyDescent="0.25">
      <c r="A771">
        <v>39311</v>
      </c>
      <c r="B771">
        <v>2007</v>
      </c>
      <c r="C771">
        <v>13.813310878939221</v>
      </c>
      <c r="D771">
        <v>11.039126825188614</v>
      </c>
      <c r="E771">
        <v>5.2570577394460631</v>
      </c>
      <c r="F771">
        <v>17.95077975290145</v>
      </c>
    </row>
    <row r="772" spans="1:6" x14ac:dyDescent="0.25">
      <c r="A772">
        <v>39304</v>
      </c>
      <c r="B772">
        <v>2007</v>
      </c>
      <c r="C772">
        <v>13.49007676572622</v>
      </c>
      <c r="D772">
        <v>11.039126825188614</v>
      </c>
      <c r="E772">
        <v>5.2570577394460631</v>
      </c>
      <c r="F772">
        <v>17.95077975290145</v>
      </c>
    </row>
    <row r="773" spans="1:6" x14ac:dyDescent="0.25">
      <c r="A773">
        <v>39297</v>
      </c>
      <c r="B773">
        <v>2007</v>
      </c>
      <c r="C773">
        <v>14.189317908595159</v>
      </c>
      <c r="D773">
        <v>11.039126825188614</v>
      </c>
      <c r="E773">
        <v>5.2570577394460631</v>
      </c>
      <c r="F773">
        <v>17.95077975290145</v>
      </c>
    </row>
    <row r="774" spans="1:6" x14ac:dyDescent="0.25">
      <c r="A774">
        <v>39290</v>
      </c>
      <c r="B774">
        <v>2007</v>
      </c>
      <c r="C774">
        <v>13.978226242823407</v>
      </c>
      <c r="D774">
        <v>11.039126825188614</v>
      </c>
      <c r="E774">
        <v>5.2570577394460631</v>
      </c>
      <c r="F774">
        <v>17.95077975290145</v>
      </c>
    </row>
    <row r="775" spans="1:6" x14ac:dyDescent="0.25">
      <c r="A775">
        <v>39283</v>
      </c>
      <c r="B775">
        <v>2007</v>
      </c>
      <c r="C775">
        <v>13.998016086489507</v>
      </c>
      <c r="D775">
        <v>11.039126825188614</v>
      </c>
      <c r="E775">
        <v>5.2570577394460631</v>
      </c>
      <c r="F775">
        <v>17.95077975290145</v>
      </c>
    </row>
    <row r="776" spans="1:6" x14ac:dyDescent="0.25">
      <c r="A776">
        <v>39276</v>
      </c>
      <c r="B776">
        <v>2007</v>
      </c>
      <c r="C776">
        <v>14.209107752261261</v>
      </c>
      <c r="D776">
        <v>11.039126825188614</v>
      </c>
      <c r="E776">
        <v>5.2570577394460631</v>
      </c>
      <c r="F776">
        <v>17.95077975290145</v>
      </c>
    </row>
    <row r="777" spans="1:6" x14ac:dyDescent="0.25">
      <c r="A777">
        <v>39269</v>
      </c>
      <c r="B777">
        <v>2007</v>
      </c>
      <c r="C777">
        <v>14.103561919375386</v>
      </c>
      <c r="D777">
        <v>11.039126825188614</v>
      </c>
      <c r="E777">
        <v>5.2570577394460631</v>
      </c>
      <c r="F777">
        <v>17.95077975290145</v>
      </c>
    </row>
    <row r="778" spans="1:6" x14ac:dyDescent="0.25">
      <c r="A778">
        <v>39262</v>
      </c>
      <c r="B778">
        <v>2007</v>
      </c>
      <c r="C778">
        <v>13.76713457705165</v>
      </c>
      <c r="D778">
        <v>11.039126825188614</v>
      </c>
      <c r="E778">
        <v>5.2570577394460631</v>
      </c>
      <c r="F778">
        <v>17.95077975290145</v>
      </c>
    </row>
    <row r="779" spans="1:6" x14ac:dyDescent="0.25">
      <c r="A779">
        <v>39255</v>
      </c>
      <c r="B779">
        <v>2007</v>
      </c>
      <c r="C779">
        <v>14.136544992152221</v>
      </c>
      <c r="D779">
        <v>11.039126825188614</v>
      </c>
      <c r="E779">
        <v>5.2570577394460631</v>
      </c>
      <c r="F779">
        <v>17.95077975290145</v>
      </c>
    </row>
    <row r="780" spans="1:6" x14ac:dyDescent="0.25">
      <c r="A780">
        <v>39248</v>
      </c>
      <c r="B780">
        <v>2007</v>
      </c>
      <c r="C780">
        <v>13.760537962496281</v>
      </c>
      <c r="D780">
        <v>11.039126825188614</v>
      </c>
      <c r="E780">
        <v>5.2570577394460631</v>
      </c>
      <c r="F780">
        <v>17.95077975290145</v>
      </c>
    </row>
    <row r="781" spans="1:6" x14ac:dyDescent="0.25">
      <c r="A781">
        <v>39241</v>
      </c>
      <c r="B781">
        <v>2007</v>
      </c>
      <c r="C781">
        <v>13.753941347940914</v>
      </c>
      <c r="D781">
        <v>11.039126825188614</v>
      </c>
      <c r="E781">
        <v>5.2570577394460631</v>
      </c>
      <c r="F781">
        <v>17.95077975290145</v>
      </c>
    </row>
    <row r="782" spans="1:6" x14ac:dyDescent="0.25">
      <c r="A782">
        <v>39234</v>
      </c>
      <c r="B782">
        <v>2007</v>
      </c>
      <c r="C782">
        <v>13.49007676572622</v>
      </c>
      <c r="D782">
        <v>11.039126825188614</v>
      </c>
      <c r="E782">
        <v>5.2570577394460631</v>
      </c>
      <c r="F782">
        <v>17.95077975290145</v>
      </c>
    </row>
    <row r="783" spans="1:6" x14ac:dyDescent="0.25">
      <c r="A783">
        <v>39227</v>
      </c>
      <c r="B783">
        <v>2007</v>
      </c>
      <c r="C783">
        <v>13.800117649828486</v>
      </c>
      <c r="D783">
        <v>11.039126825188614</v>
      </c>
      <c r="E783">
        <v>5.2570577394460631</v>
      </c>
      <c r="F783">
        <v>17.95077975290145</v>
      </c>
    </row>
    <row r="784" spans="1:6" x14ac:dyDescent="0.25">
      <c r="A784">
        <v>39220</v>
      </c>
      <c r="B784">
        <v>2007</v>
      </c>
      <c r="C784">
        <v>13.556042911279896</v>
      </c>
      <c r="D784">
        <v>11.039126825188614</v>
      </c>
      <c r="E784">
        <v>5.2570577394460631</v>
      </c>
      <c r="F784">
        <v>17.95077975290145</v>
      </c>
    </row>
    <row r="785" spans="1:6" x14ac:dyDescent="0.25">
      <c r="A785">
        <v>39213</v>
      </c>
      <c r="B785">
        <v>2007</v>
      </c>
      <c r="C785">
        <v>13.278985099954467</v>
      </c>
      <c r="D785">
        <v>11.039126825188614</v>
      </c>
      <c r="E785">
        <v>5.2570577394460631</v>
      </c>
      <c r="F785">
        <v>17.95077975290145</v>
      </c>
    </row>
    <row r="786" spans="1:6" x14ac:dyDescent="0.25">
      <c r="A786">
        <v>39206</v>
      </c>
      <c r="B786">
        <v>2007</v>
      </c>
      <c r="C786">
        <v>13.351547860063507</v>
      </c>
      <c r="D786">
        <v>11.039126825188614</v>
      </c>
      <c r="E786">
        <v>5.2570577394460631</v>
      </c>
      <c r="F786">
        <v>17.95077975290145</v>
      </c>
    </row>
    <row r="787" spans="1:6" x14ac:dyDescent="0.25">
      <c r="A787">
        <v>39199</v>
      </c>
      <c r="B787">
        <v>2007</v>
      </c>
      <c r="C787">
        <v>13.536253067613794</v>
      </c>
      <c r="D787">
        <v>11.039126825188614</v>
      </c>
      <c r="E787">
        <v>5.2570577394460631</v>
      </c>
      <c r="F787">
        <v>17.95077975290145</v>
      </c>
    </row>
    <row r="788" spans="1:6" x14ac:dyDescent="0.25">
      <c r="A788">
        <v>39192</v>
      </c>
      <c r="B788">
        <v>2007</v>
      </c>
      <c r="C788">
        <v>13.305371558175935</v>
      </c>
      <c r="D788">
        <v>11.039126825188614</v>
      </c>
      <c r="E788">
        <v>5.2570577394460631</v>
      </c>
      <c r="F788">
        <v>17.95077975290145</v>
      </c>
    </row>
    <row r="789" spans="1:6" x14ac:dyDescent="0.25">
      <c r="A789">
        <v>39185</v>
      </c>
      <c r="B789">
        <v>2007</v>
      </c>
      <c r="C789">
        <v>13.562639525835262</v>
      </c>
      <c r="D789">
        <v>11.039126825188614</v>
      </c>
      <c r="E789">
        <v>5.2570577394460631</v>
      </c>
      <c r="F789">
        <v>17.95077975290145</v>
      </c>
    </row>
    <row r="790" spans="1:6" x14ac:dyDescent="0.25">
      <c r="A790">
        <v>39178</v>
      </c>
      <c r="B790">
        <v>2007</v>
      </c>
      <c r="C790">
        <v>13.278985099954467</v>
      </c>
      <c r="D790">
        <v>11.039126825188614</v>
      </c>
      <c r="E790">
        <v>5.2570577394460631</v>
      </c>
      <c r="F790">
        <v>17.95077975290145</v>
      </c>
    </row>
    <row r="791" spans="1:6" x14ac:dyDescent="0.25">
      <c r="A791">
        <v>39171</v>
      </c>
      <c r="B791">
        <v>2007</v>
      </c>
      <c r="C791">
        <v>12.949154372186099</v>
      </c>
      <c r="D791">
        <v>11.039126825188614</v>
      </c>
      <c r="E791">
        <v>5.2570577394460631</v>
      </c>
      <c r="F791">
        <v>17.95077975290145</v>
      </c>
    </row>
    <row r="792" spans="1:6" x14ac:dyDescent="0.25">
      <c r="A792">
        <v>39164</v>
      </c>
      <c r="B792">
        <v>2007</v>
      </c>
      <c r="C792">
        <v>11.939872345214896</v>
      </c>
      <c r="D792">
        <v>11.039126825188614</v>
      </c>
      <c r="E792">
        <v>5.2570577394460631</v>
      </c>
      <c r="F792">
        <v>17.95077975290145</v>
      </c>
    </row>
    <row r="793" spans="1:6" x14ac:dyDescent="0.25">
      <c r="A793">
        <v>39157</v>
      </c>
      <c r="B793">
        <v>2007</v>
      </c>
      <c r="C793">
        <v>11.847519741439752</v>
      </c>
      <c r="D793">
        <v>11.039126825188614</v>
      </c>
      <c r="E793">
        <v>5.2570577394460631</v>
      </c>
      <c r="F793">
        <v>17.95077975290145</v>
      </c>
    </row>
    <row r="794" spans="1:6" x14ac:dyDescent="0.25">
      <c r="A794">
        <v>39150</v>
      </c>
      <c r="B794">
        <v>2007</v>
      </c>
      <c r="C794">
        <v>11.959662188880994</v>
      </c>
      <c r="D794">
        <v>11.039126825188614</v>
      </c>
      <c r="E794">
        <v>5.2570577394460631</v>
      </c>
      <c r="F794">
        <v>17.95077975290145</v>
      </c>
    </row>
    <row r="795" spans="1:6" x14ac:dyDescent="0.25">
      <c r="A795">
        <v>39143</v>
      </c>
      <c r="B795">
        <v>2007</v>
      </c>
      <c r="C795">
        <v>12.052014792656138</v>
      </c>
      <c r="D795">
        <v>11.039126825188614</v>
      </c>
      <c r="E795">
        <v>5.2570577394460631</v>
      </c>
      <c r="F795">
        <v>17.95077975290145</v>
      </c>
    </row>
    <row r="796" spans="1:6" x14ac:dyDescent="0.25">
      <c r="A796">
        <v>39136</v>
      </c>
      <c r="B796">
        <v>2007</v>
      </c>
      <c r="C796">
        <v>11.445126253562345</v>
      </c>
      <c r="D796">
        <v>11.039126825188614</v>
      </c>
      <c r="E796">
        <v>5.2570577394460631</v>
      </c>
      <c r="F796">
        <v>17.95077975290145</v>
      </c>
    </row>
    <row r="797" spans="1:6" x14ac:dyDescent="0.25">
      <c r="A797">
        <v>39129</v>
      </c>
      <c r="B797">
        <v>2007</v>
      </c>
      <c r="C797">
        <v>11.194454900458386</v>
      </c>
      <c r="D797">
        <v>11.039126825188614</v>
      </c>
      <c r="E797">
        <v>5.2570577394460631</v>
      </c>
      <c r="F797">
        <v>17.95077975290145</v>
      </c>
    </row>
    <row r="798" spans="1:6" x14ac:dyDescent="0.25">
      <c r="A798">
        <v>39122</v>
      </c>
      <c r="B798">
        <v>2007</v>
      </c>
      <c r="C798">
        <v>11.524285628226751</v>
      </c>
      <c r="D798">
        <v>11.039126825188614</v>
      </c>
      <c r="E798">
        <v>5.2570577394460631</v>
      </c>
      <c r="F798">
        <v>17.95077975290145</v>
      </c>
    </row>
    <row r="799" spans="1:6" x14ac:dyDescent="0.25">
      <c r="A799">
        <v>39115</v>
      </c>
      <c r="B799">
        <v>2007</v>
      </c>
      <c r="C799">
        <v>11.352773649787201</v>
      </c>
      <c r="D799">
        <v>11.039126825188614</v>
      </c>
      <c r="E799">
        <v>5.2570577394460631</v>
      </c>
      <c r="F799">
        <v>17.95077975290145</v>
      </c>
    </row>
    <row r="800" spans="1:6" x14ac:dyDescent="0.25">
      <c r="A800">
        <v>39108</v>
      </c>
      <c r="B800">
        <v>2007</v>
      </c>
      <c r="C800">
        <v>11.036136151129568</v>
      </c>
      <c r="D800">
        <v>11.039126825188614</v>
      </c>
      <c r="E800">
        <v>5.2570577394460631</v>
      </c>
      <c r="F800">
        <v>17.95077975290145</v>
      </c>
    </row>
    <row r="801" spans="1:6" x14ac:dyDescent="0.25">
      <c r="A801">
        <v>39101</v>
      </c>
      <c r="B801">
        <v>2007</v>
      </c>
      <c r="C801">
        <v>10.838237714468548</v>
      </c>
      <c r="D801">
        <v>11.039126825188614</v>
      </c>
      <c r="E801">
        <v>5.2570577394460631</v>
      </c>
      <c r="F801">
        <v>17.95077975290145</v>
      </c>
    </row>
    <row r="802" spans="1:6" x14ac:dyDescent="0.25">
      <c r="A802">
        <v>39094</v>
      </c>
      <c r="B802">
        <v>2007</v>
      </c>
      <c r="C802">
        <v>10.547986674032385</v>
      </c>
      <c r="D802">
        <v>11.039126825188614</v>
      </c>
      <c r="E802">
        <v>5.2570577394460631</v>
      </c>
      <c r="F802">
        <v>17.95077975290145</v>
      </c>
    </row>
    <row r="803" spans="1:6" x14ac:dyDescent="0.25">
      <c r="A803">
        <v>39087</v>
      </c>
      <c r="B803">
        <v>2007</v>
      </c>
      <c r="C803">
        <v>11.009749692908098</v>
      </c>
      <c r="D803">
        <v>11.039126825188614</v>
      </c>
      <c r="E803">
        <v>5.2570577394460631</v>
      </c>
      <c r="F803">
        <v>17.95077975290145</v>
      </c>
    </row>
    <row r="804" spans="1:6" x14ac:dyDescent="0.25">
      <c r="A804">
        <v>39080</v>
      </c>
      <c r="B804">
        <v>2006</v>
      </c>
      <c r="C804">
        <v>12.68549811150482</v>
      </c>
      <c r="D804">
        <v>11.039126825188614</v>
      </c>
      <c r="E804">
        <v>5.2570577394460631</v>
      </c>
      <c r="F804">
        <v>17.95077975290145</v>
      </c>
    </row>
    <row r="805" spans="1:6" x14ac:dyDescent="0.25">
      <c r="A805">
        <v>39073</v>
      </c>
      <c r="B805">
        <v>2006</v>
      </c>
      <c r="C805">
        <v>13.001716325298855</v>
      </c>
      <c r="D805">
        <v>11.039126825188614</v>
      </c>
      <c r="E805">
        <v>5.2570577394460631</v>
      </c>
      <c r="F805">
        <v>17.95077975290145</v>
      </c>
    </row>
    <row r="806" spans="1:6" x14ac:dyDescent="0.25">
      <c r="A806">
        <v>39066</v>
      </c>
      <c r="B806">
        <v>2006</v>
      </c>
      <c r="C806">
        <v>13.457658866118155</v>
      </c>
      <c r="D806">
        <v>11.039126825188614</v>
      </c>
      <c r="E806">
        <v>5.2570577394460631</v>
      </c>
      <c r="F806">
        <v>17.95077975290145</v>
      </c>
    </row>
    <row r="807" spans="1:6" x14ac:dyDescent="0.25">
      <c r="A807">
        <v>39059</v>
      </c>
      <c r="B807">
        <v>2006</v>
      </c>
      <c r="C807">
        <v>13.81064663965568</v>
      </c>
      <c r="D807">
        <v>11.039126825188614</v>
      </c>
      <c r="E807">
        <v>5.2570577394460631</v>
      </c>
      <c r="F807">
        <v>17.95077975290145</v>
      </c>
    </row>
    <row r="808" spans="1:6" x14ac:dyDescent="0.25">
      <c r="A808">
        <v>39052</v>
      </c>
      <c r="B808">
        <v>2006</v>
      </c>
      <c r="C808">
        <v>13.590029281194727</v>
      </c>
      <c r="D808">
        <v>11.039126825188614</v>
      </c>
      <c r="E808">
        <v>5.2570577394460631</v>
      </c>
      <c r="F808">
        <v>17.95077975290145</v>
      </c>
    </row>
    <row r="809" spans="1:6" x14ac:dyDescent="0.25">
      <c r="A809">
        <v>39045</v>
      </c>
      <c r="B809">
        <v>2006</v>
      </c>
      <c r="C809">
        <v>12.898761558017073</v>
      </c>
      <c r="D809">
        <v>11.039126825188614</v>
      </c>
      <c r="E809">
        <v>5.2570577394460631</v>
      </c>
      <c r="F809">
        <v>17.95077975290145</v>
      </c>
    </row>
    <row r="810" spans="1:6" x14ac:dyDescent="0.25">
      <c r="A810">
        <v>39038</v>
      </c>
      <c r="B810">
        <v>2006</v>
      </c>
      <c r="C810">
        <v>12.53841987253085</v>
      </c>
      <c r="D810">
        <v>11.039126825188614</v>
      </c>
      <c r="E810">
        <v>5.2570577394460631</v>
      </c>
      <c r="F810">
        <v>17.95077975290145</v>
      </c>
    </row>
    <row r="811" spans="1:6" x14ac:dyDescent="0.25">
      <c r="A811">
        <v>39031</v>
      </c>
      <c r="B811">
        <v>2006</v>
      </c>
      <c r="C811">
        <v>12.634020727863929</v>
      </c>
      <c r="D811">
        <v>11.039126825188614</v>
      </c>
      <c r="E811">
        <v>5.2570577394460631</v>
      </c>
      <c r="F811">
        <v>17.95077975290145</v>
      </c>
    </row>
    <row r="812" spans="1:6" x14ac:dyDescent="0.25">
      <c r="A812">
        <v>39024</v>
      </c>
      <c r="B812">
        <v>2006</v>
      </c>
      <c r="C812">
        <v>12.185432098993324</v>
      </c>
      <c r="D812">
        <v>11.039126825188614</v>
      </c>
      <c r="E812">
        <v>5.2570577394460631</v>
      </c>
      <c r="F812">
        <v>17.95077975290145</v>
      </c>
    </row>
    <row r="813" spans="1:6" x14ac:dyDescent="0.25">
      <c r="A813">
        <v>39017</v>
      </c>
      <c r="B813">
        <v>2006</v>
      </c>
      <c r="C813">
        <v>12.722267671248311</v>
      </c>
      <c r="D813">
        <v>11.039126825188614</v>
      </c>
      <c r="E813">
        <v>5.2570577394460631</v>
      </c>
      <c r="F813">
        <v>17.95077975290145</v>
      </c>
    </row>
    <row r="814" spans="1:6" x14ac:dyDescent="0.25">
      <c r="A814">
        <v>39010</v>
      </c>
      <c r="B814">
        <v>2006</v>
      </c>
      <c r="C814">
        <v>12.891407646068377</v>
      </c>
      <c r="D814">
        <v>11.039126825188614</v>
      </c>
      <c r="E814">
        <v>5.2570577394460631</v>
      </c>
      <c r="F814">
        <v>17.95077975290145</v>
      </c>
    </row>
    <row r="815" spans="1:6" x14ac:dyDescent="0.25">
      <c r="A815">
        <v>39003</v>
      </c>
      <c r="B815">
        <v>2006</v>
      </c>
      <c r="C815">
        <v>12.987008501401457</v>
      </c>
      <c r="D815">
        <v>11.039126825188614</v>
      </c>
      <c r="E815">
        <v>5.2570577394460631</v>
      </c>
      <c r="F815">
        <v>17.95077975290145</v>
      </c>
    </row>
    <row r="816" spans="1:6" x14ac:dyDescent="0.25">
      <c r="A816">
        <v>38996</v>
      </c>
      <c r="B816">
        <v>2006</v>
      </c>
      <c r="C816">
        <v>12.788452878786597</v>
      </c>
      <c r="D816">
        <v>11.039126825188614</v>
      </c>
      <c r="E816">
        <v>5.2570577394460631</v>
      </c>
      <c r="F816">
        <v>17.95077975290145</v>
      </c>
    </row>
    <row r="817" spans="1:6" x14ac:dyDescent="0.25">
      <c r="A817">
        <v>38989</v>
      </c>
      <c r="B817">
        <v>2006</v>
      </c>
      <c r="C817">
        <v>13.391473658579869</v>
      </c>
      <c r="D817">
        <v>11.039126825188614</v>
      </c>
      <c r="E817">
        <v>5.2570577394460631</v>
      </c>
      <c r="F817">
        <v>17.95077975290145</v>
      </c>
    </row>
    <row r="818" spans="1:6" x14ac:dyDescent="0.25">
      <c r="A818">
        <v>38982</v>
      </c>
      <c r="B818">
        <v>2006</v>
      </c>
      <c r="C818">
        <v>12.634020727863929</v>
      </c>
      <c r="D818">
        <v>11.039126825188614</v>
      </c>
      <c r="E818">
        <v>5.2570577394460631</v>
      </c>
      <c r="F818">
        <v>17.95077975290145</v>
      </c>
    </row>
    <row r="819" spans="1:6" x14ac:dyDescent="0.25">
      <c r="A819">
        <v>38975</v>
      </c>
      <c r="B819">
        <v>2006</v>
      </c>
      <c r="C819">
        <v>12.788452878786597</v>
      </c>
      <c r="D819">
        <v>11.039126825188614</v>
      </c>
      <c r="E819">
        <v>5.2570577394460631</v>
      </c>
      <c r="F819">
        <v>17.95077975290145</v>
      </c>
    </row>
    <row r="820" spans="1:6" x14ac:dyDescent="0.25">
      <c r="A820">
        <v>38968</v>
      </c>
      <c r="B820">
        <v>2006</v>
      </c>
      <c r="C820">
        <v>14.34748221191067</v>
      </c>
      <c r="D820">
        <v>11.039126825188614</v>
      </c>
      <c r="E820">
        <v>5.2570577394460631</v>
      </c>
      <c r="F820">
        <v>17.95077975290145</v>
      </c>
    </row>
    <row r="821" spans="1:6" x14ac:dyDescent="0.25">
      <c r="A821">
        <v>38961</v>
      </c>
      <c r="B821">
        <v>2006</v>
      </c>
      <c r="C821">
        <v>14.987272551447433</v>
      </c>
      <c r="D821">
        <v>11.039126825188614</v>
      </c>
      <c r="E821">
        <v>5.2570577394460631</v>
      </c>
      <c r="F821">
        <v>17.95077975290145</v>
      </c>
    </row>
    <row r="822" spans="1:6" x14ac:dyDescent="0.25">
      <c r="A822">
        <v>38954</v>
      </c>
      <c r="B822">
        <v>2006</v>
      </c>
      <c r="C822">
        <v>15.766787218009471</v>
      </c>
      <c r="D822">
        <v>11.039126825188614</v>
      </c>
      <c r="E822">
        <v>5.2570577394460631</v>
      </c>
      <c r="F822">
        <v>17.95077975290145</v>
      </c>
    </row>
    <row r="823" spans="1:6" x14ac:dyDescent="0.25">
      <c r="A823">
        <v>38947</v>
      </c>
      <c r="B823">
        <v>2006</v>
      </c>
      <c r="C823">
        <v>15.332906413036259</v>
      </c>
      <c r="D823">
        <v>11.039126825188614</v>
      </c>
      <c r="E823">
        <v>5.2570577394460631</v>
      </c>
      <c r="F823">
        <v>17.95077975290145</v>
      </c>
    </row>
    <row r="824" spans="1:6" x14ac:dyDescent="0.25">
      <c r="A824">
        <v>38940</v>
      </c>
      <c r="B824">
        <v>2006</v>
      </c>
      <c r="C824">
        <v>15.855034161393851</v>
      </c>
      <c r="D824">
        <v>11.039126825188614</v>
      </c>
      <c r="E824">
        <v>5.2570577394460631</v>
      </c>
      <c r="F824">
        <v>17.95077975290145</v>
      </c>
    </row>
    <row r="825" spans="1:6" x14ac:dyDescent="0.25">
      <c r="A825">
        <v>38933</v>
      </c>
      <c r="B825">
        <v>2006</v>
      </c>
      <c r="C825">
        <v>16.369807997802742</v>
      </c>
      <c r="D825">
        <v>11.039126825188614</v>
      </c>
      <c r="E825">
        <v>5.2570577394460631</v>
      </c>
      <c r="F825">
        <v>17.95077975290145</v>
      </c>
    </row>
    <row r="826" spans="1:6" x14ac:dyDescent="0.25">
      <c r="A826">
        <v>38926</v>
      </c>
      <c r="B826">
        <v>2006</v>
      </c>
      <c r="C826">
        <v>15.877095897239943</v>
      </c>
      <c r="D826">
        <v>11.039126825188614</v>
      </c>
      <c r="E826">
        <v>5.2570577394460631</v>
      </c>
      <c r="F826">
        <v>17.95077975290145</v>
      </c>
    </row>
    <row r="827" spans="1:6" x14ac:dyDescent="0.25">
      <c r="A827">
        <v>38919</v>
      </c>
      <c r="B827">
        <v>2006</v>
      </c>
      <c r="C827">
        <v>15.994758488419118</v>
      </c>
      <c r="D827">
        <v>11.039126825188614</v>
      </c>
      <c r="E827">
        <v>5.2570577394460631</v>
      </c>
      <c r="F827">
        <v>17.95077975290145</v>
      </c>
    </row>
    <row r="828" spans="1:6" x14ac:dyDescent="0.25">
      <c r="A828">
        <v>38912</v>
      </c>
      <c r="B828">
        <v>2006</v>
      </c>
      <c r="C828">
        <v>15.766787218009471</v>
      </c>
      <c r="D828">
        <v>11.039126825188614</v>
      </c>
      <c r="E828">
        <v>5.2570577394460631</v>
      </c>
      <c r="F828">
        <v>17.95077975290145</v>
      </c>
    </row>
    <row r="829" spans="1:6" x14ac:dyDescent="0.25">
      <c r="A829">
        <v>38905</v>
      </c>
      <c r="B829">
        <v>2006</v>
      </c>
      <c r="C829">
        <v>15.619708979035499</v>
      </c>
      <c r="D829">
        <v>11.039126825188614</v>
      </c>
      <c r="E829">
        <v>5.2570577394460631</v>
      </c>
      <c r="F829">
        <v>17.95077975290145</v>
      </c>
    </row>
    <row r="830" spans="1:6" x14ac:dyDescent="0.25">
      <c r="A830">
        <v>38898</v>
      </c>
      <c r="B830">
        <v>2006</v>
      </c>
      <c r="C830">
        <v>15.046103847037021</v>
      </c>
      <c r="D830">
        <v>11.039126825188614</v>
      </c>
      <c r="E830">
        <v>5.2570577394460631</v>
      </c>
      <c r="F830">
        <v>17.95077975290145</v>
      </c>
    </row>
    <row r="831" spans="1:6" x14ac:dyDescent="0.25">
      <c r="A831">
        <v>38891</v>
      </c>
      <c r="B831">
        <v>2006</v>
      </c>
      <c r="C831">
        <v>14.847548224422164</v>
      </c>
      <c r="D831">
        <v>11.039126825188614</v>
      </c>
      <c r="E831">
        <v>5.2570577394460631</v>
      </c>
      <c r="F831">
        <v>17.95077975290145</v>
      </c>
    </row>
    <row r="832" spans="1:6" x14ac:dyDescent="0.25">
      <c r="A832">
        <v>38884</v>
      </c>
      <c r="B832">
        <v>2006</v>
      </c>
      <c r="C832">
        <v>15.384383796677149</v>
      </c>
      <c r="D832">
        <v>11.039126825188614</v>
      </c>
      <c r="E832">
        <v>5.2570577394460631</v>
      </c>
      <c r="F832">
        <v>17.95077975290145</v>
      </c>
    </row>
    <row r="833" spans="1:6" x14ac:dyDescent="0.25">
      <c r="A833">
        <v>38877</v>
      </c>
      <c r="B833">
        <v>2006</v>
      </c>
      <c r="C833">
        <v>15.862388073342549</v>
      </c>
      <c r="D833">
        <v>11.039126825188614</v>
      </c>
      <c r="E833">
        <v>5.2570577394460631</v>
      </c>
      <c r="F833">
        <v>17.95077975290145</v>
      </c>
    </row>
    <row r="834" spans="1:6" x14ac:dyDescent="0.25">
      <c r="A834">
        <v>38870</v>
      </c>
      <c r="B834">
        <v>2006</v>
      </c>
      <c r="C834">
        <v>15.369675972779749</v>
      </c>
      <c r="D834">
        <v>11.039126825188614</v>
      </c>
      <c r="E834">
        <v>5.2570577394460631</v>
      </c>
      <c r="F834">
        <v>17.95077975290145</v>
      </c>
    </row>
    <row r="835" spans="1:6" x14ac:dyDescent="0.25">
      <c r="A835">
        <v>38863</v>
      </c>
      <c r="B835">
        <v>2006</v>
      </c>
      <c r="C835">
        <v>15.038749935088319</v>
      </c>
      <c r="D835">
        <v>11.039126825188614</v>
      </c>
      <c r="E835">
        <v>5.2570577394460631</v>
      </c>
      <c r="F835">
        <v>17.95077975290145</v>
      </c>
    </row>
    <row r="836" spans="1:6" x14ac:dyDescent="0.25">
      <c r="A836">
        <v>38856</v>
      </c>
      <c r="B836">
        <v>2006</v>
      </c>
      <c r="C836">
        <v>14.869609960268257</v>
      </c>
      <c r="D836">
        <v>11.039126825188614</v>
      </c>
      <c r="E836">
        <v>5.2570577394460631</v>
      </c>
      <c r="F836">
        <v>17.95077975290145</v>
      </c>
    </row>
    <row r="837" spans="1:6" x14ac:dyDescent="0.25">
      <c r="A837">
        <v>38849</v>
      </c>
      <c r="B837">
        <v>2006</v>
      </c>
      <c r="C837">
        <v>15.560877683445909</v>
      </c>
      <c r="D837">
        <v>11.039126825188614</v>
      </c>
      <c r="E837">
        <v>5.2570577394460631</v>
      </c>
      <c r="F837">
        <v>17.95077975290145</v>
      </c>
    </row>
    <row r="838" spans="1:6" x14ac:dyDescent="0.25">
      <c r="A838">
        <v>38842</v>
      </c>
      <c r="B838">
        <v>2006</v>
      </c>
      <c r="C838">
        <v>15.391737708625845</v>
      </c>
      <c r="D838">
        <v>11.039126825188614</v>
      </c>
      <c r="E838">
        <v>5.2570577394460631</v>
      </c>
      <c r="F838">
        <v>17.95077975290145</v>
      </c>
    </row>
    <row r="839" spans="1:6" x14ac:dyDescent="0.25">
      <c r="A839">
        <v>38835</v>
      </c>
      <c r="B839">
        <v>2006</v>
      </c>
      <c r="C839">
        <v>15.597647243189405</v>
      </c>
      <c r="D839">
        <v>11.039126825188614</v>
      </c>
      <c r="E839">
        <v>5.2570577394460631</v>
      </c>
      <c r="F839">
        <v>17.95077975290145</v>
      </c>
    </row>
    <row r="840" spans="1:6" x14ac:dyDescent="0.25">
      <c r="A840">
        <v>38828</v>
      </c>
      <c r="B840">
        <v>2006</v>
      </c>
      <c r="C840">
        <v>15.825618513599053</v>
      </c>
      <c r="D840">
        <v>11.039126825188614</v>
      </c>
      <c r="E840">
        <v>5.2570577394460631</v>
      </c>
      <c r="F840">
        <v>17.95077975290145</v>
      </c>
    </row>
    <row r="841" spans="1:6" x14ac:dyDescent="0.25">
      <c r="A841">
        <v>38821</v>
      </c>
      <c r="B841">
        <v>2006</v>
      </c>
      <c r="C841">
        <v>15.068165582883116</v>
      </c>
      <c r="D841">
        <v>11.039126825188614</v>
      </c>
      <c r="E841">
        <v>5.2570577394460631</v>
      </c>
      <c r="F841">
        <v>17.95077975290145</v>
      </c>
    </row>
    <row r="842" spans="1:6" x14ac:dyDescent="0.25">
      <c r="A842">
        <v>38814</v>
      </c>
      <c r="B842">
        <v>2006</v>
      </c>
      <c r="C842">
        <v>14.487206538935938</v>
      </c>
      <c r="D842">
        <v>11.039126825188614</v>
      </c>
      <c r="E842">
        <v>5.2570577394460631</v>
      </c>
      <c r="F842">
        <v>17.95077975290145</v>
      </c>
    </row>
    <row r="843" spans="1:6" x14ac:dyDescent="0.25">
      <c r="A843">
        <v>38807</v>
      </c>
      <c r="B843">
        <v>2006</v>
      </c>
      <c r="C843">
        <v>14.244527444628892</v>
      </c>
      <c r="D843">
        <v>11.039126825188614</v>
      </c>
      <c r="E843">
        <v>5.2570577394460631</v>
      </c>
      <c r="F843">
        <v>17.95077975290145</v>
      </c>
    </row>
    <row r="844" spans="1:6" x14ac:dyDescent="0.25">
      <c r="A844">
        <v>38800</v>
      </c>
      <c r="B844">
        <v>2006</v>
      </c>
      <c r="C844">
        <v>13.634152752886918</v>
      </c>
      <c r="D844">
        <v>11.039126825188614</v>
      </c>
      <c r="E844">
        <v>5.2570577394460631</v>
      </c>
      <c r="F844">
        <v>17.95077975290145</v>
      </c>
    </row>
    <row r="845" spans="1:6" x14ac:dyDescent="0.25">
      <c r="A845">
        <v>38793</v>
      </c>
      <c r="B845">
        <v>2006</v>
      </c>
      <c r="C845">
        <v>13.86212402329657</v>
      </c>
      <c r="D845">
        <v>11.039126825188614</v>
      </c>
      <c r="E845">
        <v>5.2570577394460631</v>
      </c>
      <c r="F845">
        <v>17.95077975290145</v>
      </c>
    </row>
    <row r="846" spans="1:6" x14ac:dyDescent="0.25">
      <c r="A846">
        <v>38786</v>
      </c>
      <c r="B846">
        <v>2006</v>
      </c>
      <c r="C846">
        <v>13.310580627144189</v>
      </c>
      <c r="D846">
        <v>11.039126825188614</v>
      </c>
      <c r="E846">
        <v>5.2570577394460631</v>
      </c>
      <c r="F846">
        <v>17.95077975290145</v>
      </c>
    </row>
    <row r="847" spans="1:6" x14ac:dyDescent="0.25">
      <c r="A847">
        <v>38779</v>
      </c>
      <c r="B847">
        <v>2006</v>
      </c>
      <c r="C847">
        <v>13.612091017040825</v>
      </c>
      <c r="D847">
        <v>11.039126825188614</v>
      </c>
      <c r="E847">
        <v>5.2570577394460631</v>
      </c>
      <c r="F847">
        <v>17.95077975290145</v>
      </c>
    </row>
    <row r="848" spans="1:6" x14ac:dyDescent="0.25">
      <c r="A848">
        <v>38772</v>
      </c>
      <c r="B848">
        <v>2006</v>
      </c>
      <c r="C848">
        <v>12.994362413350153</v>
      </c>
      <c r="D848">
        <v>11.039126825188614</v>
      </c>
      <c r="E848">
        <v>5.2570577394460631</v>
      </c>
      <c r="F848">
        <v>17.95077975290145</v>
      </c>
    </row>
    <row r="849" spans="1:6" x14ac:dyDescent="0.25">
      <c r="A849">
        <v>38765</v>
      </c>
      <c r="B849">
        <v>2006</v>
      </c>
      <c r="C849">
        <v>12.626666815915232</v>
      </c>
      <c r="D849">
        <v>11.039126825188614</v>
      </c>
      <c r="E849">
        <v>5.2570577394460631</v>
      </c>
      <c r="F849">
        <v>17.95077975290145</v>
      </c>
    </row>
    <row r="850" spans="1:6" x14ac:dyDescent="0.25">
      <c r="A850">
        <v>38758</v>
      </c>
      <c r="B850">
        <v>2006</v>
      </c>
      <c r="C850">
        <v>12.759037230991805</v>
      </c>
      <c r="D850">
        <v>11.039126825188614</v>
      </c>
      <c r="E850">
        <v>5.2570577394460631</v>
      </c>
      <c r="F850">
        <v>17.95077975290145</v>
      </c>
    </row>
    <row r="851" spans="1:6" x14ac:dyDescent="0.25">
      <c r="A851">
        <v>38751</v>
      </c>
      <c r="B851">
        <v>2006</v>
      </c>
      <c r="C851">
        <v>13.479720601964251</v>
      </c>
      <c r="D851">
        <v>11.039126825188614</v>
      </c>
      <c r="E851">
        <v>5.2570577394460631</v>
      </c>
      <c r="F851">
        <v>17.95077975290145</v>
      </c>
    </row>
    <row r="852" spans="1:6" x14ac:dyDescent="0.25">
      <c r="A852">
        <v>38744</v>
      </c>
      <c r="B852">
        <v>2006</v>
      </c>
      <c r="C852">
        <v>13.560613633399935</v>
      </c>
      <c r="D852">
        <v>11.039126825188614</v>
      </c>
      <c r="E852">
        <v>5.2570577394460631</v>
      </c>
      <c r="F852">
        <v>17.95077975290145</v>
      </c>
    </row>
    <row r="853" spans="1:6" x14ac:dyDescent="0.25">
      <c r="A853">
        <v>38737</v>
      </c>
      <c r="B853">
        <v>2006</v>
      </c>
      <c r="C853">
        <v>13.545905809502537</v>
      </c>
      <c r="D853">
        <v>11.039126825188614</v>
      </c>
      <c r="E853">
        <v>5.2570577394460631</v>
      </c>
      <c r="F853">
        <v>17.95077975290145</v>
      </c>
    </row>
    <row r="854" spans="1:6" x14ac:dyDescent="0.25">
      <c r="A854">
        <v>38730</v>
      </c>
      <c r="B854">
        <v>2006</v>
      </c>
      <c r="C854">
        <v>12.736975495145709</v>
      </c>
      <c r="D854">
        <v>11.039126825188614</v>
      </c>
      <c r="E854">
        <v>5.2570577394460631</v>
      </c>
      <c r="F854">
        <v>17.95077975290145</v>
      </c>
    </row>
    <row r="855" spans="1:6" x14ac:dyDescent="0.25">
      <c r="A855">
        <v>38723</v>
      </c>
      <c r="B855">
        <v>2006</v>
      </c>
      <c r="C855">
        <v>13.457658866118155</v>
      </c>
      <c r="D855">
        <v>11.039126825188614</v>
      </c>
      <c r="E855">
        <v>5.2570577394460631</v>
      </c>
      <c r="F855">
        <v>17.95077975290145</v>
      </c>
    </row>
    <row r="856" spans="1:6" x14ac:dyDescent="0.25">
      <c r="A856">
        <v>38716</v>
      </c>
      <c r="B856">
        <v>2005</v>
      </c>
      <c r="C856">
        <v>13.19593712135366</v>
      </c>
      <c r="D856">
        <v>11.039126825188614</v>
      </c>
      <c r="E856">
        <v>5.2570577394460631</v>
      </c>
      <c r="F856">
        <v>17.95077975290145</v>
      </c>
    </row>
    <row r="857" spans="1:6" x14ac:dyDescent="0.25">
      <c r="A857">
        <v>38709</v>
      </c>
      <c r="B857">
        <v>2005</v>
      </c>
      <c r="C857">
        <v>12.847079013547761</v>
      </c>
      <c r="D857">
        <v>11.039126825188614</v>
      </c>
      <c r="E857">
        <v>5.2570577394460631</v>
      </c>
      <c r="F857">
        <v>17.95077975290145</v>
      </c>
    </row>
    <row r="858" spans="1:6" x14ac:dyDescent="0.25">
      <c r="A858">
        <v>38702</v>
      </c>
      <c r="B858">
        <v>2005</v>
      </c>
      <c r="C858">
        <v>13.400701662891905</v>
      </c>
      <c r="D858">
        <v>11.039126825188614</v>
      </c>
      <c r="E858">
        <v>5.2570577394460631</v>
      </c>
      <c r="F858">
        <v>17.95077975290145</v>
      </c>
    </row>
    <row r="859" spans="1:6" x14ac:dyDescent="0.25">
      <c r="A859">
        <v>38695</v>
      </c>
      <c r="B859">
        <v>2005</v>
      </c>
      <c r="C859">
        <v>13.158017761809543</v>
      </c>
      <c r="D859">
        <v>11.039126825188614</v>
      </c>
      <c r="E859">
        <v>5.2570577394460631</v>
      </c>
      <c r="F859">
        <v>17.95077975290145</v>
      </c>
    </row>
    <row r="860" spans="1:6" x14ac:dyDescent="0.25">
      <c r="A860">
        <v>38688</v>
      </c>
      <c r="B860">
        <v>2005</v>
      </c>
      <c r="C860">
        <v>12.27070474847714</v>
      </c>
      <c r="D860">
        <v>11.039126825188614</v>
      </c>
      <c r="E860">
        <v>5.2570577394460631</v>
      </c>
      <c r="F860">
        <v>17.95077975290145</v>
      </c>
    </row>
    <row r="861" spans="1:6" x14ac:dyDescent="0.25">
      <c r="A861">
        <v>38681</v>
      </c>
      <c r="B861">
        <v>2005</v>
      </c>
      <c r="C861">
        <v>12.702985447280104</v>
      </c>
      <c r="D861">
        <v>11.039126825188614</v>
      </c>
      <c r="E861">
        <v>5.2570577394460631</v>
      </c>
      <c r="F861">
        <v>17.95077975290145</v>
      </c>
    </row>
    <row r="862" spans="1:6" x14ac:dyDescent="0.25">
      <c r="A862">
        <v>38674</v>
      </c>
      <c r="B862">
        <v>2005</v>
      </c>
      <c r="C862">
        <v>12.581643496738922</v>
      </c>
      <c r="D862">
        <v>11.039126825188614</v>
      </c>
      <c r="E862">
        <v>5.2570577394460631</v>
      </c>
      <c r="F862">
        <v>17.95077975290145</v>
      </c>
    </row>
    <row r="863" spans="1:6" x14ac:dyDescent="0.25">
      <c r="A863">
        <v>38667</v>
      </c>
      <c r="B863">
        <v>2005</v>
      </c>
      <c r="C863">
        <v>13.180769377536013</v>
      </c>
      <c r="D863">
        <v>11.039126825188614</v>
      </c>
      <c r="E863">
        <v>5.2570577394460631</v>
      </c>
      <c r="F863">
        <v>17.95077975290145</v>
      </c>
    </row>
    <row r="864" spans="1:6" x14ac:dyDescent="0.25">
      <c r="A864">
        <v>38660</v>
      </c>
      <c r="B864">
        <v>2005</v>
      </c>
      <c r="C864">
        <v>13.787479130241925</v>
      </c>
      <c r="D864">
        <v>11.039126825188614</v>
      </c>
      <c r="E864">
        <v>5.2570577394460631</v>
      </c>
      <c r="F864">
        <v>17.95077975290145</v>
      </c>
    </row>
    <row r="865" spans="1:6" x14ac:dyDescent="0.25">
      <c r="A865">
        <v>38653</v>
      </c>
      <c r="B865">
        <v>2005</v>
      </c>
      <c r="C865">
        <v>14.591369552577266</v>
      </c>
      <c r="D865">
        <v>11.039126825188614</v>
      </c>
      <c r="E865">
        <v>5.2570577394460631</v>
      </c>
      <c r="F865">
        <v>17.95077975290145</v>
      </c>
    </row>
    <row r="866" spans="1:6" x14ac:dyDescent="0.25">
      <c r="A866">
        <v>38646</v>
      </c>
      <c r="B866">
        <v>2005</v>
      </c>
      <c r="C866">
        <v>16.813444021862679</v>
      </c>
      <c r="D866">
        <v>11.039126825188614</v>
      </c>
      <c r="E866">
        <v>5.2570577394460631</v>
      </c>
      <c r="F866">
        <v>17.95077975290145</v>
      </c>
    </row>
    <row r="867" spans="1:6" x14ac:dyDescent="0.25">
      <c r="A867">
        <v>38639</v>
      </c>
      <c r="B867">
        <v>2005</v>
      </c>
      <c r="C867">
        <v>19.786321810121667</v>
      </c>
      <c r="D867">
        <v>11.039126825188614</v>
      </c>
      <c r="E867">
        <v>5.2570577394460631</v>
      </c>
      <c r="F867">
        <v>17.95077975290145</v>
      </c>
    </row>
    <row r="868" spans="1:6" x14ac:dyDescent="0.25">
      <c r="A868">
        <v>38632</v>
      </c>
      <c r="B868">
        <v>2005</v>
      </c>
      <c r="C868">
        <v>22.319335027668867</v>
      </c>
      <c r="D868">
        <v>11.039126825188614</v>
      </c>
      <c r="E868">
        <v>5.2570577394460631</v>
      </c>
      <c r="F868">
        <v>17.95077975290145</v>
      </c>
    </row>
    <row r="869" spans="1:6" x14ac:dyDescent="0.25">
      <c r="A869">
        <v>38625</v>
      </c>
      <c r="B869">
        <v>2005</v>
      </c>
      <c r="C869">
        <v>20.529541257186413</v>
      </c>
      <c r="D869">
        <v>11.039126825188614</v>
      </c>
      <c r="E869">
        <v>5.2570577394460631</v>
      </c>
      <c r="F869">
        <v>17.95077975290145</v>
      </c>
    </row>
    <row r="870" spans="1:6" x14ac:dyDescent="0.25">
      <c r="A870">
        <v>38618</v>
      </c>
      <c r="B870">
        <v>2005</v>
      </c>
      <c r="C870">
        <v>16.601095608415616</v>
      </c>
      <c r="D870">
        <v>11.039126825188614</v>
      </c>
      <c r="E870">
        <v>5.2570577394460631</v>
      </c>
      <c r="F870">
        <v>17.95077975290145</v>
      </c>
    </row>
    <row r="871" spans="1:6" x14ac:dyDescent="0.25">
      <c r="A871">
        <v>38611</v>
      </c>
      <c r="B871">
        <v>2005</v>
      </c>
      <c r="C871">
        <v>14.561034064941968</v>
      </c>
      <c r="D871">
        <v>11.039126825188614</v>
      </c>
      <c r="E871">
        <v>5.2570577394460631</v>
      </c>
      <c r="F871">
        <v>17.95077975290145</v>
      </c>
    </row>
    <row r="872" spans="1:6" x14ac:dyDescent="0.25">
      <c r="A872">
        <v>38604</v>
      </c>
      <c r="B872">
        <v>2005</v>
      </c>
      <c r="C872">
        <v>15.486266437818488</v>
      </c>
      <c r="D872">
        <v>11.039126825188614</v>
      </c>
      <c r="E872">
        <v>5.2570577394460631</v>
      </c>
      <c r="F872">
        <v>17.95077975290145</v>
      </c>
    </row>
    <row r="873" spans="1:6" x14ac:dyDescent="0.25">
      <c r="A873">
        <v>38597</v>
      </c>
      <c r="B873">
        <v>2005</v>
      </c>
      <c r="C873">
        <v>16.96512146003916</v>
      </c>
      <c r="D873">
        <v>11.039126825188614</v>
      </c>
      <c r="E873">
        <v>5.2570577394460631</v>
      </c>
      <c r="F873">
        <v>17.95077975290145</v>
      </c>
    </row>
    <row r="874" spans="1:6" x14ac:dyDescent="0.25">
      <c r="A874">
        <v>38590</v>
      </c>
      <c r="B874">
        <v>2005</v>
      </c>
      <c r="C874">
        <v>14.363853395312546</v>
      </c>
      <c r="D874">
        <v>11.039126825188614</v>
      </c>
      <c r="E874">
        <v>5.2570577394460631</v>
      </c>
      <c r="F874">
        <v>17.95077975290145</v>
      </c>
    </row>
    <row r="875" spans="1:6" x14ac:dyDescent="0.25">
      <c r="A875">
        <v>38583</v>
      </c>
      <c r="B875">
        <v>2005</v>
      </c>
      <c r="C875">
        <v>14.098417878503712</v>
      </c>
      <c r="D875">
        <v>11.039126825188614</v>
      </c>
      <c r="E875">
        <v>5.2570577394460631</v>
      </c>
      <c r="F875">
        <v>17.95077975290145</v>
      </c>
    </row>
    <row r="876" spans="1:6" x14ac:dyDescent="0.25">
      <c r="A876">
        <v>38576</v>
      </c>
      <c r="B876">
        <v>2005</v>
      </c>
      <c r="C876">
        <v>14.106001750412535</v>
      </c>
      <c r="D876">
        <v>11.039126825188614</v>
      </c>
      <c r="E876">
        <v>5.2570577394460631</v>
      </c>
      <c r="F876">
        <v>17.95077975290145</v>
      </c>
    </row>
    <row r="877" spans="1:6" x14ac:dyDescent="0.25">
      <c r="A877">
        <v>38569</v>
      </c>
      <c r="B877">
        <v>2005</v>
      </c>
      <c r="C877">
        <v>12.877414501183054</v>
      </c>
      <c r="D877">
        <v>11.039126825188614</v>
      </c>
      <c r="E877">
        <v>5.2570577394460631</v>
      </c>
      <c r="F877">
        <v>17.95077975290145</v>
      </c>
    </row>
    <row r="878" spans="1:6" x14ac:dyDescent="0.25">
      <c r="A878">
        <v>38562</v>
      </c>
      <c r="B878">
        <v>2005</v>
      </c>
      <c r="C878">
        <v>12.505804777650683</v>
      </c>
      <c r="D878">
        <v>11.039126825188614</v>
      </c>
      <c r="E878">
        <v>5.2570577394460631</v>
      </c>
      <c r="F878">
        <v>17.95077975290145</v>
      </c>
    </row>
    <row r="879" spans="1:6" x14ac:dyDescent="0.25">
      <c r="A879">
        <v>38555</v>
      </c>
      <c r="B879">
        <v>2005</v>
      </c>
      <c r="C879">
        <v>12.187282157480078</v>
      </c>
      <c r="D879">
        <v>11.039126825188614</v>
      </c>
      <c r="E879">
        <v>5.2570577394460631</v>
      </c>
      <c r="F879">
        <v>17.95077975290145</v>
      </c>
    </row>
    <row r="880" spans="1:6" x14ac:dyDescent="0.25">
      <c r="A880">
        <v>38548</v>
      </c>
      <c r="B880">
        <v>2005</v>
      </c>
      <c r="C880">
        <v>12.649898343918338</v>
      </c>
      <c r="D880">
        <v>11.039126825188614</v>
      </c>
      <c r="E880">
        <v>5.2570577394460631</v>
      </c>
      <c r="F880">
        <v>17.95077975290145</v>
      </c>
    </row>
    <row r="881" spans="1:6" x14ac:dyDescent="0.25">
      <c r="A881">
        <v>38541</v>
      </c>
      <c r="B881">
        <v>2005</v>
      </c>
      <c r="C881">
        <v>13.211104865171308</v>
      </c>
      <c r="D881">
        <v>11.039126825188614</v>
      </c>
      <c r="E881">
        <v>5.2570577394460631</v>
      </c>
      <c r="F881">
        <v>17.95077975290145</v>
      </c>
    </row>
    <row r="882" spans="1:6" x14ac:dyDescent="0.25">
      <c r="A882">
        <v>38534</v>
      </c>
      <c r="B882">
        <v>2005</v>
      </c>
      <c r="C882">
        <v>12.520972521468329</v>
      </c>
      <c r="D882">
        <v>11.039126825188614</v>
      </c>
      <c r="E882">
        <v>5.2570577394460631</v>
      </c>
      <c r="F882">
        <v>17.95077975290145</v>
      </c>
    </row>
    <row r="883" spans="1:6" x14ac:dyDescent="0.25">
      <c r="A883">
        <v>38527</v>
      </c>
      <c r="B883">
        <v>2005</v>
      </c>
      <c r="C883">
        <v>12.680233831553631</v>
      </c>
      <c r="D883">
        <v>11.039126825188614</v>
      </c>
      <c r="E883">
        <v>5.2570577394460631</v>
      </c>
      <c r="F883">
        <v>17.95077975290145</v>
      </c>
    </row>
    <row r="884" spans="1:6" x14ac:dyDescent="0.25">
      <c r="A884">
        <v>38520</v>
      </c>
      <c r="B884">
        <v>2005</v>
      </c>
      <c r="C884">
        <v>12.695401575371282</v>
      </c>
      <c r="D884">
        <v>11.039126825188614</v>
      </c>
      <c r="E884">
        <v>5.2570577394460631</v>
      </c>
      <c r="F884">
        <v>17.95077975290145</v>
      </c>
    </row>
    <row r="885" spans="1:6" x14ac:dyDescent="0.25">
      <c r="A885">
        <v>38513</v>
      </c>
      <c r="B885">
        <v>2005</v>
      </c>
      <c r="C885">
        <v>12.452717674288914</v>
      </c>
      <c r="D885">
        <v>11.039126825188614</v>
      </c>
      <c r="E885">
        <v>5.2570577394460631</v>
      </c>
      <c r="F885">
        <v>17.95077975290145</v>
      </c>
    </row>
    <row r="886" spans="1:6" x14ac:dyDescent="0.25">
      <c r="A886">
        <v>38506</v>
      </c>
      <c r="B886">
        <v>2005</v>
      </c>
      <c r="C886">
        <v>12.149362797935957</v>
      </c>
      <c r="D886">
        <v>11.039126825188614</v>
      </c>
      <c r="E886">
        <v>5.2570577394460631</v>
      </c>
      <c r="F886">
        <v>17.95077975290145</v>
      </c>
    </row>
    <row r="887" spans="1:6" x14ac:dyDescent="0.25">
      <c r="A887">
        <v>38499</v>
      </c>
      <c r="B887">
        <v>2005</v>
      </c>
      <c r="C887">
        <v>11.080036858791781</v>
      </c>
      <c r="D887">
        <v>11.039126825188614</v>
      </c>
      <c r="E887">
        <v>5.2570577394460631</v>
      </c>
      <c r="F887">
        <v>17.95077975290145</v>
      </c>
    </row>
    <row r="888" spans="1:6" x14ac:dyDescent="0.25">
      <c r="A888">
        <v>38492</v>
      </c>
      <c r="B888">
        <v>2005</v>
      </c>
      <c r="C888">
        <v>10.769098110529997</v>
      </c>
      <c r="D888">
        <v>11.039126825188614</v>
      </c>
      <c r="E888">
        <v>5.2570577394460631</v>
      </c>
      <c r="F888">
        <v>17.95077975290145</v>
      </c>
    </row>
    <row r="889" spans="1:6" x14ac:dyDescent="0.25">
      <c r="A889">
        <v>38485</v>
      </c>
      <c r="B889">
        <v>2005</v>
      </c>
      <c r="C889">
        <v>11.224130425059434</v>
      </c>
      <c r="D889">
        <v>11.039126825188614</v>
      </c>
      <c r="E889">
        <v>5.2570577394460631</v>
      </c>
      <c r="F889">
        <v>17.95077975290145</v>
      </c>
    </row>
    <row r="890" spans="1:6" x14ac:dyDescent="0.25">
      <c r="A890">
        <v>38478</v>
      </c>
      <c r="B890">
        <v>2005</v>
      </c>
      <c r="C890">
        <v>11.489565941868273</v>
      </c>
      <c r="D890">
        <v>11.039126825188614</v>
      </c>
      <c r="E890">
        <v>5.2570577394460631</v>
      </c>
      <c r="F890">
        <v>17.95077975290145</v>
      </c>
    </row>
    <row r="891" spans="1:6" x14ac:dyDescent="0.25">
      <c r="A891">
        <v>38471</v>
      </c>
      <c r="B891">
        <v>2005</v>
      </c>
      <c r="C891">
        <v>11.610907892409456</v>
      </c>
      <c r="D891">
        <v>11.039126825188614</v>
      </c>
      <c r="E891">
        <v>5.2570577394460631</v>
      </c>
      <c r="F891">
        <v>17.95077975290145</v>
      </c>
    </row>
    <row r="892" spans="1:6" x14ac:dyDescent="0.25">
      <c r="A892">
        <v>38464</v>
      </c>
      <c r="B892">
        <v>2005</v>
      </c>
      <c r="C892">
        <v>11.830840177765351</v>
      </c>
      <c r="D892">
        <v>11.039126825188614</v>
      </c>
      <c r="E892">
        <v>5.2570577394460631</v>
      </c>
      <c r="F892">
        <v>17.95077975290145</v>
      </c>
    </row>
    <row r="893" spans="1:6" x14ac:dyDescent="0.25">
      <c r="A893">
        <v>38457</v>
      </c>
      <c r="B893">
        <v>2005</v>
      </c>
      <c r="C893">
        <v>11.641243380044752</v>
      </c>
      <c r="D893">
        <v>11.039126825188614</v>
      </c>
      <c r="E893">
        <v>5.2570577394460631</v>
      </c>
      <c r="F893">
        <v>17.95077975290145</v>
      </c>
    </row>
    <row r="894" spans="1:6" x14ac:dyDescent="0.25">
      <c r="A894">
        <v>38450</v>
      </c>
      <c r="B894">
        <v>2005</v>
      </c>
      <c r="C894">
        <v>12.376878955200672</v>
      </c>
      <c r="D894">
        <v>11.039126825188614</v>
      </c>
      <c r="E894">
        <v>5.2570577394460631</v>
      </c>
      <c r="F894">
        <v>17.95077975290145</v>
      </c>
    </row>
    <row r="895" spans="1:6" x14ac:dyDescent="0.25">
      <c r="A895">
        <v>38443</v>
      </c>
      <c r="B895">
        <v>2005</v>
      </c>
      <c r="C895">
        <v>12.354127339474203</v>
      </c>
      <c r="D895">
        <v>11.039126825188614</v>
      </c>
      <c r="E895">
        <v>5.2570577394460631</v>
      </c>
      <c r="F895">
        <v>17.95077975290145</v>
      </c>
    </row>
    <row r="896" spans="1:6" x14ac:dyDescent="0.25">
      <c r="A896">
        <v>38436</v>
      </c>
      <c r="B896">
        <v>2005</v>
      </c>
      <c r="C896">
        <v>12.172114413662428</v>
      </c>
      <c r="D896">
        <v>11.039126825188614</v>
      </c>
      <c r="E896">
        <v>5.2570577394460631</v>
      </c>
      <c r="F896">
        <v>17.95077975290145</v>
      </c>
    </row>
    <row r="897" spans="1:6" x14ac:dyDescent="0.25">
      <c r="A897">
        <v>38429</v>
      </c>
      <c r="B897">
        <v>2005</v>
      </c>
      <c r="C897">
        <v>12.050772463121247</v>
      </c>
      <c r="D897">
        <v>11.039126825188614</v>
      </c>
      <c r="E897">
        <v>5.2570577394460631</v>
      </c>
      <c r="F897">
        <v>17.95077975290145</v>
      </c>
    </row>
    <row r="898" spans="1:6" x14ac:dyDescent="0.25">
      <c r="A898">
        <v>38422</v>
      </c>
      <c r="B898">
        <v>2005</v>
      </c>
      <c r="C898">
        <v>11.557820789047689</v>
      </c>
      <c r="D898">
        <v>11.039126825188614</v>
      </c>
      <c r="E898">
        <v>5.2570577394460631</v>
      </c>
      <c r="F898">
        <v>17.95077975290145</v>
      </c>
    </row>
    <row r="899" spans="1:6" x14ac:dyDescent="0.25">
      <c r="A899">
        <v>38415</v>
      </c>
      <c r="B899">
        <v>2005</v>
      </c>
      <c r="C899">
        <v>11.307553016056499</v>
      </c>
      <c r="D899">
        <v>11.039126825188614</v>
      </c>
      <c r="E899">
        <v>5.2570577394460631</v>
      </c>
      <c r="F899">
        <v>17.95077975290145</v>
      </c>
    </row>
    <row r="900" spans="1:6" x14ac:dyDescent="0.25">
      <c r="A900">
        <v>38408</v>
      </c>
      <c r="B900">
        <v>2005</v>
      </c>
      <c r="C900">
        <v>11.042117499247658</v>
      </c>
      <c r="D900">
        <v>11.039126825188614</v>
      </c>
      <c r="E900">
        <v>5.2570577394460631</v>
      </c>
      <c r="F900">
        <v>17.95077975290145</v>
      </c>
    </row>
    <row r="901" spans="1:6" x14ac:dyDescent="0.25">
      <c r="A901">
        <v>38401</v>
      </c>
      <c r="B901">
        <v>2005</v>
      </c>
      <c r="C901">
        <v>10.07896576682702</v>
      </c>
      <c r="D901">
        <v>11.039126825188614</v>
      </c>
      <c r="E901">
        <v>5.2570577394460631</v>
      </c>
      <c r="F901">
        <v>17.95077975290145</v>
      </c>
    </row>
    <row r="902" spans="1:6" x14ac:dyDescent="0.25">
      <c r="A902">
        <v>38394</v>
      </c>
      <c r="B902">
        <v>2005</v>
      </c>
      <c r="C902">
        <v>9.5784302208446377</v>
      </c>
      <c r="D902">
        <v>11.039126825188614</v>
      </c>
      <c r="E902">
        <v>5.2570577394460631</v>
      </c>
      <c r="F902">
        <v>17.95077975290145</v>
      </c>
    </row>
    <row r="903" spans="1:6" x14ac:dyDescent="0.25">
      <c r="A903">
        <v>38387</v>
      </c>
      <c r="B903">
        <v>2005</v>
      </c>
      <c r="C903">
        <v>9.7604431466564137</v>
      </c>
      <c r="D903">
        <v>11.039126825188614</v>
      </c>
      <c r="E903">
        <v>5.2570577394460631</v>
      </c>
      <c r="F903">
        <v>17.95077975290145</v>
      </c>
    </row>
    <row r="904" spans="1:6" x14ac:dyDescent="0.25">
      <c r="A904">
        <v>38380</v>
      </c>
      <c r="B904">
        <v>2005</v>
      </c>
      <c r="C904">
        <v>10.655340031897639</v>
      </c>
      <c r="D904">
        <v>11.039126825188614</v>
      </c>
      <c r="E904">
        <v>5.2570577394460631</v>
      </c>
      <c r="F904">
        <v>17.95077975290145</v>
      </c>
    </row>
    <row r="905" spans="1:6" x14ac:dyDescent="0.25">
      <c r="A905">
        <v>38373</v>
      </c>
      <c r="B905">
        <v>2005</v>
      </c>
      <c r="C905">
        <v>10.427823874632923</v>
      </c>
      <c r="D905">
        <v>11.039126825188614</v>
      </c>
      <c r="E905">
        <v>5.2570577394460631</v>
      </c>
      <c r="F905">
        <v>17.95077975290145</v>
      </c>
    </row>
    <row r="906" spans="1:6" x14ac:dyDescent="0.25">
      <c r="A906">
        <v>38366</v>
      </c>
      <c r="B906">
        <v>2005</v>
      </c>
      <c r="C906">
        <v>10.116885126371139</v>
      </c>
      <c r="D906">
        <v>11.039126825188614</v>
      </c>
      <c r="E906">
        <v>5.2570577394460631</v>
      </c>
      <c r="F906">
        <v>17.95077975290145</v>
      </c>
    </row>
    <row r="907" spans="1:6" x14ac:dyDescent="0.25">
      <c r="A907">
        <v>38359</v>
      </c>
      <c r="B907">
        <v>2005</v>
      </c>
      <c r="C907">
        <v>9.3129947040358001</v>
      </c>
      <c r="D907">
        <v>11.039126825188614</v>
      </c>
      <c r="E907">
        <v>5.2570577394460631</v>
      </c>
      <c r="F907">
        <v>17.95077975290145</v>
      </c>
    </row>
    <row r="908" spans="1:6" x14ac:dyDescent="0.25">
      <c r="A908">
        <v>38352</v>
      </c>
      <c r="B908">
        <v>2004</v>
      </c>
      <c r="C908">
        <v>9.1998092921108707</v>
      </c>
      <c r="D908">
        <v>11.039126825188614</v>
      </c>
      <c r="E908">
        <v>5.2570577394460631</v>
      </c>
      <c r="F908">
        <v>17.95077975290145</v>
      </c>
    </row>
    <row r="909" spans="1:6" x14ac:dyDescent="0.25">
      <c r="A909">
        <v>38345</v>
      </c>
      <c r="B909">
        <v>2004</v>
      </c>
      <c r="C909">
        <v>9.9826068814143234</v>
      </c>
      <c r="D909">
        <v>11.039126825188614</v>
      </c>
      <c r="E909">
        <v>5.2570577394460631</v>
      </c>
      <c r="F909">
        <v>17.95077975290145</v>
      </c>
    </row>
    <row r="910" spans="1:6" x14ac:dyDescent="0.25">
      <c r="A910">
        <v>38338</v>
      </c>
      <c r="B910">
        <v>2004</v>
      </c>
      <c r="C910">
        <v>10.060111593226544</v>
      </c>
      <c r="D910">
        <v>11.039126825188614</v>
      </c>
      <c r="E910">
        <v>5.2570577394460631</v>
      </c>
      <c r="F910">
        <v>17.95077975290145</v>
      </c>
    </row>
    <row r="911" spans="1:6" x14ac:dyDescent="0.25">
      <c r="A911">
        <v>38331</v>
      </c>
      <c r="B911">
        <v>2004</v>
      </c>
      <c r="C911">
        <v>8.8820399736807545</v>
      </c>
      <c r="D911">
        <v>11.039126825188614</v>
      </c>
      <c r="E911">
        <v>5.2570577394460631</v>
      </c>
      <c r="F911">
        <v>17.95077975290145</v>
      </c>
    </row>
    <row r="912" spans="1:6" x14ac:dyDescent="0.25">
      <c r="A912">
        <v>38324</v>
      </c>
      <c r="B912">
        <v>2004</v>
      </c>
      <c r="C912">
        <v>9.7190908612527629</v>
      </c>
      <c r="D912">
        <v>11.039126825188614</v>
      </c>
      <c r="E912">
        <v>5.2570577394460631</v>
      </c>
      <c r="F912">
        <v>17.95077975290145</v>
      </c>
    </row>
    <row r="913" spans="1:6" x14ac:dyDescent="0.25">
      <c r="A913">
        <v>38317</v>
      </c>
      <c r="B913">
        <v>2004</v>
      </c>
      <c r="C913">
        <v>10.687899758905552</v>
      </c>
      <c r="D913">
        <v>11.039126825188614</v>
      </c>
      <c r="E913">
        <v>5.2570577394460631</v>
      </c>
      <c r="F913">
        <v>17.95077975290145</v>
      </c>
    </row>
    <row r="914" spans="1:6" x14ac:dyDescent="0.25">
      <c r="A914">
        <v>38310</v>
      </c>
      <c r="B914">
        <v>2004</v>
      </c>
      <c r="C914">
        <v>10.439884681106436</v>
      </c>
      <c r="D914">
        <v>11.039126825188614</v>
      </c>
      <c r="E914">
        <v>5.2570577394460631</v>
      </c>
      <c r="F914">
        <v>17.95077975290145</v>
      </c>
    </row>
    <row r="915" spans="1:6" x14ac:dyDescent="0.25">
      <c r="A915">
        <v>38303</v>
      </c>
      <c r="B915">
        <v>2004</v>
      </c>
      <c r="C915">
        <v>10.315877142206878</v>
      </c>
      <c r="D915">
        <v>11.039126825188614</v>
      </c>
      <c r="E915">
        <v>5.2570577394460631</v>
      </c>
      <c r="F915">
        <v>17.95077975290145</v>
      </c>
    </row>
    <row r="916" spans="1:6" x14ac:dyDescent="0.25">
      <c r="A916">
        <v>38296</v>
      </c>
      <c r="B916">
        <v>2004</v>
      </c>
      <c r="C916">
        <v>10.416633267562771</v>
      </c>
      <c r="D916">
        <v>11.039126825188614</v>
      </c>
      <c r="E916">
        <v>5.2570577394460631</v>
      </c>
      <c r="F916">
        <v>17.95077975290145</v>
      </c>
    </row>
    <row r="917" spans="1:6" x14ac:dyDescent="0.25">
      <c r="A917">
        <v>38289</v>
      </c>
      <c r="B917">
        <v>2004</v>
      </c>
      <c r="C917">
        <v>11.478447819390226</v>
      </c>
      <c r="D917">
        <v>11.039126825188614</v>
      </c>
      <c r="E917">
        <v>5.2570577394460631</v>
      </c>
      <c r="F917">
        <v>17.95077975290145</v>
      </c>
    </row>
    <row r="918" spans="1:6" x14ac:dyDescent="0.25">
      <c r="A918">
        <v>38282</v>
      </c>
      <c r="B918">
        <v>2004</v>
      </c>
      <c r="C918">
        <v>12.113986456250453</v>
      </c>
      <c r="D918">
        <v>11.039126825188614</v>
      </c>
      <c r="E918">
        <v>5.2570577394460631</v>
      </c>
      <c r="F918">
        <v>17.95077975290145</v>
      </c>
    </row>
    <row r="919" spans="1:6" x14ac:dyDescent="0.25">
      <c r="A919">
        <v>38275</v>
      </c>
      <c r="B919">
        <v>2004</v>
      </c>
      <c r="C919">
        <v>12.028731273257009</v>
      </c>
      <c r="D919">
        <v>11.039126825188614</v>
      </c>
      <c r="E919">
        <v>5.2570577394460631</v>
      </c>
      <c r="F919">
        <v>17.95077975290145</v>
      </c>
    </row>
    <row r="920" spans="1:6" x14ac:dyDescent="0.25">
      <c r="A920">
        <v>38268</v>
      </c>
      <c r="B920">
        <v>2004</v>
      </c>
      <c r="C920">
        <v>11.532701117658782</v>
      </c>
      <c r="D920">
        <v>11.039126825188614</v>
      </c>
      <c r="E920">
        <v>5.2570577394460631</v>
      </c>
      <c r="F920">
        <v>17.95077975290145</v>
      </c>
    </row>
    <row r="921" spans="1:6" x14ac:dyDescent="0.25">
      <c r="A921">
        <v>38261</v>
      </c>
      <c r="B921">
        <v>2004</v>
      </c>
      <c r="C921">
        <v>11.641207714195891</v>
      </c>
      <c r="D921">
        <v>11.039126825188614</v>
      </c>
      <c r="E921">
        <v>5.2570577394460631</v>
      </c>
      <c r="F921">
        <v>17.95077975290145</v>
      </c>
    </row>
    <row r="922" spans="1:6" x14ac:dyDescent="0.25">
      <c r="A922">
        <v>38254</v>
      </c>
      <c r="B922">
        <v>2004</v>
      </c>
      <c r="C922">
        <v>10.997918606154443</v>
      </c>
      <c r="D922">
        <v>11.039126825188614</v>
      </c>
      <c r="E922">
        <v>5.2570577394460631</v>
      </c>
      <c r="F922">
        <v>17.95077975290145</v>
      </c>
    </row>
    <row r="923" spans="1:6" x14ac:dyDescent="0.25">
      <c r="A923">
        <v>38247</v>
      </c>
      <c r="B923">
        <v>2004</v>
      </c>
      <c r="C923">
        <v>10.377880911656659</v>
      </c>
      <c r="D923">
        <v>11.039126825188614</v>
      </c>
      <c r="E923">
        <v>5.2570577394460631</v>
      </c>
      <c r="F923">
        <v>17.95077975290145</v>
      </c>
    </row>
    <row r="924" spans="1:6" x14ac:dyDescent="0.25">
      <c r="A924">
        <v>38240</v>
      </c>
      <c r="B924">
        <v>2004</v>
      </c>
      <c r="C924">
        <v>9.7655936883400987</v>
      </c>
      <c r="D924">
        <v>11.039126825188614</v>
      </c>
      <c r="E924">
        <v>5.2570577394460631</v>
      </c>
      <c r="F924">
        <v>17.95077975290145</v>
      </c>
    </row>
    <row r="925" spans="1:6" x14ac:dyDescent="0.25">
      <c r="A925">
        <v>38233</v>
      </c>
      <c r="B925">
        <v>2004</v>
      </c>
      <c r="C925">
        <v>9.5640814376283156</v>
      </c>
      <c r="D925">
        <v>11.039126825188614</v>
      </c>
      <c r="E925">
        <v>5.2570577394460631</v>
      </c>
      <c r="F925">
        <v>17.95077975290145</v>
      </c>
    </row>
    <row r="926" spans="1:6" x14ac:dyDescent="0.25">
      <c r="A926">
        <v>38226</v>
      </c>
      <c r="B926">
        <v>2004</v>
      </c>
      <c r="C926">
        <v>9.5020776681785382</v>
      </c>
      <c r="D926">
        <v>11.039126825188614</v>
      </c>
      <c r="E926">
        <v>5.2570577394460631</v>
      </c>
      <c r="F926">
        <v>17.95077975290145</v>
      </c>
    </row>
    <row r="927" spans="1:6" x14ac:dyDescent="0.25">
      <c r="A927">
        <v>38219</v>
      </c>
      <c r="B927">
        <v>2004</v>
      </c>
      <c r="C927">
        <v>9.8120965154274309</v>
      </c>
      <c r="D927">
        <v>11.039126825188614</v>
      </c>
      <c r="E927">
        <v>5.2570577394460631</v>
      </c>
      <c r="F927">
        <v>17.95077975290145</v>
      </c>
    </row>
    <row r="928" spans="1:6" x14ac:dyDescent="0.25">
      <c r="A928">
        <v>38212</v>
      </c>
      <c r="B928">
        <v>2004</v>
      </c>
      <c r="C928">
        <v>9.4400738987287607</v>
      </c>
      <c r="D928">
        <v>11.039126825188614</v>
      </c>
      <c r="E928">
        <v>5.2570577394460631</v>
      </c>
      <c r="F928">
        <v>17.95077975290145</v>
      </c>
    </row>
    <row r="929" spans="1:6" x14ac:dyDescent="0.25">
      <c r="A929">
        <v>38205</v>
      </c>
      <c r="B929">
        <v>2004</v>
      </c>
      <c r="C929">
        <v>9.3780701292789832</v>
      </c>
      <c r="D929">
        <v>11.039126825188614</v>
      </c>
      <c r="E929">
        <v>5.2570577394460631</v>
      </c>
      <c r="F929">
        <v>17.95077975290145</v>
      </c>
    </row>
    <row r="930" spans="1:6" x14ac:dyDescent="0.25">
      <c r="A930">
        <v>38198</v>
      </c>
      <c r="B930">
        <v>2004</v>
      </c>
      <c r="C930">
        <v>9.2308111768357577</v>
      </c>
      <c r="D930">
        <v>11.039126825188614</v>
      </c>
      <c r="E930">
        <v>5.2570577394460631</v>
      </c>
      <c r="F930">
        <v>17.95077975290145</v>
      </c>
    </row>
    <row r="931" spans="1:6" x14ac:dyDescent="0.25">
      <c r="A931">
        <v>38191</v>
      </c>
      <c r="B931">
        <v>2004</v>
      </c>
      <c r="C931">
        <v>8.8975409160431997</v>
      </c>
      <c r="D931">
        <v>11.039126825188614</v>
      </c>
      <c r="E931">
        <v>5.2570577394460631</v>
      </c>
      <c r="F931">
        <v>17.95077975290145</v>
      </c>
    </row>
    <row r="932" spans="1:6" x14ac:dyDescent="0.25">
      <c r="A932">
        <v>38184</v>
      </c>
      <c r="B932">
        <v>2004</v>
      </c>
      <c r="C932">
        <v>8.6340248958816428</v>
      </c>
      <c r="D932">
        <v>11.039126825188614</v>
      </c>
      <c r="E932">
        <v>5.2570577394460631</v>
      </c>
      <c r="F932">
        <v>17.95077975290145</v>
      </c>
    </row>
    <row r="933" spans="1:6" x14ac:dyDescent="0.25">
      <c r="A933">
        <v>38177</v>
      </c>
      <c r="B933">
        <v>2004</v>
      </c>
      <c r="C933">
        <v>8.7735333771436412</v>
      </c>
      <c r="D933">
        <v>11.039126825188614</v>
      </c>
      <c r="E933">
        <v>5.2570577394460631</v>
      </c>
      <c r="F933">
        <v>17.95077975290145</v>
      </c>
    </row>
    <row r="934" spans="1:6" x14ac:dyDescent="0.25">
      <c r="A934">
        <v>38170</v>
      </c>
      <c r="B934">
        <v>2004</v>
      </c>
      <c r="C934">
        <v>8.3395069909951935</v>
      </c>
      <c r="D934">
        <v>11.039126825188614</v>
      </c>
      <c r="E934">
        <v>5.2570577394460631</v>
      </c>
      <c r="F934">
        <v>17.95077975290145</v>
      </c>
    </row>
    <row r="935" spans="1:6" x14ac:dyDescent="0.25">
      <c r="A935">
        <v>38163</v>
      </c>
      <c r="B935">
        <v>2004</v>
      </c>
      <c r="C935">
        <v>8.1147433267397471</v>
      </c>
      <c r="D935">
        <v>11.039126825188614</v>
      </c>
      <c r="E935">
        <v>5.2570577394460631</v>
      </c>
      <c r="F935">
        <v>17.95077975290145</v>
      </c>
    </row>
    <row r="936" spans="1:6" x14ac:dyDescent="0.25">
      <c r="A936">
        <v>38156</v>
      </c>
      <c r="B936">
        <v>2004</v>
      </c>
      <c r="C936">
        <v>7.9597339031153007</v>
      </c>
      <c r="D936">
        <v>11.039126825188614</v>
      </c>
      <c r="E936">
        <v>5.2570577394460631</v>
      </c>
      <c r="F936">
        <v>17.95077975290145</v>
      </c>
    </row>
    <row r="937" spans="1:6" x14ac:dyDescent="0.25">
      <c r="A937">
        <v>38149</v>
      </c>
      <c r="B937">
        <v>2004</v>
      </c>
      <c r="C937">
        <v>7.8434768353969666</v>
      </c>
      <c r="D937">
        <v>11.039126825188614</v>
      </c>
      <c r="E937">
        <v>5.2570577394460631</v>
      </c>
      <c r="F937">
        <v>17.95077975290145</v>
      </c>
    </row>
    <row r="938" spans="1:6" x14ac:dyDescent="0.25">
      <c r="A938">
        <v>38142</v>
      </c>
      <c r="B938">
        <v>2004</v>
      </c>
      <c r="C938">
        <v>7.9829853166589677</v>
      </c>
      <c r="D938">
        <v>11.039126825188614</v>
      </c>
      <c r="E938">
        <v>5.2570577394460631</v>
      </c>
      <c r="F938">
        <v>17.95077975290145</v>
      </c>
    </row>
    <row r="939" spans="1:6" x14ac:dyDescent="0.25">
      <c r="A939">
        <v>38135</v>
      </c>
      <c r="B939">
        <v>2004</v>
      </c>
      <c r="C939">
        <v>8.0217376725650791</v>
      </c>
      <c r="D939">
        <v>11.039126825188614</v>
      </c>
      <c r="E939">
        <v>5.2570577394460631</v>
      </c>
      <c r="F939">
        <v>17.95077975290145</v>
      </c>
    </row>
    <row r="940" spans="1:6" x14ac:dyDescent="0.25">
      <c r="A940">
        <v>38128</v>
      </c>
      <c r="B940">
        <v>2004</v>
      </c>
      <c r="C940">
        <v>8.5410192417069748</v>
      </c>
      <c r="D940">
        <v>11.039126825188614</v>
      </c>
      <c r="E940">
        <v>5.2570577394460631</v>
      </c>
      <c r="F940">
        <v>17.95077975290145</v>
      </c>
    </row>
    <row r="941" spans="1:6" x14ac:dyDescent="0.25">
      <c r="A941">
        <v>38121</v>
      </c>
      <c r="B941">
        <v>2004</v>
      </c>
      <c r="C941">
        <v>8.9207923295868667</v>
      </c>
      <c r="D941">
        <v>11.039126825188614</v>
      </c>
      <c r="E941">
        <v>5.2570577394460631</v>
      </c>
      <c r="F941">
        <v>17.95077975290145</v>
      </c>
    </row>
    <row r="942" spans="1:6" x14ac:dyDescent="0.25">
      <c r="A942">
        <v>38114</v>
      </c>
      <c r="B942">
        <v>2004</v>
      </c>
      <c r="C942">
        <v>8.3627584045388605</v>
      </c>
      <c r="D942">
        <v>11.039126825188614</v>
      </c>
      <c r="E942">
        <v>5.2570577394460631</v>
      </c>
      <c r="F942">
        <v>17.95077975290145</v>
      </c>
    </row>
    <row r="943" spans="1:6" x14ac:dyDescent="0.25">
      <c r="A943">
        <v>38107</v>
      </c>
      <c r="B943">
        <v>2004</v>
      </c>
      <c r="C943">
        <v>7.8202254218532987</v>
      </c>
      <c r="D943">
        <v>11.039126825188614</v>
      </c>
      <c r="E943">
        <v>5.2570577394460631</v>
      </c>
      <c r="F943">
        <v>17.95077975290145</v>
      </c>
    </row>
    <row r="944" spans="1:6" x14ac:dyDescent="0.25">
      <c r="A944">
        <v>38100</v>
      </c>
      <c r="B944">
        <v>2004</v>
      </c>
      <c r="C944">
        <v>7.6342141135039654</v>
      </c>
      <c r="D944">
        <v>11.039126825188614</v>
      </c>
      <c r="E944">
        <v>5.2570577394460631</v>
      </c>
      <c r="F944">
        <v>17.95077975290145</v>
      </c>
    </row>
    <row r="945" spans="1:6" x14ac:dyDescent="0.25">
      <c r="A945">
        <v>38093</v>
      </c>
      <c r="B945">
        <v>2004</v>
      </c>
      <c r="C945">
        <v>7.7582216524035212</v>
      </c>
      <c r="D945">
        <v>11.039126825188614</v>
      </c>
      <c r="E945">
        <v>5.2570577394460631</v>
      </c>
      <c r="F945">
        <v>17.95077975290145</v>
      </c>
    </row>
    <row r="946" spans="1:6" x14ac:dyDescent="0.25">
      <c r="A946">
        <v>38086</v>
      </c>
      <c r="B946">
        <v>2004</v>
      </c>
      <c r="C946">
        <v>7.1459344290869602</v>
      </c>
      <c r="D946">
        <v>11.039126825188614</v>
      </c>
      <c r="E946">
        <v>5.2570577394460631</v>
      </c>
      <c r="F946">
        <v>17.95077975290145</v>
      </c>
    </row>
    <row r="947" spans="1:6" x14ac:dyDescent="0.25">
      <c r="A947">
        <v>38079</v>
      </c>
      <c r="B947">
        <v>2004</v>
      </c>
      <c r="C947">
        <v>7.0684297172747366</v>
      </c>
      <c r="D947">
        <v>11.039126825188614</v>
      </c>
      <c r="E947">
        <v>5.2570577394460631</v>
      </c>
      <c r="F947">
        <v>17.95077975290145</v>
      </c>
    </row>
    <row r="948" spans="1:6" x14ac:dyDescent="0.25">
      <c r="A948">
        <v>38072</v>
      </c>
      <c r="B948">
        <v>2004</v>
      </c>
      <c r="C948">
        <v>7.3784485645236284</v>
      </c>
      <c r="D948">
        <v>11.039126825188614</v>
      </c>
      <c r="E948">
        <v>5.2570577394460631</v>
      </c>
      <c r="F948">
        <v>17.95077975290145</v>
      </c>
    </row>
    <row r="949" spans="1:6" x14ac:dyDescent="0.25">
      <c r="A949">
        <v>38065</v>
      </c>
      <c r="B949">
        <v>2004</v>
      </c>
      <c r="C949">
        <v>7.4714542186982964</v>
      </c>
      <c r="D949">
        <v>11.039126825188614</v>
      </c>
      <c r="E949">
        <v>5.2570577394460631</v>
      </c>
      <c r="F949">
        <v>17.95077975290145</v>
      </c>
    </row>
    <row r="950" spans="1:6" x14ac:dyDescent="0.25">
      <c r="A950">
        <v>38058</v>
      </c>
      <c r="B950">
        <v>2004</v>
      </c>
      <c r="C950">
        <v>7.0219268901874043</v>
      </c>
      <c r="D950">
        <v>11.039126825188614</v>
      </c>
      <c r="E950">
        <v>5.2570577394460631</v>
      </c>
      <c r="F950">
        <v>17.95077975290145</v>
      </c>
    </row>
    <row r="951" spans="1:6" x14ac:dyDescent="0.25">
      <c r="A951">
        <v>38051</v>
      </c>
      <c r="B951">
        <v>2004</v>
      </c>
      <c r="C951">
        <v>7.5412084593292983</v>
      </c>
      <c r="D951">
        <v>11.039126825188614</v>
      </c>
      <c r="E951">
        <v>5.2570577394460631</v>
      </c>
      <c r="F951">
        <v>17.95077975290145</v>
      </c>
    </row>
    <row r="952" spans="1:6" x14ac:dyDescent="0.25">
      <c r="A952">
        <v>38044</v>
      </c>
      <c r="B952">
        <v>2004</v>
      </c>
      <c r="C952">
        <v>7.3861990357048501</v>
      </c>
      <c r="D952">
        <v>11.039126825188614</v>
      </c>
      <c r="E952">
        <v>5.2570577394460631</v>
      </c>
      <c r="F952">
        <v>17.95077975290145</v>
      </c>
    </row>
    <row r="953" spans="1:6" x14ac:dyDescent="0.25">
      <c r="A953">
        <v>38037</v>
      </c>
      <c r="B953">
        <v>2004</v>
      </c>
      <c r="C953">
        <v>7.4094504492485189</v>
      </c>
      <c r="D953">
        <v>11.039126825188614</v>
      </c>
      <c r="E953">
        <v>5.2570577394460631</v>
      </c>
      <c r="F953">
        <v>17.95077975290145</v>
      </c>
    </row>
    <row r="954" spans="1:6" x14ac:dyDescent="0.25">
      <c r="A954">
        <v>38030</v>
      </c>
      <c r="B954">
        <v>2004</v>
      </c>
      <c r="C954">
        <v>7.0916811308184036</v>
      </c>
      <c r="D954">
        <v>11.039126825188614</v>
      </c>
      <c r="E954">
        <v>5.2570577394460631</v>
      </c>
      <c r="F954">
        <v>17.95077975290145</v>
      </c>
    </row>
    <row r="955" spans="1:6" x14ac:dyDescent="0.25">
      <c r="A955">
        <v>38023</v>
      </c>
      <c r="B955">
        <v>2004</v>
      </c>
      <c r="C955">
        <v>7.0916811308184036</v>
      </c>
      <c r="D955">
        <v>11.039126825188614</v>
      </c>
      <c r="E955">
        <v>5.2570577394460631</v>
      </c>
      <c r="F955">
        <v>17.95077975290145</v>
      </c>
    </row>
    <row r="956" spans="1:6" x14ac:dyDescent="0.25">
      <c r="A956">
        <v>38016</v>
      </c>
      <c r="B956">
        <v>2004</v>
      </c>
      <c r="C956">
        <v>7.5722103440541861</v>
      </c>
      <c r="D956">
        <v>11.039126825188614</v>
      </c>
      <c r="E956">
        <v>5.2570577394460631</v>
      </c>
      <c r="F956">
        <v>17.95077975290145</v>
      </c>
    </row>
    <row r="957" spans="1:6" x14ac:dyDescent="0.25">
      <c r="A957">
        <v>38009</v>
      </c>
      <c r="B957">
        <v>2004</v>
      </c>
      <c r="C957">
        <v>8.1302442691021923</v>
      </c>
      <c r="D957">
        <v>11.039126825188614</v>
      </c>
      <c r="E957">
        <v>5.2570577394460631</v>
      </c>
      <c r="F957">
        <v>17.95077975290145</v>
      </c>
    </row>
    <row r="958" spans="1:6" x14ac:dyDescent="0.25">
      <c r="A958">
        <v>38002</v>
      </c>
      <c r="B958">
        <v>2004</v>
      </c>
      <c r="C958">
        <v>7.6962178829537429</v>
      </c>
      <c r="D958">
        <v>11.039126825188614</v>
      </c>
      <c r="E958">
        <v>5.2570577394460631</v>
      </c>
      <c r="F958">
        <v>17.95077975290145</v>
      </c>
    </row>
    <row r="959" spans="1:6" x14ac:dyDescent="0.25">
      <c r="A959">
        <v>37995</v>
      </c>
      <c r="B959">
        <v>2004</v>
      </c>
      <c r="C959">
        <v>7.626463642322741</v>
      </c>
      <c r="D959">
        <v>11.039126825188614</v>
      </c>
      <c r="E959">
        <v>5.2570577394460631</v>
      </c>
      <c r="F959">
        <v>17.95077975290145</v>
      </c>
    </row>
    <row r="960" spans="1:6" x14ac:dyDescent="0.25">
      <c r="A960">
        <v>37988</v>
      </c>
      <c r="B960">
        <v>2004</v>
      </c>
      <c r="C960">
        <v>6.9289212360127355</v>
      </c>
      <c r="D960">
        <v>11.039126825188614</v>
      </c>
      <c r="E960">
        <v>5.2570577394460631</v>
      </c>
      <c r="F960">
        <v>17.95077975290145</v>
      </c>
    </row>
    <row r="961" spans="1:6" x14ac:dyDescent="0.25">
      <c r="A961">
        <v>37981</v>
      </c>
      <c r="B961">
        <v>2003</v>
      </c>
      <c r="C961">
        <v>7.6869535614382798</v>
      </c>
      <c r="D961">
        <v>11.039126825188614</v>
      </c>
      <c r="E961">
        <v>5.2570577394460631</v>
      </c>
      <c r="F961">
        <v>17.95077975290145</v>
      </c>
    </row>
    <row r="962" spans="1:6" x14ac:dyDescent="0.25">
      <c r="A962">
        <v>37974</v>
      </c>
      <c r="B962">
        <v>2003</v>
      </c>
      <c r="C962">
        <v>7.7478920381427736</v>
      </c>
      <c r="D962">
        <v>11.039126825188614</v>
      </c>
      <c r="E962">
        <v>5.2570577394460631</v>
      </c>
      <c r="F962">
        <v>17.95077975290145</v>
      </c>
    </row>
    <row r="963" spans="1:6" x14ac:dyDescent="0.25">
      <c r="A963">
        <v>37967</v>
      </c>
      <c r="B963">
        <v>2003</v>
      </c>
      <c r="C963">
        <v>7.5215491246689403</v>
      </c>
      <c r="D963">
        <v>11.039126825188614</v>
      </c>
      <c r="E963">
        <v>5.2570577394460631</v>
      </c>
      <c r="F963">
        <v>17.95077975290145</v>
      </c>
    </row>
    <row r="964" spans="1:6" x14ac:dyDescent="0.25">
      <c r="A964">
        <v>37960</v>
      </c>
      <c r="B964">
        <v>2003</v>
      </c>
      <c r="C964">
        <v>7.5041381313247983</v>
      </c>
      <c r="D964">
        <v>11.039126825188614</v>
      </c>
      <c r="E964">
        <v>5.2570577394460631</v>
      </c>
      <c r="F964">
        <v>17.95077975290145</v>
      </c>
    </row>
    <row r="965" spans="1:6" x14ac:dyDescent="0.25">
      <c r="A965">
        <v>37953</v>
      </c>
      <c r="B965">
        <v>2003</v>
      </c>
      <c r="C965">
        <v>7.1298017744257667</v>
      </c>
      <c r="D965">
        <v>11.039126825188614</v>
      </c>
      <c r="E965">
        <v>5.2570577394460631</v>
      </c>
      <c r="F965">
        <v>17.95077975290145</v>
      </c>
    </row>
    <row r="966" spans="1:6" x14ac:dyDescent="0.25">
      <c r="A966">
        <v>37946</v>
      </c>
      <c r="B966">
        <v>2003</v>
      </c>
      <c r="C966">
        <v>7.4954326346527278</v>
      </c>
      <c r="D966">
        <v>11.039126825188614</v>
      </c>
      <c r="E966">
        <v>5.2570577394460631</v>
      </c>
      <c r="F966">
        <v>17.95077975290145</v>
      </c>
    </row>
    <row r="967" spans="1:6" x14ac:dyDescent="0.25">
      <c r="A967">
        <v>37939</v>
      </c>
      <c r="B967">
        <v>2003</v>
      </c>
      <c r="C967">
        <v>7.321322701211316</v>
      </c>
      <c r="D967">
        <v>11.039126825188614</v>
      </c>
      <c r="E967">
        <v>5.2570577394460631</v>
      </c>
      <c r="F967">
        <v>17.95077975290145</v>
      </c>
    </row>
    <row r="968" spans="1:6" x14ac:dyDescent="0.25">
      <c r="A968">
        <v>37932</v>
      </c>
      <c r="B968">
        <v>2003</v>
      </c>
      <c r="C968">
        <v>6.9295753509681433</v>
      </c>
      <c r="D968">
        <v>11.039126825188614</v>
      </c>
      <c r="E968">
        <v>5.2570577394460631</v>
      </c>
      <c r="F968">
        <v>17.95077975290145</v>
      </c>
    </row>
    <row r="969" spans="1:6" x14ac:dyDescent="0.25">
      <c r="A969">
        <v>37925</v>
      </c>
      <c r="B969">
        <v>2003</v>
      </c>
      <c r="C969">
        <v>6.8773423709357209</v>
      </c>
      <c r="D969">
        <v>11.039126825188614</v>
      </c>
      <c r="E969">
        <v>5.2570577394460631</v>
      </c>
      <c r="F969">
        <v>17.95077975290145</v>
      </c>
    </row>
    <row r="970" spans="1:6" x14ac:dyDescent="0.25">
      <c r="A970">
        <v>37918</v>
      </c>
      <c r="B970">
        <v>2003</v>
      </c>
      <c r="C970">
        <v>7.0949797877374836</v>
      </c>
      <c r="D970">
        <v>11.039126825188614</v>
      </c>
      <c r="E970">
        <v>5.2570577394460631</v>
      </c>
      <c r="F970">
        <v>17.95077975290145</v>
      </c>
    </row>
    <row r="971" spans="1:6" x14ac:dyDescent="0.25">
      <c r="A971">
        <v>37911</v>
      </c>
      <c r="B971">
        <v>2003</v>
      </c>
      <c r="C971">
        <v>7.4344941579482331</v>
      </c>
      <c r="D971">
        <v>11.039126825188614</v>
      </c>
      <c r="E971">
        <v>5.2570577394460631</v>
      </c>
      <c r="F971">
        <v>17.95077975290145</v>
      </c>
    </row>
    <row r="972" spans="1:6" x14ac:dyDescent="0.25">
      <c r="A972">
        <v>37904</v>
      </c>
      <c r="B972">
        <v>2003</v>
      </c>
      <c r="C972">
        <v>7.242973231162682</v>
      </c>
      <c r="D972">
        <v>11.039126825188614</v>
      </c>
      <c r="E972">
        <v>5.2570577394460631</v>
      </c>
      <c r="F972">
        <v>17.95077975290145</v>
      </c>
    </row>
    <row r="973" spans="1:6" x14ac:dyDescent="0.25">
      <c r="A973">
        <v>37897</v>
      </c>
      <c r="B973">
        <v>2003</v>
      </c>
      <c r="C973">
        <v>6.8425203842474378</v>
      </c>
      <c r="D973">
        <v>11.039126825188614</v>
      </c>
      <c r="E973">
        <v>5.2570577394460631</v>
      </c>
      <c r="F973">
        <v>17.95077975290145</v>
      </c>
    </row>
    <row r="974" spans="1:6" x14ac:dyDescent="0.25">
      <c r="A974">
        <v>37890</v>
      </c>
      <c r="B974">
        <v>2003</v>
      </c>
      <c r="C974">
        <v>6.2940740939069943</v>
      </c>
      <c r="D974">
        <v>11.039126825188614</v>
      </c>
      <c r="E974">
        <v>5.2570577394460631</v>
      </c>
      <c r="F974">
        <v>17.95077975290145</v>
      </c>
    </row>
    <row r="975" spans="1:6" x14ac:dyDescent="0.25">
      <c r="A975">
        <v>37883</v>
      </c>
      <c r="B975">
        <v>2003</v>
      </c>
      <c r="C975">
        <v>6.2418411138745711</v>
      </c>
      <c r="D975">
        <v>11.039126825188614</v>
      </c>
      <c r="E975">
        <v>5.2570577394460631</v>
      </c>
      <c r="F975">
        <v>17.95077975290145</v>
      </c>
    </row>
    <row r="976" spans="1:6" x14ac:dyDescent="0.25">
      <c r="A976">
        <v>37876</v>
      </c>
      <c r="B976">
        <v>2003</v>
      </c>
      <c r="C976">
        <v>6.5204170073808294</v>
      </c>
      <c r="D976">
        <v>11.039126825188614</v>
      </c>
      <c r="E976">
        <v>5.2570577394460631</v>
      </c>
      <c r="F976">
        <v>17.95077975290145</v>
      </c>
    </row>
    <row r="977" spans="1:6" x14ac:dyDescent="0.25">
      <c r="A977">
        <v>37869</v>
      </c>
      <c r="B977">
        <v>2003</v>
      </c>
      <c r="C977">
        <v>6.607471974101534</v>
      </c>
      <c r="D977">
        <v>11.039126825188614</v>
      </c>
      <c r="E977">
        <v>5.2570577394460631</v>
      </c>
      <c r="F977">
        <v>17.95077975290145</v>
      </c>
    </row>
    <row r="978" spans="1:6" x14ac:dyDescent="0.25">
      <c r="A978">
        <v>37862</v>
      </c>
      <c r="B978">
        <v>2003</v>
      </c>
      <c r="C978">
        <v>7.1123907810816238</v>
      </c>
      <c r="D978">
        <v>11.039126825188614</v>
      </c>
      <c r="E978">
        <v>5.2570577394460631</v>
      </c>
      <c r="F978">
        <v>17.95077975290145</v>
      </c>
    </row>
    <row r="979" spans="1:6" x14ac:dyDescent="0.25">
      <c r="A979">
        <v>37855</v>
      </c>
      <c r="B979">
        <v>2003</v>
      </c>
      <c r="C979">
        <v>7.0862742910654131</v>
      </c>
      <c r="D979">
        <v>11.039126825188614</v>
      </c>
      <c r="E979">
        <v>5.2570577394460631</v>
      </c>
      <c r="F979">
        <v>17.95077975290145</v>
      </c>
    </row>
    <row r="980" spans="1:6" x14ac:dyDescent="0.25">
      <c r="A980">
        <v>37848</v>
      </c>
      <c r="B980">
        <v>2003</v>
      </c>
      <c r="C980">
        <v>7.1210962777536944</v>
      </c>
      <c r="D980">
        <v>11.039126825188614</v>
      </c>
      <c r="E980">
        <v>5.2570577394460631</v>
      </c>
      <c r="F980">
        <v>17.95077975290145</v>
      </c>
    </row>
    <row r="981" spans="1:6" x14ac:dyDescent="0.25">
      <c r="A981">
        <v>37841</v>
      </c>
      <c r="B981">
        <v>2003</v>
      </c>
      <c r="C981">
        <v>7.2865007145230356</v>
      </c>
      <c r="D981">
        <v>11.039126825188614</v>
      </c>
      <c r="E981">
        <v>5.2570577394460631</v>
      </c>
      <c r="F981">
        <v>17.95077975290145</v>
      </c>
    </row>
    <row r="982" spans="1:6" x14ac:dyDescent="0.25">
      <c r="A982">
        <v>37834</v>
      </c>
      <c r="B982">
        <v>2003</v>
      </c>
      <c r="C982">
        <v>6.9295753509681433</v>
      </c>
      <c r="D982">
        <v>11.039126825188614</v>
      </c>
      <c r="E982">
        <v>5.2570577394460631</v>
      </c>
      <c r="F982">
        <v>17.95077975290145</v>
      </c>
    </row>
    <row r="983" spans="1:6" x14ac:dyDescent="0.25">
      <c r="A983">
        <v>37827</v>
      </c>
      <c r="B983">
        <v>2003</v>
      </c>
      <c r="C983">
        <v>6.6684104508060278</v>
      </c>
      <c r="D983">
        <v>11.039126825188614</v>
      </c>
      <c r="E983">
        <v>5.2570577394460631</v>
      </c>
      <c r="F983">
        <v>17.95077975290145</v>
      </c>
    </row>
    <row r="984" spans="1:6" x14ac:dyDescent="0.25">
      <c r="A984">
        <v>37820</v>
      </c>
      <c r="B984">
        <v>2003</v>
      </c>
      <c r="C984">
        <v>6.894753364279862</v>
      </c>
      <c r="D984">
        <v>11.039126825188614</v>
      </c>
      <c r="E984">
        <v>5.2570577394460631</v>
      </c>
      <c r="F984">
        <v>17.95077975290145</v>
      </c>
    </row>
    <row r="985" spans="1:6" x14ac:dyDescent="0.25">
      <c r="A985">
        <v>37813</v>
      </c>
      <c r="B985">
        <v>2003</v>
      </c>
      <c r="C985">
        <v>6.8164038942312271</v>
      </c>
      <c r="D985">
        <v>11.039126825188614</v>
      </c>
      <c r="E985">
        <v>5.2570577394460631</v>
      </c>
      <c r="F985">
        <v>17.95077975290145</v>
      </c>
    </row>
    <row r="986" spans="1:6" x14ac:dyDescent="0.25">
      <c r="A986">
        <v>37806</v>
      </c>
      <c r="B986">
        <v>2003</v>
      </c>
      <c r="C986">
        <v>6.7119379341663805</v>
      </c>
      <c r="D986">
        <v>11.039126825188614</v>
      </c>
      <c r="E986">
        <v>5.2570577394460631</v>
      </c>
      <c r="F986">
        <v>17.95077975290145</v>
      </c>
    </row>
    <row r="987" spans="1:6" x14ac:dyDescent="0.25">
      <c r="A987">
        <v>37799</v>
      </c>
      <c r="B987">
        <v>2003</v>
      </c>
      <c r="C987">
        <v>6.4943005173646169</v>
      </c>
      <c r="D987">
        <v>11.039126825188614</v>
      </c>
      <c r="E987">
        <v>5.2570577394460631</v>
      </c>
      <c r="F987">
        <v>17.95077975290145</v>
      </c>
    </row>
    <row r="988" spans="1:6" x14ac:dyDescent="0.25">
      <c r="A988">
        <v>37792</v>
      </c>
      <c r="B988">
        <v>2003</v>
      </c>
      <c r="C988">
        <v>6.3985400539718418</v>
      </c>
      <c r="D988">
        <v>11.039126825188614</v>
      </c>
      <c r="E988">
        <v>5.2570577394460631</v>
      </c>
      <c r="F988">
        <v>17.95077975290145</v>
      </c>
    </row>
    <row r="989" spans="1:6" x14ac:dyDescent="0.25">
      <c r="A989">
        <v>37785</v>
      </c>
      <c r="B989">
        <v>2003</v>
      </c>
      <c r="C989">
        <v>6.5900609807573929</v>
      </c>
      <c r="D989">
        <v>11.039126825188614</v>
      </c>
      <c r="E989">
        <v>5.2570577394460631</v>
      </c>
      <c r="F989">
        <v>17.95077975290145</v>
      </c>
    </row>
    <row r="990" spans="1:6" x14ac:dyDescent="0.25">
      <c r="A990">
        <v>37778</v>
      </c>
      <c r="B990">
        <v>2003</v>
      </c>
      <c r="C990">
        <v>6.5030060140366874</v>
      </c>
      <c r="D990">
        <v>11.039126825188614</v>
      </c>
      <c r="E990">
        <v>5.2570577394460631</v>
      </c>
      <c r="F990">
        <v>17.95077975290145</v>
      </c>
    </row>
    <row r="991" spans="1:6" x14ac:dyDescent="0.25">
      <c r="A991">
        <v>37771</v>
      </c>
      <c r="B991">
        <v>2003</v>
      </c>
      <c r="C991">
        <v>6.2766631005628533</v>
      </c>
      <c r="D991">
        <v>11.039126825188614</v>
      </c>
      <c r="E991">
        <v>5.2570577394460631</v>
      </c>
      <c r="F991">
        <v>17.95077975290145</v>
      </c>
    </row>
    <row r="992" spans="1:6" x14ac:dyDescent="0.25">
      <c r="A992">
        <v>37764</v>
      </c>
      <c r="B992">
        <v>2003</v>
      </c>
      <c r="C992">
        <v>6.3376015772673462</v>
      </c>
      <c r="D992">
        <v>11.039126825188614</v>
      </c>
      <c r="E992">
        <v>5.2570577394460631</v>
      </c>
      <c r="F992">
        <v>17.95077975290145</v>
      </c>
    </row>
    <row r="993" spans="1:6" x14ac:dyDescent="0.25">
      <c r="A993">
        <v>37757</v>
      </c>
      <c r="B993">
        <v>2003</v>
      </c>
      <c r="C993">
        <v>6.3724235639556293</v>
      </c>
      <c r="D993">
        <v>11.039126825188614</v>
      </c>
      <c r="E993">
        <v>5.2570577394460631</v>
      </c>
      <c r="F993">
        <v>17.95077975290145</v>
      </c>
    </row>
    <row r="994" spans="1:6" x14ac:dyDescent="0.25">
      <c r="A994">
        <v>37750</v>
      </c>
      <c r="B994">
        <v>2003</v>
      </c>
      <c r="C994">
        <v>5.9980872070565967</v>
      </c>
      <c r="D994">
        <v>11.039126825188614</v>
      </c>
      <c r="E994">
        <v>5.2570577394460631</v>
      </c>
      <c r="F994">
        <v>17.95077975290145</v>
      </c>
    </row>
    <row r="995" spans="1:6" x14ac:dyDescent="0.25">
      <c r="A995">
        <v>37743</v>
      </c>
      <c r="B995">
        <v>2003</v>
      </c>
      <c r="C995">
        <v>5.9458542270241734</v>
      </c>
      <c r="D995">
        <v>11.039126825188614</v>
      </c>
      <c r="E995">
        <v>5.2570577394460631</v>
      </c>
      <c r="F995">
        <v>17.95077975290145</v>
      </c>
    </row>
    <row r="996" spans="1:6" x14ac:dyDescent="0.25">
      <c r="A996">
        <v>37736</v>
      </c>
      <c r="B996">
        <v>2003</v>
      </c>
      <c r="C996">
        <v>6.5900609807573929</v>
      </c>
      <c r="D996">
        <v>11.039126825188614</v>
      </c>
      <c r="E996">
        <v>5.2570577394460631</v>
      </c>
      <c r="F996">
        <v>17.95077975290145</v>
      </c>
    </row>
    <row r="997" spans="1:6" x14ac:dyDescent="0.25">
      <c r="A997">
        <v>37729</v>
      </c>
      <c r="B997">
        <v>2003</v>
      </c>
      <c r="C997">
        <v>6.7467599208546627</v>
      </c>
      <c r="D997">
        <v>11.039126825188614</v>
      </c>
      <c r="E997">
        <v>5.2570577394460631</v>
      </c>
      <c r="F997">
        <v>17.95077975290145</v>
      </c>
    </row>
    <row r="998" spans="1:6" x14ac:dyDescent="0.25">
      <c r="A998">
        <v>37722</v>
      </c>
      <c r="B998">
        <v>2003</v>
      </c>
      <c r="C998">
        <v>6.5378280007249687</v>
      </c>
      <c r="D998">
        <v>11.039126825188614</v>
      </c>
      <c r="E998">
        <v>5.2570577394460631</v>
      </c>
      <c r="F998">
        <v>17.95077975290145</v>
      </c>
    </row>
    <row r="999" spans="1:6" x14ac:dyDescent="0.25">
      <c r="A999">
        <v>37715</v>
      </c>
      <c r="B999">
        <v>2003</v>
      </c>
      <c r="C999">
        <v>6.4072455506439123</v>
      </c>
      <c r="D999">
        <v>11.039126825188614</v>
      </c>
      <c r="E999">
        <v>5.2570577394460631</v>
      </c>
      <c r="F999">
        <v>17.95077975290145</v>
      </c>
    </row>
    <row r="1000" spans="1:6" x14ac:dyDescent="0.25">
      <c r="A1000">
        <v>37708</v>
      </c>
      <c r="B1000">
        <v>2003</v>
      </c>
      <c r="C1000">
        <v>6.3550125706114882</v>
      </c>
      <c r="D1000">
        <v>11.039126825188614</v>
      </c>
      <c r="E1000">
        <v>5.2570577394460631</v>
      </c>
      <c r="F1000">
        <v>17.95077975290145</v>
      </c>
    </row>
    <row r="1001" spans="1:6" x14ac:dyDescent="0.25">
      <c r="A1001">
        <v>37701</v>
      </c>
      <c r="B1001">
        <v>2003</v>
      </c>
      <c r="C1001">
        <v>6.894753364279862</v>
      </c>
      <c r="D1001">
        <v>11.039126825188614</v>
      </c>
      <c r="E1001">
        <v>5.2570577394460631</v>
      </c>
      <c r="F1001">
        <v>17.95077975290145</v>
      </c>
    </row>
    <row r="1002" spans="1:6" x14ac:dyDescent="0.25">
      <c r="A1002">
        <v>37694</v>
      </c>
      <c r="B1002">
        <v>2003</v>
      </c>
      <c r="C1002">
        <v>8.6619691887101791</v>
      </c>
      <c r="D1002">
        <v>11.039126825188614</v>
      </c>
      <c r="E1002">
        <v>5.2570577394460631</v>
      </c>
      <c r="F1002">
        <v>17.95077975290145</v>
      </c>
    </row>
    <row r="1003" spans="1:6" x14ac:dyDescent="0.25">
      <c r="A1003">
        <v>37687</v>
      </c>
      <c r="B1003">
        <v>2003</v>
      </c>
      <c r="C1003">
        <v>9.4019364058361763</v>
      </c>
      <c r="D1003">
        <v>11.039126825188614</v>
      </c>
      <c r="E1003">
        <v>5.2570577394460631</v>
      </c>
      <c r="F1003">
        <v>17.95077975290145</v>
      </c>
    </row>
    <row r="1004" spans="1:6" x14ac:dyDescent="0.25">
      <c r="A1004">
        <v>37680</v>
      </c>
      <c r="B1004">
        <v>2003</v>
      </c>
      <c r="C1004">
        <v>9.4976968692289496</v>
      </c>
      <c r="D1004">
        <v>11.039126825188614</v>
      </c>
      <c r="E1004">
        <v>5.2570577394460631</v>
      </c>
      <c r="F1004">
        <v>17.95077975290145</v>
      </c>
    </row>
    <row r="1005" spans="1:6" x14ac:dyDescent="0.25">
      <c r="A1005">
        <v>37673</v>
      </c>
      <c r="B1005">
        <v>2003</v>
      </c>
      <c r="C1005">
        <v>9.1494770023461278</v>
      </c>
      <c r="D1005">
        <v>11.039126825188614</v>
      </c>
      <c r="E1005">
        <v>5.2570577394460631</v>
      </c>
      <c r="F1005">
        <v>17.95077975290145</v>
      </c>
    </row>
    <row r="1006" spans="1:6" x14ac:dyDescent="0.25">
      <c r="A1006">
        <v>37666</v>
      </c>
      <c r="B1006">
        <v>2003</v>
      </c>
      <c r="C1006">
        <v>9.0450110422812813</v>
      </c>
      <c r="D1006">
        <v>11.039126825188614</v>
      </c>
      <c r="E1006">
        <v>5.2570577394460631</v>
      </c>
      <c r="F1006">
        <v>17.95077975290145</v>
      </c>
    </row>
    <row r="1007" spans="1:6" x14ac:dyDescent="0.25">
      <c r="A1007">
        <v>37659</v>
      </c>
      <c r="B1007">
        <v>2003</v>
      </c>
      <c r="C1007">
        <v>9.0450110422812813</v>
      </c>
      <c r="D1007">
        <v>11.039126825188614</v>
      </c>
      <c r="E1007">
        <v>5.2570577394460631</v>
      </c>
      <c r="F1007">
        <v>17.95077975290145</v>
      </c>
    </row>
    <row r="1008" spans="1:6" x14ac:dyDescent="0.25">
      <c r="A1008">
        <v>37652</v>
      </c>
      <c r="B1008">
        <v>2003</v>
      </c>
      <c r="C1008">
        <v>8.0612899183373123</v>
      </c>
      <c r="D1008">
        <v>11.039126825188614</v>
      </c>
      <c r="E1008">
        <v>5.2570577394460631</v>
      </c>
      <c r="F1008">
        <v>17.95077975290145</v>
      </c>
    </row>
    <row r="1009" spans="1:6" x14ac:dyDescent="0.25">
      <c r="A1009">
        <v>37645</v>
      </c>
      <c r="B1009">
        <v>2003</v>
      </c>
      <c r="C1009">
        <v>7.7478920381427736</v>
      </c>
      <c r="D1009">
        <v>11.039126825188614</v>
      </c>
      <c r="E1009">
        <v>5.2570577394460631</v>
      </c>
      <c r="F1009">
        <v>17.95077975290145</v>
      </c>
    </row>
    <row r="1010" spans="1:6" x14ac:dyDescent="0.25">
      <c r="A1010">
        <v>37638</v>
      </c>
      <c r="B1010">
        <v>2003</v>
      </c>
      <c r="C1010">
        <v>7.6173095880617163</v>
      </c>
      <c r="D1010">
        <v>11.039126825188614</v>
      </c>
      <c r="E1010">
        <v>5.2570577394460631</v>
      </c>
      <c r="F1010">
        <v>17.95077975290145</v>
      </c>
    </row>
    <row r="1011" spans="1:6" x14ac:dyDescent="0.25">
      <c r="A1011">
        <v>37631</v>
      </c>
      <c r="B1011">
        <v>2003</v>
      </c>
      <c r="C1011">
        <v>7.3909666745878821</v>
      </c>
      <c r="D1011">
        <v>11.039126825188614</v>
      </c>
      <c r="E1011">
        <v>5.2570577394460631</v>
      </c>
      <c r="F1011">
        <v>17.95077975290145</v>
      </c>
    </row>
    <row r="1012" spans="1:6" x14ac:dyDescent="0.25">
      <c r="A1012">
        <v>37624</v>
      </c>
      <c r="B1012">
        <v>2003</v>
      </c>
      <c r="C1012">
        <v>7.7740085281589852</v>
      </c>
      <c r="D1012">
        <v>11.039126825188614</v>
      </c>
      <c r="E1012">
        <v>5.2570577394460631</v>
      </c>
      <c r="F1012">
        <v>17.95077975290145</v>
      </c>
    </row>
    <row r="1013" spans="1:6" x14ac:dyDescent="0.25">
      <c r="A1013">
        <v>37617</v>
      </c>
      <c r="B1013">
        <v>2002</v>
      </c>
      <c r="C1013">
        <v>9.6851571132618268</v>
      </c>
      <c r="D1013">
        <v>11.039126825188614</v>
      </c>
      <c r="E1013">
        <v>5.2570577394460631</v>
      </c>
      <c r="F1013">
        <v>17.95077975290145</v>
      </c>
    </row>
    <row r="1014" spans="1:6" x14ac:dyDescent="0.25">
      <c r="A1014">
        <v>37610</v>
      </c>
      <c r="B1014">
        <v>2002</v>
      </c>
      <c r="C1014">
        <v>8.8559120475818904</v>
      </c>
      <c r="D1014">
        <v>11.039126825188614</v>
      </c>
      <c r="E1014">
        <v>5.2570577394460631</v>
      </c>
      <c r="F1014">
        <v>17.95077975290145</v>
      </c>
    </row>
    <row r="1015" spans="1:6" x14ac:dyDescent="0.25">
      <c r="A1015">
        <v>37603</v>
      </c>
      <c r="B1015">
        <v>2002</v>
      </c>
      <c r="C1015">
        <v>8.0372983288978492</v>
      </c>
      <c r="D1015">
        <v>11.039126825188614</v>
      </c>
      <c r="E1015">
        <v>5.2570577394460631</v>
      </c>
      <c r="F1015">
        <v>17.95077975290145</v>
      </c>
    </row>
    <row r="1016" spans="1:6" x14ac:dyDescent="0.25">
      <c r="A1016">
        <v>37596</v>
      </c>
      <c r="B1016">
        <v>2002</v>
      </c>
      <c r="C1016">
        <v>7.8246713889799171</v>
      </c>
      <c r="D1016">
        <v>11.039126825188614</v>
      </c>
      <c r="E1016">
        <v>5.2570577394460631</v>
      </c>
      <c r="F1016">
        <v>17.95077975290145</v>
      </c>
    </row>
    <row r="1017" spans="1:6" x14ac:dyDescent="0.25">
      <c r="A1017">
        <v>37589</v>
      </c>
      <c r="B1017">
        <v>2002</v>
      </c>
      <c r="C1017">
        <v>7.7183579190209519</v>
      </c>
      <c r="D1017">
        <v>11.039126825188614</v>
      </c>
      <c r="E1017">
        <v>5.2570577394460631</v>
      </c>
      <c r="F1017">
        <v>17.95077975290145</v>
      </c>
    </row>
    <row r="1018" spans="1:6" x14ac:dyDescent="0.25">
      <c r="A1018">
        <v>37582</v>
      </c>
      <c r="B1018">
        <v>2002</v>
      </c>
      <c r="C1018">
        <v>7.7183579190209519</v>
      </c>
      <c r="D1018">
        <v>11.039126825188614</v>
      </c>
      <c r="E1018">
        <v>5.2570577394460631</v>
      </c>
      <c r="F1018">
        <v>17.95077975290145</v>
      </c>
    </row>
    <row r="1019" spans="1:6" x14ac:dyDescent="0.25">
      <c r="A1019">
        <v>37575</v>
      </c>
      <c r="B1019">
        <v>2002</v>
      </c>
      <c r="C1019">
        <v>7.1761592222302237</v>
      </c>
      <c r="D1019">
        <v>11.039126825188614</v>
      </c>
      <c r="E1019">
        <v>5.2570577394460631</v>
      </c>
      <c r="F1019">
        <v>17.95077975290145</v>
      </c>
    </row>
    <row r="1020" spans="1:6" x14ac:dyDescent="0.25">
      <c r="A1020">
        <v>37568</v>
      </c>
      <c r="B1020">
        <v>2002</v>
      </c>
      <c r="C1020">
        <v>7.495099632107121</v>
      </c>
      <c r="D1020">
        <v>11.039126825188614</v>
      </c>
      <c r="E1020">
        <v>5.2570577394460631</v>
      </c>
      <c r="F1020">
        <v>17.95077975290145</v>
      </c>
    </row>
    <row r="1021" spans="1:6" x14ac:dyDescent="0.25">
      <c r="A1021">
        <v>37561</v>
      </c>
      <c r="B1021">
        <v>2002</v>
      </c>
      <c r="C1021">
        <v>7.7396206130127432</v>
      </c>
      <c r="D1021">
        <v>11.039126825188614</v>
      </c>
      <c r="E1021">
        <v>5.2570577394460631</v>
      </c>
      <c r="F1021">
        <v>17.95077975290145</v>
      </c>
    </row>
    <row r="1022" spans="1:6" x14ac:dyDescent="0.25">
      <c r="A1022">
        <v>37554</v>
      </c>
      <c r="B1022">
        <v>2002</v>
      </c>
      <c r="C1022">
        <v>8.047929675893748</v>
      </c>
      <c r="D1022">
        <v>11.039126825188614</v>
      </c>
      <c r="E1022">
        <v>5.2570577394460631</v>
      </c>
      <c r="F1022">
        <v>17.95077975290145</v>
      </c>
    </row>
    <row r="1023" spans="1:6" x14ac:dyDescent="0.25">
      <c r="A1023">
        <v>37547</v>
      </c>
      <c r="B1023">
        <v>2002</v>
      </c>
      <c r="C1023">
        <v>8.6858104956475426</v>
      </c>
      <c r="D1023">
        <v>11.039126825188614</v>
      </c>
      <c r="E1023">
        <v>5.2570577394460631</v>
      </c>
      <c r="F1023">
        <v>17.95077975290145</v>
      </c>
    </row>
    <row r="1024" spans="1:6" x14ac:dyDescent="0.25">
      <c r="A1024">
        <v>37540</v>
      </c>
      <c r="B1024">
        <v>2002</v>
      </c>
      <c r="C1024">
        <v>8.6539164546598535</v>
      </c>
      <c r="D1024">
        <v>11.039126825188614</v>
      </c>
      <c r="E1024">
        <v>5.2570577394460631</v>
      </c>
      <c r="F1024">
        <v>17.95077975290145</v>
      </c>
    </row>
    <row r="1025" spans="1:6" x14ac:dyDescent="0.25">
      <c r="A1025">
        <v>37533</v>
      </c>
      <c r="B1025">
        <v>2002</v>
      </c>
      <c r="C1025">
        <v>8.8346493535900965</v>
      </c>
      <c r="D1025">
        <v>11.039126825188614</v>
      </c>
      <c r="E1025">
        <v>5.2570577394460631</v>
      </c>
      <c r="F1025">
        <v>17.95077975290145</v>
      </c>
    </row>
    <row r="1026" spans="1:6" x14ac:dyDescent="0.25">
      <c r="A1026">
        <v>37526</v>
      </c>
      <c r="B1026">
        <v>2002</v>
      </c>
      <c r="C1026">
        <v>8.7495985776229244</v>
      </c>
      <c r="D1026">
        <v>11.039126825188614</v>
      </c>
      <c r="E1026">
        <v>5.2570577394460631</v>
      </c>
      <c r="F1026">
        <v>17.95077975290145</v>
      </c>
    </row>
    <row r="1027" spans="1:6" x14ac:dyDescent="0.25">
      <c r="A1027">
        <v>37519</v>
      </c>
      <c r="B1027">
        <v>2002</v>
      </c>
      <c r="C1027">
        <v>8.5794970256885783</v>
      </c>
      <c r="D1027">
        <v>11.039126825188614</v>
      </c>
      <c r="E1027">
        <v>5.2570577394460631</v>
      </c>
      <c r="F1027">
        <v>17.95077975290145</v>
      </c>
    </row>
    <row r="1028" spans="1:6" x14ac:dyDescent="0.25">
      <c r="A1028">
        <v>37512</v>
      </c>
      <c r="B1028">
        <v>2002</v>
      </c>
      <c r="C1028">
        <v>8.4519208617378165</v>
      </c>
      <c r="D1028">
        <v>11.039126825188614</v>
      </c>
      <c r="E1028">
        <v>5.2570577394460631</v>
      </c>
      <c r="F1028">
        <v>17.95077975290145</v>
      </c>
    </row>
    <row r="1029" spans="1:6" x14ac:dyDescent="0.25">
      <c r="A1029">
        <v>37505</v>
      </c>
      <c r="B1029">
        <v>2002</v>
      </c>
      <c r="C1029">
        <v>8.090455063877334</v>
      </c>
      <c r="D1029">
        <v>11.039126825188614</v>
      </c>
      <c r="E1029">
        <v>5.2570577394460631</v>
      </c>
      <c r="F1029">
        <v>17.95077975290145</v>
      </c>
    </row>
    <row r="1030" spans="1:6" x14ac:dyDescent="0.25">
      <c r="A1030">
        <v>37498</v>
      </c>
      <c r="B1030">
        <v>2002</v>
      </c>
      <c r="C1030">
        <v>8.1010864108732292</v>
      </c>
      <c r="D1030">
        <v>11.039126825188614</v>
      </c>
      <c r="E1030">
        <v>5.2570577394460631</v>
      </c>
      <c r="F1030">
        <v>17.95077975290145</v>
      </c>
    </row>
    <row r="1031" spans="1:6" x14ac:dyDescent="0.25">
      <c r="A1031">
        <v>37491</v>
      </c>
      <c r="B1031">
        <v>2002</v>
      </c>
      <c r="C1031">
        <v>7.9735102469224692</v>
      </c>
      <c r="D1031">
        <v>11.039126825188614</v>
      </c>
      <c r="E1031">
        <v>5.2570577394460631</v>
      </c>
      <c r="F1031">
        <v>17.95077975290145</v>
      </c>
    </row>
    <row r="1032" spans="1:6" x14ac:dyDescent="0.25">
      <c r="A1032">
        <v>37484</v>
      </c>
      <c r="B1032">
        <v>2002</v>
      </c>
      <c r="C1032">
        <v>7.6439384900496723</v>
      </c>
      <c r="D1032">
        <v>11.039126825188614</v>
      </c>
      <c r="E1032">
        <v>5.2570577394460631</v>
      </c>
      <c r="F1032">
        <v>17.95077975290145</v>
      </c>
    </row>
    <row r="1033" spans="1:6" x14ac:dyDescent="0.25">
      <c r="A1033">
        <v>37477</v>
      </c>
      <c r="B1033">
        <v>2002</v>
      </c>
      <c r="C1033">
        <v>7.1974219162220177</v>
      </c>
      <c r="D1033">
        <v>11.039126825188614</v>
      </c>
      <c r="E1033">
        <v>5.2570577394460631</v>
      </c>
      <c r="F1033">
        <v>17.95077975290145</v>
      </c>
    </row>
    <row r="1034" spans="1:6" x14ac:dyDescent="0.25">
      <c r="A1034">
        <v>37470</v>
      </c>
      <c r="B1034">
        <v>2002</v>
      </c>
      <c r="C1034">
        <v>7.3037353861809819</v>
      </c>
      <c r="D1034">
        <v>11.039126825188614</v>
      </c>
      <c r="E1034">
        <v>5.2570577394460631</v>
      </c>
      <c r="F1034">
        <v>17.95077975290145</v>
      </c>
    </row>
    <row r="1035" spans="1:6" x14ac:dyDescent="0.25">
      <c r="A1035">
        <v>37463</v>
      </c>
      <c r="B1035">
        <v>2002</v>
      </c>
      <c r="C1035">
        <v>7.2080532632179128</v>
      </c>
      <c r="D1035">
        <v>11.039126825188614</v>
      </c>
      <c r="E1035">
        <v>5.2570577394460631</v>
      </c>
      <c r="F1035">
        <v>17.95077975290145</v>
      </c>
    </row>
    <row r="1036" spans="1:6" x14ac:dyDescent="0.25">
      <c r="A1036">
        <v>37456</v>
      </c>
      <c r="B1036">
        <v>2002</v>
      </c>
      <c r="C1036">
        <v>7.5163623260989159</v>
      </c>
      <c r="D1036">
        <v>11.039126825188614</v>
      </c>
      <c r="E1036">
        <v>5.2570577394460631</v>
      </c>
      <c r="F1036">
        <v>17.95077975290145</v>
      </c>
    </row>
    <row r="1037" spans="1:6" x14ac:dyDescent="0.25">
      <c r="A1037">
        <v>37449</v>
      </c>
      <c r="B1037">
        <v>2002</v>
      </c>
      <c r="C1037">
        <v>7.2931040391850859</v>
      </c>
      <c r="D1037">
        <v>11.039126825188614</v>
      </c>
      <c r="E1037">
        <v>5.2570577394460631</v>
      </c>
      <c r="F1037">
        <v>17.95077975290145</v>
      </c>
    </row>
    <row r="1038" spans="1:6" x14ac:dyDescent="0.25">
      <c r="A1038">
        <v>37442</v>
      </c>
      <c r="B1038">
        <v>2002</v>
      </c>
      <c r="C1038">
        <v>7.356892121160465</v>
      </c>
      <c r="D1038">
        <v>11.039126825188614</v>
      </c>
      <c r="E1038">
        <v>5.2570577394460631</v>
      </c>
      <c r="F1038">
        <v>17.95077975290145</v>
      </c>
    </row>
    <row r="1039" spans="1:6" x14ac:dyDescent="0.25">
      <c r="A1039">
        <v>37435</v>
      </c>
      <c r="B1039">
        <v>2002</v>
      </c>
      <c r="C1039">
        <v>7.2080532632179128</v>
      </c>
      <c r="D1039">
        <v>11.039126825188614</v>
      </c>
      <c r="E1039">
        <v>5.2570577394460631</v>
      </c>
      <c r="F1039">
        <v>17.95077975290145</v>
      </c>
    </row>
    <row r="1040" spans="1:6" x14ac:dyDescent="0.25">
      <c r="A1040">
        <v>37428</v>
      </c>
      <c r="B1040">
        <v>2002</v>
      </c>
      <c r="C1040">
        <v>7.0273203642876707</v>
      </c>
      <c r="D1040">
        <v>11.039126825188614</v>
      </c>
      <c r="E1040">
        <v>5.2570577394460631</v>
      </c>
      <c r="F1040">
        <v>17.95077975290145</v>
      </c>
    </row>
    <row r="1041" spans="1:6" x14ac:dyDescent="0.25">
      <c r="A1041">
        <v>37421</v>
      </c>
      <c r="B1041">
        <v>2002</v>
      </c>
      <c r="C1041">
        <v>6.8359561183615316</v>
      </c>
      <c r="D1041">
        <v>11.039126825188614</v>
      </c>
      <c r="E1041">
        <v>5.2570577394460631</v>
      </c>
      <c r="F1041">
        <v>17.95077975290145</v>
      </c>
    </row>
    <row r="1042" spans="1:6" x14ac:dyDescent="0.25">
      <c r="A1042">
        <v>37414</v>
      </c>
      <c r="B1042">
        <v>2002</v>
      </c>
      <c r="C1042">
        <v>6.6764859134230807</v>
      </c>
      <c r="D1042">
        <v>11.039126825188614</v>
      </c>
      <c r="E1042">
        <v>5.2570577394460631</v>
      </c>
      <c r="F1042">
        <v>17.95077975290145</v>
      </c>
    </row>
    <row r="1043" spans="1:6" x14ac:dyDescent="0.25">
      <c r="A1043">
        <v>37407</v>
      </c>
      <c r="B1043">
        <v>2002</v>
      </c>
      <c r="C1043">
        <v>6.7934307303779455</v>
      </c>
      <c r="D1043">
        <v>11.039126825188614</v>
      </c>
      <c r="E1043">
        <v>5.2570577394460631</v>
      </c>
      <c r="F1043">
        <v>17.95077975290145</v>
      </c>
    </row>
    <row r="1044" spans="1:6" x14ac:dyDescent="0.25">
      <c r="A1044">
        <v>37400</v>
      </c>
      <c r="B1044">
        <v>2002</v>
      </c>
      <c r="C1044">
        <v>7.1442651812425337</v>
      </c>
      <c r="D1044">
        <v>11.039126825188614</v>
      </c>
      <c r="E1044">
        <v>5.2570577394460631</v>
      </c>
      <c r="F1044">
        <v>17.95077975290145</v>
      </c>
    </row>
    <row r="1045" spans="1:6" x14ac:dyDescent="0.25">
      <c r="A1045">
        <v>37393</v>
      </c>
      <c r="B1045">
        <v>2002</v>
      </c>
      <c r="C1045">
        <v>7.3143667331768798</v>
      </c>
      <c r="D1045">
        <v>11.039126825188614</v>
      </c>
      <c r="E1045">
        <v>5.2570577394460631</v>
      </c>
      <c r="F1045">
        <v>17.95077975290145</v>
      </c>
    </row>
    <row r="1046" spans="1:6" x14ac:dyDescent="0.25">
      <c r="A1046">
        <v>37386</v>
      </c>
      <c r="B1046">
        <v>2002</v>
      </c>
      <c r="C1046">
        <v>7.0273203642876707</v>
      </c>
      <c r="D1046">
        <v>11.039126825188614</v>
      </c>
      <c r="E1046">
        <v>5.2570577394460631</v>
      </c>
      <c r="F1046">
        <v>17.95077975290145</v>
      </c>
    </row>
    <row r="1047" spans="1:6" x14ac:dyDescent="0.25">
      <c r="A1047">
        <v>37379</v>
      </c>
      <c r="B1047">
        <v>2002</v>
      </c>
      <c r="C1047">
        <v>7.1867905692261216</v>
      </c>
      <c r="D1047">
        <v>11.039126825188614</v>
      </c>
      <c r="E1047">
        <v>5.2570577394460631</v>
      </c>
      <c r="F1047">
        <v>17.95077975290145</v>
      </c>
    </row>
    <row r="1048" spans="1:6" x14ac:dyDescent="0.25">
      <c r="A1048">
        <v>37372</v>
      </c>
      <c r="B1048">
        <v>2002</v>
      </c>
      <c r="C1048">
        <v>7.1230024872507407</v>
      </c>
      <c r="D1048">
        <v>11.039126825188614</v>
      </c>
      <c r="E1048">
        <v>5.2570577394460631</v>
      </c>
      <c r="F1048">
        <v>17.95077975290145</v>
      </c>
    </row>
    <row r="1049" spans="1:6" x14ac:dyDescent="0.25">
      <c r="A1049">
        <v>37365</v>
      </c>
      <c r="B1049">
        <v>2002</v>
      </c>
      <c r="C1049">
        <v>6.8678501593492207</v>
      </c>
      <c r="D1049">
        <v>11.039126825188614</v>
      </c>
      <c r="E1049">
        <v>5.2570577394460631</v>
      </c>
      <c r="F1049">
        <v>17.95077975290145</v>
      </c>
    </row>
    <row r="1050" spans="1:6" x14ac:dyDescent="0.25">
      <c r="A1050">
        <v>37358</v>
      </c>
      <c r="B1050">
        <v>2002</v>
      </c>
      <c r="C1050">
        <v>6.9635322823122898</v>
      </c>
      <c r="D1050">
        <v>11.039126825188614</v>
      </c>
      <c r="E1050">
        <v>5.2570577394460631</v>
      </c>
      <c r="F1050">
        <v>17.95077975290145</v>
      </c>
    </row>
    <row r="1051" spans="1:6" x14ac:dyDescent="0.25">
      <c r="A1051">
        <v>37351</v>
      </c>
      <c r="B1051">
        <v>2002</v>
      </c>
      <c r="C1051">
        <v>7.3781548151522598</v>
      </c>
      <c r="D1051">
        <v>11.039126825188614</v>
      </c>
      <c r="E1051">
        <v>5.2570577394460631</v>
      </c>
      <c r="F1051">
        <v>17.95077975290145</v>
      </c>
    </row>
    <row r="1052" spans="1:6" x14ac:dyDescent="0.25">
      <c r="A1052">
        <v>37344</v>
      </c>
      <c r="B1052">
        <v>2002</v>
      </c>
      <c r="C1052">
        <v>6.9529009353163937</v>
      </c>
      <c r="D1052">
        <v>11.039126825188614</v>
      </c>
      <c r="E1052">
        <v>5.2570577394460631</v>
      </c>
      <c r="F1052">
        <v>17.95077975290145</v>
      </c>
    </row>
    <row r="1053" spans="1:6" x14ac:dyDescent="0.25">
      <c r="A1053">
        <v>37337</v>
      </c>
      <c r="B1053">
        <v>2002</v>
      </c>
      <c r="C1053">
        <v>6.8891128533410146</v>
      </c>
      <c r="D1053">
        <v>11.039126825188614</v>
      </c>
      <c r="E1053">
        <v>5.2570577394460631</v>
      </c>
      <c r="F1053">
        <v>17.95077975290145</v>
      </c>
    </row>
    <row r="1054" spans="1:6" x14ac:dyDescent="0.25">
      <c r="A1054">
        <v>37330</v>
      </c>
      <c r="B1054">
        <v>2002</v>
      </c>
      <c r="C1054">
        <v>6.7190113014066677</v>
      </c>
      <c r="D1054">
        <v>11.039126825188614</v>
      </c>
      <c r="E1054">
        <v>5.2570577394460631</v>
      </c>
      <c r="F1054">
        <v>17.95077975290145</v>
      </c>
    </row>
    <row r="1055" spans="1:6" x14ac:dyDescent="0.25">
      <c r="A1055">
        <v>37323</v>
      </c>
      <c r="B1055">
        <v>2002</v>
      </c>
      <c r="C1055">
        <v>6.3894395445338725</v>
      </c>
      <c r="D1055">
        <v>11.039126825188614</v>
      </c>
      <c r="E1055">
        <v>5.2570577394460631</v>
      </c>
      <c r="F1055">
        <v>17.95077975290145</v>
      </c>
    </row>
    <row r="1056" spans="1:6" x14ac:dyDescent="0.25">
      <c r="A1056">
        <v>37316</v>
      </c>
      <c r="B1056">
        <v>2002</v>
      </c>
      <c r="C1056">
        <v>6.0067110526815926</v>
      </c>
      <c r="D1056">
        <v>11.039126825188614</v>
      </c>
      <c r="E1056">
        <v>5.2570577394460631</v>
      </c>
      <c r="F1056">
        <v>17.95077975290145</v>
      </c>
    </row>
    <row r="1057" spans="1:6" x14ac:dyDescent="0.25">
      <c r="A1057">
        <v>37309</v>
      </c>
      <c r="B1057">
        <v>2002</v>
      </c>
      <c r="C1057">
        <v>5.8259781537513531</v>
      </c>
      <c r="D1057">
        <v>11.039126825188614</v>
      </c>
      <c r="E1057">
        <v>5.2570577394460631</v>
      </c>
      <c r="F1057">
        <v>17.95077975290145</v>
      </c>
    </row>
    <row r="1058" spans="1:6" x14ac:dyDescent="0.25">
      <c r="A1058">
        <v>37302</v>
      </c>
      <c r="B1058">
        <v>2002</v>
      </c>
      <c r="C1058">
        <v>5.9429229707062143</v>
      </c>
      <c r="D1058">
        <v>11.039126825188614</v>
      </c>
      <c r="E1058">
        <v>5.2570577394460631</v>
      </c>
      <c r="F1058">
        <v>17.95077975290145</v>
      </c>
    </row>
    <row r="1059" spans="1:6" x14ac:dyDescent="0.25">
      <c r="A1059">
        <v>37295</v>
      </c>
      <c r="B1059">
        <v>2002</v>
      </c>
      <c r="C1059">
        <v>5.7196646837923844</v>
      </c>
      <c r="D1059">
        <v>11.039126825188614</v>
      </c>
      <c r="E1059">
        <v>5.2570577394460631</v>
      </c>
      <c r="F1059">
        <v>17.95077975290145</v>
      </c>
    </row>
    <row r="1060" spans="1:6" x14ac:dyDescent="0.25">
      <c r="A1060">
        <v>37288</v>
      </c>
      <c r="B1060">
        <v>2002</v>
      </c>
      <c r="C1060">
        <v>5.6984019898005931</v>
      </c>
      <c r="D1060">
        <v>11.039126825188614</v>
      </c>
      <c r="E1060">
        <v>5.2570577394460631</v>
      </c>
      <c r="F1060">
        <v>17.95077975290145</v>
      </c>
    </row>
    <row r="1061" spans="1:6" x14ac:dyDescent="0.25">
      <c r="A1061">
        <v>37281</v>
      </c>
      <c r="B1061">
        <v>2002</v>
      </c>
      <c r="C1061">
        <v>5.6452452548211092</v>
      </c>
      <c r="D1061">
        <v>11.039126825188614</v>
      </c>
      <c r="E1061">
        <v>5.2570577394460631</v>
      </c>
      <c r="F1061">
        <v>17.95077975290145</v>
      </c>
    </row>
    <row r="1062" spans="1:6" x14ac:dyDescent="0.25">
      <c r="A1062">
        <v>37274</v>
      </c>
      <c r="B1062">
        <v>2002</v>
      </c>
      <c r="C1062">
        <v>5.4219869679072801</v>
      </c>
      <c r="D1062">
        <v>11.039126825188614</v>
      </c>
      <c r="E1062">
        <v>5.2570577394460631</v>
      </c>
      <c r="F1062">
        <v>17.95077975290145</v>
      </c>
    </row>
    <row r="1063" spans="1:6" x14ac:dyDescent="0.25">
      <c r="A1063">
        <v>37267</v>
      </c>
      <c r="B1063">
        <v>2002</v>
      </c>
      <c r="C1063">
        <v>5.7515587247800752</v>
      </c>
      <c r="D1063">
        <v>11.039126825188614</v>
      </c>
      <c r="E1063">
        <v>5.2570577394460631</v>
      </c>
      <c r="F1063">
        <v>17.95077975290145</v>
      </c>
    </row>
    <row r="1064" spans="1:6" x14ac:dyDescent="0.25">
      <c r="A1064">
        <v>37260</v>
      </c>
      <c r="B1064">
        <v>2002</v>
      </c>
      <c r="C1064">
        <v>5.8897662357267331</v>
      </c>
      <c r="D1064">
        <v>11.039126825188614</v>
      </c>
      <c r="E1064">
        <v>5.2570577394460631</v>
      </c>
      <c r="F1064">
        <v>17.95077975290145</v>
      </c>
    </row>
    <row r="1065" spans="1:6" x14ac:dyDescent="0.25">
      <c r="A1065">
        <v>37253</v>
      </c>
      <c r="B1065">
        <v>2001</v>
      </c>
      <c r="C1065">
        <v>6.5072158746511484</v>
      </c>
      <c r="D1065">
        <v>11.039126825188614</v>
      </c>
      <c r="E1065">
        <v>5.2570577394460631</v>
      </c>
      <c r="F1065">
        <v>17.95077975290145</v>
      </c>
    </row>
    <row r="1066" spans="1:6" x14ac:dyDescent="0.25">
      <c r="A1066">
        <v>37246</v>
      </c>
      <c r="B1066">
        <v>2001</v>
      </c>
      <c r="C1066">
        <v>6.1055358823887325</v>
      </c>
      <c r="D1066">
        <v>11.039126825188614</v>
      </c>
      <c r="E1066">
        <v>5.2570577394460631</v>
      </c>
      <c r="F1066">
        <v>17.95077975290145</v>
      </c>
    </row>
    <row r="1067" spans="1:6" x14ac:dyDescent="0.25">
      <c r="A1067">
        <v>37239</v>
      </c>
      <c r="B1067">
        <v>2001</v>
      </c>
      <c r="C1067">
        <v>5.451371323561367</v>
      </c>
      <c r="D1067">
        <v>11.039126825188614</v>
      </c>
      <c r="E1067">
        <v>5.2570577394460631</v>
      </c>
      <c r="F1067">
        <v>17.95077975290145</v>
      </c>
    </row>
    <row r="1068" spans="1:6" x14ac:dyDescent="0.25">
      <c r="A1068">
        <v>37232</v>
      </c>
      <c r="B1068">
        <v>2001</v>
      </c>
      <c r="C1068">
        <v>5.7612387461638042</v>
      </c>
      <c r="D1068">
        <v>11.039126825188614</v>
      </c>
      <c r="E1068">
        <v>5.2570577394460631</v>
      </c>
      <c r="F1068">
        <v>17.95077975290145</v>
      </c>
    </row>
    <row r="1069" spans="1:6" x14ac:dyDescent="0.25">
      <c r="A1069">
        <v>37225</v>
      </c>
      <c r="B1069">
        <v>2001</v>
      </c>
      <c r="C1069">
        <v>5.8760044582387794</v>
      </c>
      <c r="D1069">
        <v>11.039126825188614</v>
      </c>
      <c r="E1069">
        <v>5.2570577394460631</v>
      </c>
      <c r="F1069">
        <v>17.95077975290145</v>
      </c>
    </row>
    <row r="1070" spans="1:6" x14ac:dyDescent="0.25">
      <c r="A1070">
        <v>37218</v>
      </c>
      <c r="B1070">
        <v>2001</v>
      </c>
      <c r="C1070">
        <v>5.9104341718612723</v>
      </c>
      <c r="D1070">
        <v>11.039126825188614</v>
      </c>
      <c r="E1070">
        <v>5.2570577394460631</v>
      </c>
      <c r="F1070">
        <v>17.95077975290145</v>
      </c>
    </row>
    <row r="1071" spans="1:6" x14ac:dyDescent="0.25">
      <c r="A1071">
        <v>37211</v>
      </c>
      <c r="B1071">
        <v>2001</v>
      </c>
      <c r="C1071">
        <v>6.2432547368787041</v>
      </c>
      <c r="D1071">
        <v>11.039126825188614</v>
      </c>
      <c r="E1071">
        <v>5.2570577394460631</v>
      </c>
      <c r="F1071">
        <v>17.95077975290145</v>
      </c>
    </row>
    <row r="1072" spans="1:6" x14ac:dyDescent="0.25">
      <c r="A1072">
        <v>37204</v>
      </c>
      <c r="B1072">
        <v>2001</v>
      </c>
      <c r="C1072">
        <v>6.6219815867261245</v>
      </c>
      <c r="D1072">
        <v>11.039126825188614</v>
      </c>
      <c r="E1072">
        <v>5.2570577394460631</v>
      </c>
      <c r="F1072">
        <v>17.95077975290145</v>
      </c>
    </row>
    <row r="1073" spans="1:6" x14ac:dyDescent="0.25">
      <c r="A1073">
        <v>37197</v>
      </c>
      <c r="B1073">
        <v>2001</v>
      </c>
      <c r="C1073">
        <v>6.8285598684610811</v>
      </c>
      <c r="D1073">
        <v>11.039126825188614</v>
      </c>
      <c r="E1073">
        <v>5.2570577394460631</v>
      </c>
      <c r="F1073">
        <v>17.95077975290145</v>
      </c>
    </row>
    <row r="1074" spans="1:6" x14ac:dyDescent="0.25">
      <c r="A1074">
        <v>37190</v>
      </c>
      <c r="B1074">
        <v>2001</v>
      </c>
      <c r="C1074">
        <v>6.9892318653660492</v>
      </c>
      <c r="D1074">
        <v>11.039126825188614</v>
      </c>
      <c r="E1074">
        <v>5.2570577394460631</v>
      </c>
      <c r="F1074">
        <v>17.95077975290145</v>
      </c>
    </row>
    <row r="1075" spans="1:6" x14ac:dyDescent="0.25">
      <c r="A1075">
        <v>37183</v>
      </c>
      <c r="B1075">
        <v>2001</v>
      </c>
      <c r="C1075">
        <v>6.9433255805360572</v>
      </c>
      <c r="D1075">
        <v>11.039126825188614</v>
      </c>
      <c r="E1075">
        <v>5.2570577394460631</v>
      </c>
      <c r="F1075">
        <v>17.95077975290145</v>
      </c>
    </row>
    <row r="1076" spans="1:6" x14ac:dyDescent="0.25">
      <c r="A1076">
        <v>37176</v>
      </c>
      <c r="B1076">
        <v>2001</v>
      </c>
      <c r="C1076">
        <v>7.390911857628466</v>
      </c>
      <c r="D1076">
        <v>11.039126825188614</v>
      </c>
      <c r="E1076">
        <v>5.2570577394460631</v>
      </c>
      <c r="F1076">
        <v>17.95077975290145</v>
      </c>
    </row>
    <row r="1077" spans="1:6" x14ac:dyDescent="0.25">
      <c r="A1077">
        <v>37169</v>
      </c>
      <c r="B1077">
        <v>2001</v>
      </c>
      <c r="C1077">
        <v>7.2990992879684837</v>
      </c>
      <c r="D1077">
        <v>11.039126825188614</v>
      </c>
      <c r="E1077">
        <v>5.2570577394460631</v>
      </c>
      <c r="F1077">
        <v>17.95077975290145</v>
      </c>
    </row>
    <row r="1078" spans="1:6" x14ac:dyDescent="0.25">
      <c r="A1078">
        <v>37162</v>
      </c>
      <c r="B1078">
        <v>2001</v>
      </c>
      <c r="C1078">
        <v>7.3564821440059713</v>
      </c>
      <c r="D1078">
        <v>11.039126825188614</v>
      </c>
      <c r="E1078">
        <v>5.2570577394460631</v>
      </c>
      <c r="F1078">
        <v>17.95077975290145</v>
      </c>
    </row>
    <row r="1079" spans="1:6" x14ac:dyDescent="0.25">
      <c r="A1079">
        <v>37155</v>
      </c>
      <c r="B1079">
        <v>2001</v>
      </c>
      <c r="C1079">
        <v>8.0795061300783217</v>
      </c>
      <c r="D1079">
        <v>11.039126825188614</v>
      </c>
      <c r="E1079">
        <v>5.2570577394460631</v>
      </c>
      <c r="F1079">
        <v>17.95077975290145</v>
      </c>
    </row>
    <row r="1080" spans="1:6" x14ac:dyDescent="0.25">
      <c r="A1080">
        <v>37148</v>
      </c>
      <c r="B1080">
        <v>2001</v>
      </c>
      <c r="C1080">
        <v>9.3763586765255518</v>
      </c>
      <c r="D1080">
        <v>11.039126825188614</v>
      </c>
      <c r="E1080">
        <v>5.2570577394460631</v>
      </c>
      <c r="F1080">
        <v>17.95077975290145</v>
      </c>
    </row>
    <row r="1081" spans="1:6" x14ac:dyDescent="0.25">
      <c r="A1081">
        <v>37141</v>
      </c>
      <c r="B1081">
        <v>2001</v>
      </c>
      <c r="C1081">
        <v>9.2042101084130881</v>
      </c>
      <c r="D1081">
        <v>11.039126825188614</v>
      </c>
      <c r="E1081">
        <v>5.2570577394460631</v>
      </c>
      <c r="F1081">
        <v>17.95077975290145</v>
      </c>
    </row>
    <row r="1082" spans="1:6" x14ac:dyDescent="0.25">
      <c r="A1082">
        <v>37134</v>
      </c>
      <c r="B1082">
        <v>2001</v>
      </c>
      <c r="C1082">
        <v>9.055014682715619</v>
      </c>
      <c r="D1082">
        <v>11.039126825188614</v>
      </c>
      <c r="E1082">
        <v>5.2570577394460631</v>
      </c>
      <c r="F1082">
        <v>17.95077975290145</v>
      </c>
    </row>
    <row r="1083" spans="1:6" x14ac:dyDescent="0.25">
      <c r="A1083">
        <v>37127</v>
      </c>
      <c r="B1083">
        <v>2001</v>
      </c>
      <c r="C1083">
        <v>8.7221941176981872</v>
      </c>
      <c r="D1083">
        <v>11.039126825188614</v>
      </c>
      <c r="E1083">
        <v>5.2570577394460631</v>
      </c>
      <c r="F1083">
        <v>17.95077975290145</v>
      </c>
    </row>
    <row r="1084" spans="1:6" x14ac:dyDescent="0.25">
      <c r="A1084">
        <v>37120</v>
      </c>
      <c r="B1084">
        <v>2001</v>
      </c>
      <c r="C1084">
        <v>8.756623831320681</v>
      </c>
      <c r="D1084">
        <v>11.039126825188614</v>
      </c>
      <c r="E1084">
        <v>5.2570577394460631</v>
      </c>
      <c r="F1084">
        <v>17.95077975290145</v>
      </c>
    </row>
    <row r="1085" spans="1:6" x14ac:dyDescent="0.25">
      <c r="A1085">
        <v>37113</v>
      </c>
      <c r="B1085">
        <v>2001</v>
      </c>
      <c r="C1085">
        <v>8.6877644040756952</v>
      </c>
      <c r="D1085">
        <v>11.039126825188614</v>
      </c>
      <c r="E1085">
        <v>5.2570577394460631</v>
      </c>
      <c r="F1085">
        <v>17.95077975290145</v>
      </c>
    </row>
    <row r="1086" spans="1:6" x14ac:dyDescent="0.25">
      <c r="A1086">
        <v>37106</v>
      </c>
      <c r="B1086">
        <v>2001</v>
      </c>
      <c r="C1086">
        <v>8.4582329799257412</v>
      </c>
      <c r="D1086">
        <v>11.039126825188614</v>
      </c>
      <c r="E1086">
        <v>5.2570577394460631</v>
      </c>
      <c r="F1086">
        <v>17.95077975290145</v>
      </c>
    </row>
    <row r="1087" spans="1:6" x14ac:dyDescent="0.25">
      <c r="A1087">
        <v>37099</v>
      </c>
      <c r="B1087">
        <v>2001</v>
      </c>
      <c r="C1087">
        <v>8.1942718421532987</v>
      </c>
      <c r="D1087">
        <v>11.039126825188614</v>
      </c>
      <c r="E1087">
        <v>5.2570577394460631</v>
      </c>
      <c r="F1087">
        <v>17.95077975290145</v>
      </c>
    </row>
    <row r="1088" spans="1:6" x14ac:dyDescent="0.25">
      <c r="A1088">
        <v>37092</v>
      </c>
      <c r="B1088">
        <v>2001</v>
      </c>
      <c r="C1088">
        <v>7.8155449923058766</v>
      </c>
      <c r="D1088">
        <v>11.039126825188614</v>
      </c>
      <c r="E1088">
        <v>5.2570577394460631</v>
      </c>
      <c r="F1088">
        <v>17.95077975290145</v>
      </c>
    </row>
    <row r="1089" spans="1:6" x14ac:dyDescent="0.25">
      <c r="A1089">
        <v>37085</v>
      </c>
      <c r="B1089">
        <v>2001</v>
      </c>
      <c r="C1089">
        <v>8.1942718421532987</v>
      </c>
      <c r="D1089">
        <v>11.039126825188614</v>
      </c>
      <c r="E1089">
        <v>5.2570577394460631</v>
      </c>
      <c r="F1089">
        <v>17.95077975290145</v>
      </c>
    </row>
    <row r="1090" spans="1:6" x14ac:dyDescent="0.25">
      <c r="A1090">
        <v>37078</v>
      </c>
      <c r="B1090">
        <v>2001</v>
      </c>
      <c r="C1090">
        <v>8.4352798375107483</v>
      </c>
      <c r="D1090">
        <v>11.039126825188614</v>
      </c>
      <c r="E1090">
        <v>5.2570577394460631</v>
      </c>
      <c r="F1090">
        <v>17.95077975290145</v>
      </c>
    </row>
    <row r="1091" spans="1:6" x14ac:dyDescent="0.25">
      <c r="A1091">
        <v>37071</v>
      </c>
      <c r="B1091">
        <v>2001</v>
      </c>
      <c r="C1091">
        <v>8.3319906966432686</v>
      </c>
      <c r="D1091">
        <v>11.039126825188614</v>
      </c>
      <c r="E1091">
        <v>5.2570577394460631</v>
      </c>
      <c r="F1091">
        <v>17.95077975290145</v>
      </c>
    </row>
    <row r="1092" spans="1:6" x14ac:dyDescent="0.25">
      <c r="A1092">
        <v>37064</v>
      </c>
      <c r="B1092">
        <v>2001</v>
      </c>
      <c r="C1092">
        <v>8.6992409752831925</v>
      </c>
      <c r="D1092">
        <v>11.039126825188614</v>
      </c>
      <c r="E1092">
        <v>5.2570577394460631</v>
      </c>
      <c r="F1092">
        <v>17.95077975290145</v>
      </c>
    </row>
    <row r="1093" spans="1:6" x14ac:dyDescent="0.25">
      <c r="A1093">
        <v>37057</v>
      </c>
      <c r="B1093">
        <v>2001</v>
      </c>
      <c r="C1093">
        <v>9.3304523916955606</v>
      </c>
      <c r="D1093">
        <v>11.039126825188614</v>
      </c>
      <c r="E1093">
        <v>5.2570577394460631</v>
      </c>
      <c r="F1093">
        <v>17.95077975290145</v>
      </c>
    </row>
    <row r="1094" spans="1:6" x14ac:dyDescent="0.25">
      <c r="A1094">
        <v>37050</v>
      </c>
      <c r="B1094">
        <v>2001</v>
      </c>
      <c r="C1094">
        <v>8.836959829773166</v>
      </c>
      <c r="D1094">
        <v>11.039126825188614</v>
      </c>
      <c r="E1094">
        <v>5.2570577394460631</v>
      </c>
      <c r="F1094">
        <v>17.95077975290145</v>
      </c>
    </row>
    <row r="1095" spans="1:6" x14ac:dyDescent="0.25">
      <c r="A1095">
        <v>37043</v>
      </c>
      <c r="B1095">
        <v>2001</v>
      </c>
      <c r="C1095">
        <v>9.0664912539231182</v>
      </c>
      <c r="D1095">
        <v>11.039126825188614</v>
      </c>
      <c r="E1095">
        <v>5.2570577394460631</v>
      </c>
      <c r="F1095">
        <v>17.95077975290145</v>
      </c>
    </row>
    <row r="1096" spans="1:6" x14ac:dyDescent="0.25">
      <c r="A1096">
        <v>37036</v>
      </c>
      <c r="B1096">
        <v>2001</v>
      </c>
      <c r="C1096">
        <v>9.5714603870530119</v>
      </c>
      <c r="D1096">
        <v>11.039126825188614</v>
      </c>
      <c r="E1096">
        <v>5.2570577394460631</v>
      </c>
      <c r="F1096">
        <v>17.95077975290145</v>
      </c>
    </row>
    <row r="1097" spans="1:6" x14ac:dyDescent="0.25">
      <c r="A1097">
        <v>37029</v>
      </c>
      <c r="B1097">
        <v>2001</v>
      </c>
      <c r="C1097">
        <v>9.2271632508280828</v>
      </c>
      <c r="D1097">
        <v>11.039126825188614</v>
      </c>
      <c r="E1097">
        <v>5.2570577394460631</v>
      </c>
      <c r="F1097">
        <v>17.95077975290145</v>
      </c>
    </row>
    <row r="1098" spans="1:6" x14ac:dyDescent="0.25">
      <c r="A1098">
        <v>37022</v>
      </c>
      <c r="B1098">
        <v>2001</v>
      </c>
      <c r="C1098">
        <v>9.5714603870530119</v>
      </c>
      <c r="D1098">
        <v>11.039126825188614</v>
      </c>
      <c r="E1098">
        <v>5.2570577394460631</v>
      </c>
      <c r="F1098">
        <v>17.95077975290145</v>
      </c>
    </row>
    <row r="1099" spans="1:6" x14ac:dyDescent="0.25">
      <c r="A1099">
        <v>37015</v>
      </c>
      <c r="B1099">
        <v>2001</v>
      </c>
      <c r="C1099">
        <v>9.3878352477330491</v>
      </c>
      <c r="D1099">
        <v>11.039126825188614</v>
      </c>
      <c r="E1099">
        <v>5.2570577394460631</v>
      </c>
      <c r="F1099">
        <v>17.95077975290145</v>
      </c>
    </row>
    <row r="1100" spans="1:6" x14ac:dyDescent="0.25">
      <c r="A1100">
        <v>37008</v>
      </c>
      <c r="B1100">
        <v>2001</v>
      </c>
      <c r="C1100">
        <v>8.8599129721881589</v>
      </c>
      <c r="D1100">
        <v>11.039126825188614</v>
      </c>
      <c r="E1100">
        <v>5.2570577394460631</v>
      </c>
      <c r="F1100">
        <v>17.95077975290145</v>
      </c>
    </row>
    <row r="1101" spans="1:6" x14ac:dyDescent="0.25">
      <c r="A1101">
        <v>37001</v>
      </c>
      <c r="B1101">
        <v>2001</v>
      </c>
      <c r="C1101">
        <v>9.1353506811681022</v>
      </c>
      <c r="D1101">
        <v>11.039126825188614</v>
      </c>
      <c r="E1101">
        <v>5.2570577394460631</v>
      </c>
      <c r="F1101">
        <v>17.95077975290145</v>
      </c>
    </row>
    <row r="1102" spans="1:6" x14ac:dyDescent="0.25">
      <c r="A1102">
        <v>36994</v>
      </c>
      <c r="B1102">
        <v>2001</v>
      </c>
      <c r="C1102">
        <v>9.020584969093127</v>
      </c>
      <c r="D1102">
        <v>11.039126825188614</v>
      </c>
      <c r="E1102">
        <v>5.2570577394460631</v>
      </c>
      <c r="F1102">
        <v>17.95077975290145</v>
      </c>
    </row>
    <row r="1103" spans="1:6" x14ac:dyDescent="0.25">
      <c r="A1103">
        <v>36987</v>
      </c>
      <c r="B1103">
        <v>2001</v>
      </c>
      <c r="C1103">
        <v>8.3090375542282722</v>
      </c>
      <c r="D1103">
        <v>11.039126825188614</v>
      </c>
      <c r="E1103">
        <v>5.2570577394460631</v>
      </c>
      <c r="F1103">
        <v>17.95077975290145</v>
      </c>
    </row>
    <row r="1104" spans="1:6" x14ac:dyDescent="0.25">
      <c r="A1104">
        <v>36980</v>
      </c>
      <c r="B1104">
        <v>2001</v>
      </c>
      <c r="C1104">
        <v>8.4352798375107483</v>
      </c>
      <c r="D1104">
        <v>11.039126825188614</v>
      </c>
      <c r="E1104">
        <v>5.2570577394460631</v>
      </c>
      <c r="F1104">
        <v>17.95077975290145</v>
      </c>
    </row>
    <row r="1105" spans="1:6" x14ac:dyDescent="0.25">
      <c r="A1105">
        <v>36973</v>
      </c>
      <c r="B1105">
        <v>2001</v>
      </c>
      <c r="C1105">
        <v>8.3434672678507678</v>
      </c>
      <c r="D1105">
        <v>11.039126825188614</v>
      </c>
      <c r="E1105">
        <v>5.2570577394460631</v>
      </c>
      <c r="F1105">
        <v>17.95077975290145</v>
      </c>
    </row>
    <row r="1106" spans="1:6" x14ac:dyDescent="0.25">
      <c r="A1106">
        <v>36966</v>
      </c>
      <c r="B1106">
        <v>2001</v>
      </c>
      <c r="C1106">
        <v>8.4697095511332421</v>
      </c>
      <c r="D1106">
        <v>11.039126825188614</v>
      </c>
      <c r="E1106">
        <v>5.2570577394460631</v>
      </c>
      <c r="F1106">
        <v>17.95077975290145</v>
      </c>
    </row>
    <row r="1107" spans="1:6" x14ac:dyDescent="0.25">
      <c r="A1107">
        <v>36959</v>
      </c>
      <c r="B1107">
        <v>2001</v>
      </c>
      <c r="C1107">
        <v>8.9976318266781306</v>
      </c>
      <c r="D1107">
        <v>11.039126825188614</v>
      </c>
      <c r="E1107">
        <v>5.2570577394460631</v>
      </c>
      <c r="F1107">
        <v>17.95077975290145</v>
      </c>
    </row>
    <row r="1108" spans="1:6" x14ac:dyDescent="0.25">
      <c r="A1108">
        <v>36952</v>
      </c>
      <c r="B1108">
        <v>2001</v>
      </c>
      <c r="C1108">
        <v>8.9746786842631359</v>
      </c>
      <c r="D1108">
        <v>11.039126825188614</v>
      </c>
      <c r="E1108">
        <v>5.2570577394460631</v>
      </c>
      <c r="F1108">
        <v>17.95077975290145</v>
      </c>
    </row>
    <row r="1109" spans="1:6" x14ac:dyDescent="0.25">
      <c r="A1109">
        <v>36945</v>
      </c>
      <c r="B1109">
        <v>2001</v>
      </c>
      <c r="C1109">
        <v>8.8599129721881589</v>
      </c>
      <c r="D1109">
        <v>11.039126825188614</v>
      </c>
      <c r="E1109">
        <v>5.2570577394460631</v>
      </c>
      <c r="F1109">
        <v>17.95077975290145</v>
      </c>
    </row>
    <row r="1110" spans="1:6" x14ac:dyDescent="0.25">
      <c r="A1110">
        <v>36938</v>
      </c>
      <c r="B1110">
        <v>2001</v>
      </c>
      <c r="C1110">
        <v>9.0894443963381129</v>
      </c>
      <c r="D1110">
        <v>11.039126825188614</v>
      </c>
      <c r="E1110">
        <v>5.2570577394460631</v>
      </c>
      <c r="F1110">
        <v>17.95077975290145</v>
      </c>
    </row>
    <row r="1111" spans="1:6" x14ac:dyDescent="0.25">
      <c r="A1111">
        <v>36931</v>
      </c>
      <c r="B1111">
        <v>2001</v>
      </c>
      <c r="C1111">
        <v>10.007570092937922</v>
      </c>
      <c r="D1111">
        <v>11.039126825188614</v>
      </c>
      <c r="E1111">
        <v>5.2570577394460631</v>
      </c>
      <c r="F1111">
        <v>17.95077975290145</v>
      </c>
    </row>
    <row r="1112" spans="1:6" x14ac:dyDescent="0.25">
      <c r="A1112">
        <v>36924</v>
      </c>
      <c r="B1112">
        <v>2001</v>
      </c>
      <c r="C1112">
        <v>9.9501872369004314</v>
      </c>
      <c r="D1112">
        <v>11.039126825188614</v>
      </c>
      <c r="E1112">
        <v>5.2570577394460631</v>
      </c>
      <c r="F1112">
        <v>17.95077975290145</v>
      </c>
    </row>
    <row r="1113" spans="1:6" x14ac:dyDescent="0.25">
      <c r="A1113">
        <v>36917</v>
      </c>
      <c r="B1113">
        <v>2001</v>
      </c>
      <c r="C1113">
        <v>10.386296942785343</v>
      </c>
      <c r="D1113">
        <v>11.039126825188614</v>
      </c>
      <c r="E1113">
        <v>5.2570577394460631</v>
      </c>
      <c r="F1113">
        <v>17.95077975290145</v>
      </c>
    </row>
    <row r="1114" spans="1:6" x14ac:dyDescent="0.25">
      <c r="A1114">
        <v>36910</v>
      </c>
      <c r="B1114">
        <v>2001</v>
      </c>
      <c r="C1114">
        <v>10.237101517087874</v>
      </c>
      <c r="D1114">
        <v>11.039126825188614</v>
      </c>
      <c r="E1114">
        <v>5.2570577394460631</v>
      </c>
      <c r="F1114">
        <v>17.95077975290145</v>
      </c>
    </row>
    <row r="1115" spans="1:6" x14ac:dyDescent="0.25">
      <c r="A1115">
        <v>36903</v>
      </c>
      <c r="B1115">
        <v>2001</v>
      </c>
      <c r="C1115">
        <v>9.5944135294680049</v>
      </c>
      <c r="D1115">
        <v>11.039126825188614</v>
      </c>
      <c r="E1115">
        <v>5.2570577394460631</v>
      </c>
      <c r="F1115">
        <v>17.95077975290145</v>
      </c>
    </row>
    <row r="1116" spans="1:6" x14ac:dyDescent="0.25">
      <c r="A1116">
        <v>36896</v>
      </c>
      <c r="B1116">
        <v>2001</v>
      </c>
      <c r="C1116">
        <v>9.6747495279204898</v>
      </c>
      <c r="D1116">
        <v>11.039126825188614</v>
      </c>
      <c r="E1116">
        <v>5.2570577394460631</v>
      </c>
      <c r="F1116">
        <v>17.95077975290145</v>
      </c>
    </row>
    <row r="1117" spans="1:6" x14ac:dyDescent="0.25">
      <c r="A1117">
        <v>36889</v>
      </c>
      <c r="B1117">
        <v>2000</v>
      </c>
      <c r="C1117">
        <v>8.9292423271523269</v>
      </c>
      <c r="D1117">
        <v>11.039126825188614</v>
      </c>
      <c r="E1117">
        <v>5.2570577394460631</v>
      </c>
      <c r="F1117">
        <v>17.95077975290145</v>
      </c>
    </row>
    <row r="1118" spans="1:6" x14ac:dyDescent="0.25">
      <c r="A1118">
        <v>36882</v>
      </c>
      <c r="B1118">
        <v>2000</v>
      </c>
      <c r="C1118">
        <v>8.8039595904193231</v>
      </c>
      <c r="D1118">
        <v>11.039126825188614</v>
      </c>
      <c r="E1118">
        <v>5.2570577394460631</v>
      </c>
      <c r="F1118">
        <v>17.95077975290145</v>
      </c>
    </row>
    <row r="1119" spans="1:6" x14ac:dyDescent="0.25">
      <c r="A1119">
        <v>36875</v>
      </c>
      <c r="B1119">
        <v>2000</v>
      </c>
      <c r="C1119">
        <v>10.090954976858368</v>
      </c>
      <c r="D1119">
        <v>11.039126825188614</v>
      </c>
      <c r="E1119">
        <v>5.2570577394460631</v>
      </c>
      <c r="F1119">
        <v>17.95077975290145</v>
      </c>
    </row>
    <row r="1120" spans="1:6" x14ac:dyDescent="0.25">
      <c r="A1120">
        <v>36868</v>
      </c>
      <c r="B1120">
        <v>2000</v>
      </c>
      <c r="C1120">
        <v>11.070438191316402</v>
      </c>
      <c r="D1120">
        <v>11.039126825188614</v>
      </c>
      <c r="E1120">
        <v>5.2570577394460631</v>
      </c>
      <c r="F1120">
        <v>17.95077975290145</v>
      </c>
    </row>
    <row r="1121" spans="1:6" x14ac:dyDescent="0.25">
      <c r="A1121">
        <v>36861</v>
      </c>
      <c r="B1121">
        <v>2000</v>
      </c>
      <c r="C1121">
        <v>11.469065080921418</v>
      </c>
      <c r="D1121">
        <v>11.039126825188614</v>
      </c>
      <c r="E1121">
        <v>5.2570577394460631</v>
      </c>
      <c r="F1121">
        <v>17.95077975290145</v>
      </c>
    </row>
    <row r="1122" spans="1:6" x14ac:dyDescent="0.25">
      <c r="A1122">
        <v>36854</v>
      </c>
      <c r="B1122">
        <v>2000</v>
      </c>
      <c r="C1122">
        <v>12.448548295379455</v>
      </c>
      <c r="D1122">
        <v>11.039126825188614</v>
      </c>
      <c r="E1122">
        <v>5.2570577394460631</v>
      </c>
      <c r="F1122">
        <v>17.95077975290145</v>
      </c>
    </row>
    <row r="1123" spans="1:6" x14ac:dyDescent="0.25">
      <c r="A1123">
        <v>36847</v>
      </c>
      <c r="B1123">
        <v>2000</v>
      </c>
      <c r="C1123">
        <v>12.186593482210446</v>
      </c>
      <c r="D1123">
        <v>11.039126825188614</v>
      </c>
      <c r="E1123">
        <v>5.2570577394460631</v>
      </c>
      <c r="F1123">
        <v>17.95077975290145</v>
      </c>
    </row>
    <row r="1124" spans="1:6" x14ac:dyDescent="0.25">
      <c r="A1124">
        <v>36840</v>
      </c>
      <c r="B1124">
        <v>2000</v>
      </c>
      <c r="C1124">
        <v>11.343782344188416</v>
      </c>
      <c r="D1124">
        <v>11.039126825188614</v>
      </c>
      <c r="E1124">
        <v>5.2570577394460631</v>
      </c>
      <c r="F1124">
        <v>17.95077975290145</v>
      </c>
    </row>
    <row r="1125" spans="1:6" x14ac:dyDescent="0.25">
      <c r="A1125">
        <v>36833</v>
      </c>
      <c r="B1125">
        <v>2000</v>
      </c>
      <c r="C1125">
        <v>10.762926019335392</v>
      </c>
      <c r="D1125">
        <v>11.039126825188614</v>
      </c>
      <c r="E1125">
        <v>5.2570577394460631</v>
      </c>
      <c r="F1125">
        <v>17.95077975290145</v>
      </c>
    </row>
    <row r="1126" spans="1:6" x14ac:dyDescent="0.25">
      <c r="A1126">
        <v>36826</v>
      </c>
      <c r="B1126">
        <v>2000</v>
      </c>
      <c r="C1126">
        <v>11.172942248643405</v>
      </c>
      <c r="D1126">
        <v>11.039126825188614</v>
      </c>
      <c r="E1126">
        <v>5.2570577394460631</v>
      </c>
      <c r="F1126">
        <v>17.95077975290145</v>
      </c>
    </row>
    <row r="1127" spans="1:6" x14ac:dyDescent="0.25">
      <c r="A1127">
        <v>36819</v>
      </c>
      <c r="B1127">
        <v>2000</v>
      </c>
      <c r="C1127">
        <v>11.024880832504405</v>
      </c>
      <c r="D1127">
        <v>11.039126825188614</v>
      </c>
      <c r="E1127">
        <v>5.2570577394460631</v>
      </c>
      <c r="F1127">
        <v>17.95077975290145</v>
      </c>
    </row>
    <row r="1128" spans="1:6" x14ac:dyDescent="0.25">
      <c r="A1128">
        <v>36812</v>
      </c>
      <c r="B1128">
        <v>2000</v>
      </c>
      <c r="C1128">
        <v>11.731019894090426</v>
      </c>
      <c r="D1128">
        <v>11.039126825188614</v>
      </c>
      <c r="E1128">
        <v>5.2570577394460631</v>
      </c>
      <c r="F1128">
        <v>17.95077975290145</v>
      </c>
    </row>
    <row r="1129" spans="1:6" x14ac:dyDescent="0.25">
      <c r="A1129">
        <v>36805</v>
      </c>
      <c r="B1129">
        <v>2000</v>
      </c>
      <c r="C1129">
        <v>10.9793234736924</v>
      </c>
      <c r="D1129">
        <v>11.039126825188614</v>
      </c>
      <c r="E1129">
        <v>5.2570577394460631</v>
      </c>
      <c r="F1129">
        <v>17.95077975290145</v>
      </c>
    </row>
    <row r="1130" spans="1:6" x14ac:dyDescent="0.25">
      <c r="A1130">
        <v>36798</v>
      </c>
      <c r="B1130">
        <v>2000</v>
      </c>
      <c r="C1130">
        <v>10.808483378147393</v>
      </c>
      <c r="D1130">
        <v>11.039126825188614</v>
      </c>
      <c r="E1130">
        <v>5.2570577394460631</v>
      </c>
      <c r="F1130">
        <v>17.95077975290145</v>
      </c>
    </row>
    <row r="1131" spans="1:6" x14ac:dyDescent="0.25">
      <c r="A1131">
        <v>36791</v>
      </c>
      <c r="B1131">
        <v>2000</v>
      </c>
      <c r="C1131">
        <v>11.696851874981427</v>
      </c>
      <c r="D1131">
        <v>11.039126825188614</v>
      </c>
      <c r="E1131">
        <v>5.2570577394460631</v>
      </c>
      <c r="F1131">
        <v>17.95077975290145</v>
      </c>
    </row>
    <row r="1132" spans="1:6" x14ac:dyDescent="0.25">
      <c r="A1132">
        <v>36784</v>
      </c>
      <c r="B1132">
        <v>2000</v>
      </c>
      <c r="C1132">
        <v>12.141036123398445</v>
      </c>
      <c r="D1132">
        <v>11.039126825188614</v>
      </c>
      <c r="E1132">
        <v>5.2570577394460631</v>
      </c>
      <c r="F1132">
        <v>17.95077975290145</v>
      </c>
    </row>
    <row r="1133" spans="1:6" x14ac:dyDescent="0.25">
      <c r="A1133">
        <v>36777</v>
      </c>
      <c r="B1133">
        <v>2000</v>
      </c>
      <c r="C1133">
        <v>11.742409233793429</v>
      </c>
      <c r="D1133">
        <v>11.039126825188614</v>
      </c>
      <c r="E1133">
        <v>5.2570577394460631</v>
      </c>
      <c r="F1133">
        <v>17.95077975290145</v>
      </c>
    </row>
    <row r="1134" spans="1:6" x14ac:dyDescent="0.25">
      <c r="A1134">
        <v>36770</v>
      </c>
      <c r="B1134">
        <v>2000</v>
      </c>
      <c r="C1134">
        <v>11.423507722109415</v>
      </c>
      <c r="D1134">
        <v>11.039126825188614</v>
      </c>
      <c r="E1134">
        <v>5.2570577394460631</v>
      </c>
      <c r="F1134">
        <v>17.95077975290145</v>
      </c>
    </row>
    <row r="1135" spans="1:6" x14ac:dyDescent="0.25">
      <c r="A1135">
        <v>36763</v>
      </c>
      <c r="B1135">
        <v>2000</v>
      </c>
      <c r="C1135">
        <v>10.842651397256395</v>
      </c>
      <c r="D1135">
        <v>11.039126825188614</v>
      </c>
      <c r="E1135">
        <v>5.2570577394460631</v>
      </c>
      <c r="F1135">
        <v>17.95077975290145</v>
      </c>
    </row>
    <row r="1136" spans="1:6" x14ac:dyDescent="0.25">
      <c r="A1136">
        <v>36756</v>
      </c>
      <c r="B1136">
        <v>2000</v>
      </c>
      <c r="C1136">
        <v>10.090954976858368</v>
      </c>
      <c r="D1136">
        <v>11.039126825188614</v>
      </c>
      <c r="E1136">
        <v>5.2570577394460631</v>
      </c>
      <c r="F1136">
        <v>17.95077975290145</v>
      </c>
    </row>
    <row r="1137" spans="1:6" x14ac:dyDescent="0.25">
      <c r="A1137">
        <v>36749</v>
      </c>
      <c r="B1137">
        <v>2000</v>
      </c>
      <c r="C1137">
        <v>9.6353813887383524</v>
      </c>
      <c r="D1137">
        <v>11.039126825188614</v>
      </c>
      <c r="E1137">
        <v>5.2570577394460631</v>
      </c>
      <c r="F1137">
        <v>17.95077975290145</v>
      </c>
    </row>
    <row r="1138" spans="1:6" x14ac:dyDescent="0.25">
      <c r="A1138">
        <v>36742</v>
      </c>
      <c r="B1138">
        <v>2000</v>
      </c>
      <c r="C1138">
        <v>9.2025864800243369</v>
      </c>
      <c r="D1138">
        <v>11.039126825188614</v>
      </c>
      <c r="E1138">
        <v>5.2570577394460631</v>
      </c>
      <c r="F1138">
        <v>17.95077975290145</v>
      </c>
    </row>
    <row r="1139" spans="1:6" x14ac:dyDescent="0.25">
      <c r="A1139">
        <v>36735</v>
      </c>
      <c r="B1139">
        <v>2000</v>
      </c>
      <c r="C1139">
        <v>8.9064636477463264</v>
      </c>
      <c r="D1139">
        <v>11.039126825188614</v>
      </c>
      <c r="E1139">
        <v>5.2570577394460631</v>
      </c>
      <c r="F1139">
        <v>17.95077975290145</v>
      </c>
    </row>
    <row r="1140" spans="1:6" x14ac:dyDescent="0.25">
      <c r="A1140">
        <v>36728</v>
      </c>
      <c r="B1140">
        <v>2000</v>
      </c>
      <c r="C1140">
        <v>9.2253651594303374</v>
      </c>
      <c r="D1140">
        <v>11.039126825188614</v>
      </c>
      <c r="E1140">
        <v>5.2570577394460631</v>
      </c>
      <c r="F1140">
        <v>17.95077975290145</v>
      </c>
    </row>
    <row r="1141" spans="1:6" x14ac:dyDescent="0.25">
      <c r="A1141">
        <v>36721</v>
      </c>
      <c r="B1141">
        <v>2000</v>
      </c>
      <c r="C1141">
        <v>9.1456397815093347</v>
      </c>
      <c r="D1141">
        <v>11.039126825188614</v>
      </c>
      <c r="E1141">
        <v>5.2570577394460631</v>
      </c>
      <c r="F1141">
        <v>17.95077975290145</v>
      </c>
    </row>
    <row r="1142" spans="1:6" x14ac:dyDescent="0.25">
      <c r="A1142">
        <v>36714</v>
      </c>
      <c r="B1142">
        <v>2000</v>
      </c>
      <c r="C1142">
        <v>9.0431357241823314</v>
      </c>
      <c r="D1142">
        <v>11.039126825188614</v>
      </c>
      <c r="E1142">
        <v>5.2570577394460631</v>
      </c>
      <c r="F1142">
        <v>17.95077975290145</v>
      </c>
    </row>
    <row r="1143" spans="1:6" x14ac:dyDescent="0.25">
      <c r="A1143">
        <v>36707</v>
      </c>
      <c r="B1143">
        <v>2000</v>
      </c>
      <c r="C1143">
        <v>9.4075945946783435</v>
      </c>
      <c r="D1143">
        <v>11.039126825188614</v>
      </c>
      <c r="E1143">
        <v>5.2570577394460631</v>
      </c>
      <c r="F1143">
        <v>17.95077975290145</v>
      </c>
    </row>
    <row r="1144" spans="1:6" x14ac:dyDescent="0.25">
      <c r="A1144">
        <v>36700</v>
      </c>
      <c r="B1144">
        <v>2000</v>
      </c>
      <c r="C1144">
        <v>8.9520210065583274</v>
      </c>
      <c r="D1144">
        <v>11.039126825188614</v>
      </c>
      <c r="E1144">
        <v>5.2570577394460631</v>
      </c>
      <c r="F1144">
        <v>17.95077975290145</v>
      </c>
    </row>
    <row r="1145" spans="1:6" x14ac:dyDescent="0.25">
      <c r="A1145">
        <v>36693</v>
      </c>
      <c r="B1145">
        <v>2000</v>
      </c>
      <c r="C1145">
        <v>8.8950743080433234</v>
      </c>
      <c r="D1145">
        <v>11.039126825188614</v>
      </c>
      <c r="E1145">
        <v>5.2570577394460631</v>
      </c>
      <c r="F1145">
        <v>17.95077975290145</v>
      </c>
    </row>
    <row r="1146" spans="1:6" x14ac:dyDescent="0.25">
      <c r="A1146">
        <v>36686</v>
      </c>
      <c r="B1146">
        <v>2000</v>
      </c>
      <c r="C1146">
        <v>8.5989514757653147</v>
      </c>
      <c r="D1146">
        <v>11.039126825188614</v>
      </c>
      <c r="E1146">
        <v>5.2570577394460631</v>
      </c>
      <c r="F1146">
        <v>17.95077975290145</v>
      </c>
    </row>
    <row r="1147" spans="1:6" x14ac:dyDescent="0.25">
      <c r="A1147">
        <v>36679</v>
      </c>
      <c r="B1147">
        <v>2000</v>
      </c>
      <c r="C1147">
        <v>8.7128448727953192</v>
      </c>
      <c r="D1147">
        <v>11.039126825188614</v>
      </c>
      <c r="E1147">
        <v>5.2570577394460631</v>
      </c>
      <c r="F1147">
        <v>17.95077975290145</v>
      </c>
    </row>
    <row r="1148" spans="1:6" x14ac:dyDescent="0.25">
      <c r="A1148">
        <v>36672</v>
      </c>
      <c r="B1148">
        <v>2000</v>
      </c>
      <c r="C1148">
        <v>8.9178529874493275</v>
      </c>
      <c r="D1148">
        <v>11.039126825188614</v>
      </c>
      <c r="E1148">
        <v>5.2570577394460631</v>
      </c>
      <c r="F1148">
        <v>17.95077975290145</v>
      </c>
    </row>
    <row r="1149" spans="1:6" x14ac:dyDescent="0.25">
      <c r="A1149">
        <v>36665</v>
      </c>
      <c r="B1149">
        <v>2000</v>
      </c>
      <c r="C1149">
        <v>9.111471762400333</v>
      </c>
      <c r="D1149">
        <v>11.039126825188614</v>
      </c>
      <c r="E1149">
        <v>5.2570577394460631</v>
      </c>
      <c r="F1149">
        <v>17.95077975290145</v>
      </c>
    </row>
    <row r="1150" spans="1:6" x14ac:dyDescent="0.25">
      <c r="A1150">
        <v>36658</v>
      </c>
      <c r="B1150">
        <v>2000</v>
      </c>
      <c r="C1150">
        <v>8.5533941169533119</v>
      </c>
      <c r="D1150">
        <v>11.039126825188614</v>
      </c>
      <c r="E1150">
        <v>5.2570577394460631</v>
      </c>
      <c r="F1150">
        <v>17.95077975290145</v>
      </c>
    </row>
    <row r="1151" spans="1:6" x14ac:dyDescent="0.25">
      <c r="A1151">
        <v>36651</v>
      </c>
      <c r="B1151">
        <v>2000</v>
      </c>
      <c r="C1151">
        <v>8.0978205288332958</v>
      </c>
      <c r="D1151">
        <v>11.039126825188614</v>
      </c>
      <c r="E1151">
        <v>5.2570577394460631</v>
      </c>
      <c r="F1151">
        <v>17.95077975290145</v>
      </c>
    </row>
    <row r="1152" spans="1:6" x14ac:dyDescent="0.25">
      <c r="A1152">
        <v>36644</v>
      </c>
      <c r="B1152">
        <v>2000</v>
      </c>
      <c r="C1152">
        <v>8.3369966625963041</v>
      </c>
      <c r="D1152">
        <v>11.039126825188614</v>
      </c>
      <c r="E1152">
        <v>5.2570577394460631</v>
      </c>
      <c r="F1152">
        <v>17.95077975290145</v>
      </c>
    </row>
    <row r="1153" spans="1:6" x14ac:dyDescent="0.25">
      <c r="A1153">
        <v>36637</v>
      </c>
      <c r="B1153">
        <v>2000</v>
      </c>
      <c r="C1153">
        <v>8.6672875139833181</v>
      </c>
      <c r="D1153">
        <v>11.039126825188614</v>
      </c>
      <c r="E1153">
        <v>5.2570577394460631</v>
      </c>
      <c r="F1153">
        <v>17.95077975290145</v>
      </c>
    </row>
    <row r="1154" spans="1:6" x14ac:dyDescent="0.25">
      <c r="A1154">
        <v>36630</v>
      </c>
      <c r="B1154">
        <v>2000</v>
      </c>
      <c r="C1154">
        <v>7.8814230744762881</v>
      </c>
      <c r="D1154">
        <v>11.039126825188614</v>
      </c>
      <c r="E1154">
        <v>5.2570577394460631</v>
      </c>
      <c r="F1154">
        <v>17.95077975290145</v>
      </c>
    </row>
    <row r="1155" spans="1:6" x14ac:dyDescent="0.25">
      <c r="A1155">
        <v>36623</v>
      </c>
      <c r="B1155">
        <v>2000</v>
      </c>
      <c r="C1155">
        <v>7.9725377921002902</v>
      </c>
      <c r="D1155">
        <v>11.039126825188614</v>
      </c>
      <c r="E1155">
        <v>5.2570577394460631</v>
      </c>
      <c r="F1155">
        <v>17.95077975290145</v>
      </c>
    </row>
    <row r="1156" spans="1:6" x14ac:dyDescent="0.25">
      <c r="A1156">
        <v>36616</v>
      </c>
      <c r="B1156">
        <v>2000</v>
      </c>
      <c r="C1156">
        <v>8.5875621360623136</v>
      </c>
      <c r="D1156">
        <v>11.039126825188614</v>
      </c>
      <c r="E1156">
        <v>5.2570577394460631</v>
      </c>
      <c r="F1156">
        <v>17.95077975290145</v>
      </c>
    </row>
    <row r="1157" spans="1:6" x14ac:dyDescent="0.25">
      <c r="A1157">
        <v>36609</v>
      </c>
      <c r="B1157">
        <v>2000</v>
      </c>
      <c r="C1157">
        <v>7.9269804332882883</v>
      </c>
      <c r="D1157">
        <v>11.039126825188614</v>
      </c>
      <c r="E1157">
        <v>5.2570577394460631</v>
      </c>
      <c r="F1157">
        <v>17.95077975290145</v>
      </c>
    </row>
    <row r="1158" spans="1:6" x14ac:dyDescent="0.25">
      <c r="A1158">
        <v>36602</v>
      </c>
      <c r="B1158">
        <v>2000</v>
      </c>
      <c r="C1158">
        <v>8.5989514757653147</v>
      </c>
      <c r="D1158">
        <v>11.039126825188614</v>
      </c>
      <c r="E1158">
        <v>5.2570577394460631</v>
      </c>
      <c r="F1158">
        <v>17.95077975290145</v>
      </c>
    </row>
    <row r="1159" spans="1:6" x14ac:dyDescent="0.25">
      <c r="A1159">
        <v>36595</v>
      </c>
      <c r="B1159">
        <v>2000</v>
      </c>
      <c r="C1159">
        <v>9.5214879917083479</v>
      </c>
      <c r="D1159">
        <v>11.039126825188614</v>
      </c>
      <c r="E1159">
        <v>5.2570577394460631</v>
      </c>
      <c r="F1159">
        <v>17.95077975290145</v>
      </c>
    </row>
    <row r="1160" spans="1:6" x14ac:dyDescent="0.25">
      <c r="A1160">
        <v>36588</v>
      </c>
      <c r="B1160">
        <v>2000</v>
      </c>
      <c r="C1160">
        <v>9.4189839343813428</v>
      </c>
      <c r="D1160">
        <v>11.039126825188614</v>
      </c>
      <c r="E1160">
        <v>5.2570577394460631</v>
      </c>
      <c r="F1160">
        <v>17.95077975290145</v>
      </c>
    </row>
    <row r="1161" spans="1:6" x14ac:dyDescent="0.25">
      <c r="A1161">
        <v>36581</v>
      </c>
      <c r="B1161">
        <v>2000</v>
      </c>
      <c r="C1161">
        <v>8.8039595904193231</v>
      </c>
      <c r="D1161">
        <v>11.039126825188614</v>
      </c>
      <c r="E1161">
        <v>5.2570577394460631</v>
      </c>
      <c r="F1161">
        <v>17.95077975290145</v>
      </c>
    </row>
    <row r="1162" spans="1:6" x14ac:dyDescent="0.25">
      <c r="A1162">
        <v>36574</v>
      </c>
      <c r="B1162">
        <v>2000</v>
      </c>
      <c r="C1162">
        <v>8.7470128919043191</v>
      </c>
      <c r="D1162">
        <v>11.039126825188614</v>
      </c>
      <c r="E1162">
        <v>5.2570577394460631</v>
      </c>
      <c r="F1162">
        <v>17.95077975290145</v>
      </c>
    </row>
    <row r="1163" spans="1:6" x14ac:dyDescent="0.25">
      <c r="A1163">
        <v>36567</v>
      </c>
      <c r="B1163">
        <v>2000</v>
      </c>
      <c r="C1163">
        <v>8.6445088345773158</v>
      </c>
      <c r="D1163">
        <v>11.039126825188614</v>
      </c>
      <c r="E1163">
        <v>5.2570577394460631</v>
      </c>
      <c r="F1163">
        <v>17.95077975290145</v>
      </c>
    </row>
    <row r="1164" spans="1:6" x14ac:dyDescent="0.25">
      <c r="A1164">
        <v>36560</v>
      </c>
      <c r="B1164">
        <v>2000</v>
      </c>
      <c r="C1164">
        <v>9.1798078006183363</v>
      </c>
      <c r="D1164">
        <v>11.039126825188614</v>
      </c>
      <c r="E1164">
        <v>5.2570577394460631</v>
      </c>
      <c r="F1164">
        <v>17.95077975290145</v>
      </c>
    </row>
    <row r="1165" spans="1:6" x14ac:dyDescent="0.25">
      <c r="A1165">
        <v>36553</v>
      </c>
      <c r="B1165">
        <v>2000</v>
      </c>
      <c r="C1165">
        <v>9.0431357241823314</v>
      </c>
      <c r="D1165">
        <v>11.039126825188614</v>
      </c>
      <c r="E1165">
        <v>5.2570577394460631</v>
      </c>
      <c r="F1165">
        <v>17.95077975290145</v>
      </c>
    </row>
    <row r="1166" spans="1:6" x14ac:dyDescent="0.25">
      <c r="A1166">
        <v>36546</v>
      </c>
      <c r="B1166">
        <v>2000</v>
      </c>
      <c r="C1166">
        <v>9.88594686220436</v>
      </c>
      <c r="D1166">
        <v>11.039126825188614</v>
      </c>
      <c r="E1166">
        <v>5.2570577394460631</v>
      </c>
      <c r="F1166">
        <v>17.95077975290145</v>
      </c>
    </row>
    <row r="1167" spans="1:6" x14ac:dyDescent="0.25">
      <c r="A1167">
        <v>36539</v>
      </c>
      <c r="B1167">
        <v>2000</v>
      </c>
      <c r="C1167">
        <v>8.428111380220308</v>
      </c>
      <c r="D1167">
        <v>11.039126825188614</v>
      </c>
      <c r="E1167">
        <v>5.2570577394460631</v>
      </c>
      <c r="F1167">
        <v>17.95077975290145</v>
      </c>
    </row>
    <row r="1168" spans="1:6" x14ac:dyDescent="0.25">
      <c r="A1168">
        <v>36532</v>
      </c>
      <c r="B1168">
        <v>2000</v>
      </c>
      <c r="C1168">
        <v>8.3256073228933047</v>
      </c>
      <c r="D1168">
        <v>11.039126825188614</v>
      </c>
      <c r="E1168">
        <v>5.2570577394460631</v>
      </c>
      <c r="F1168">
        <v>17.95077975290145</v>
      </c>
    </row>
    <row r="1169" spans="1:6" x14ac:dyDescent="0.25">
      <c r="A1169">
        <v>36525</v>
      </c>
      <c r="B1169">
        <v>1999</v>
      </c>
      <c r="C1169">
        <v>7.3066753119399124</v>
      </c>
      <c r="D1169">
        <v>11.039126825188614</v>
      </c>
      <c r="E1169">
        <v>5.2570577394460631</v>
      </c>
      <c r="F1169">
        <v>17.95077975290145</v>
      </c>
    </row>
    <row r="1170" spans="1:6" x14ac:dyDescent="0.25">
      <c r="A1170">
        <v>36518</v>
      </c>
      <c r="B1170">
        <v>1999</v>
      </c>
      <c r="C1170">
        <v>7.2865189662518013</v>
      </c>
      <c r="D1170">
        <v>11.039126825188614</v>
      </c>
      <c r="E1170">
        <v>5.2570577394460631</v>
      </c>
      <c r="F1170">
        <v>17.95077975290145</v>
      </c>
    </row>
    <row r="1171" spans="1:6" x14ac:dyDescent="0.25">
      <c r="A1171">
        <v>36511</v>
      </c>
      <c r="B1171">
        <v>1999</v>
      </c>
      <c r="C1171">
        <v>7.0043301266182603</v>
      </c>
      <c r="D1171">
        <v>11.039126825188614</v>
      </c>
      <c r="E1171">
        <v>5.2570577394460631</v>
      </c>
      <c r="F1171">
        <v>17.95077975290145</v>
      </c>
    </row>
    <row r="1172" spans="1:6" x14ac:dyDescent="0.25">
      <c r="A1172">
        <v>36504</v>
      </c>
      <c r="B1172">
        <v>1999</v>
      </c>
      <c r="C1172">
        <v>6.8733138796455453</v>
      </c>
      <c r="D1172">
        <v>11.039126825188614</v>
      </c>
      <c r="E1172">
        <v>5.2570577394460631</v>
      </c>
      <c r="F1172">
        <v>17.95077975290145</v>
      </c>
    </row>
    <row r="1173" spans="1:6" x14ac:dyDescent="0.25">
      <c r="A1173">
        <v>36497</v>
      </c>
      <c r="B1173">
        <v>1999</v>
      </c>
      <c r="C1173">
        <v>6.8733138796455453</v>
      </c>
      <c r="D1173">
        <v>11.039126825188614</v>
      </c>
      <c r="E1173">
        <v>5.2570577394460631</v>
      </c>
      <c r="F1173">
        <v>17.95077975290145</v>
      </c>
    </row>
    <row r="1174" spans="1:6" x14ac:dyDescent="0.25">
      <c r="A1174">
        <v>36490</v>
      </c>
      <c r="B1174">
        <v>1999</v>
      </c>
      <c r="C1174">
        <v>7.1655808921231419</v>
      </c>
      <c r="D1174">
        <v>11.039126825188614</v>
      </c>
      <c r="E1174">
        <v>5.2570577394460631</v>
      </c>
      <c r="F1174">
        <v>17.95077975290145</v>
      </c>
    </row>
    <row r="1175" spans="1:6" x14ac:dyDescent="0.25">
      <c r="A1175">
        <v>36483</v>
      </c>
      <c r="B1175">
        <v>1999</v>
      </c>
      <c r="C1175">
        <v>6.9136265710217657</v>
      </c>
      <c r="D1175">
        <v>11.039126825188614</v>
      </c>
      <c r="E1175">
        <v>5.2570577394460631</v>
      </c>
      <c r="F1175">
        <v>17.95077975290145</v>
      </c>
    </row>
    <row r="1176" spans="1:6" x14ac:dyDescent="0.25">
      <c r="A1176">
        <v>36476</v>
      </c>
      <c r="B1176">
        <v>1999</v>
      </c>
      <c r="C1176">
        <v>6.5306560029476746</v>
      </c>
      <c r="D1176">
        <v>11.039126825188614</v>
      </c>
      <c r="E1176">
        <v>5.2570577394460631</v>
      </c>
      <c r="F1176">
        <v>17.95077975290145</v>
      </c>
    </row>
    <row r="1177" spans="1:6" x14ac:dyDescent="0.25">
      <c r="A1177">
        <v>36469</v>
      </c>
      <c r="B1177">
        <v>1999</v>
      </c>
      <c r="C1177">
        <v>6.1577636077176354</v>
      </c>
      <c r="D1177">
        <v>11.039126825188614</v>
      </c>
      <c r="E1177">
        <v>5.2570577394460631</v>
      </c>
      <c r="F1177">
        <v>17.95077975290145</v>
      </c>
    </row>
    <row r="1178" spans="1:6" x14ac:dyDescent="0.25">
      <c r="A1178">
        <v>36462</v>
      </c>
      <c r="B1178">
        <v>1999</v>
      </c>
      <c r="C1178">
        <v>6.0771382249651955</v>
      </c>
      <c r="D1178">
        <v>11.039126825188614</v>
      </c>
      <c r="E1178">
        <v>5.2570577394460631</v>
      </c>
      <c r="F1178">
        <v>17.95077975290145</v>
      </c>
    </row>
    <row r="1179" spans="1:6" x14ac:dyDescent="0.25">
      <c r="A1179">
        <v>36455</v>
      </c>
      <c r="B1179">
        <v>1999</v>
      </c>
      <c r="C1179">
        <v>6.06706005212114</v>
      </c>
      <c r="D1179">
        <v>11.039126825188614</v>
      </c>
      <c r="E1179">
        <v>5.2570577394460631</v>
      </c>
      <c r="F1179">
        <v>17.95077975290145</v>
      </c>
    </row>
    <row r="1180" spans="1:6" x14ac:dyDescent="0.25">
      <c r="A1180">
        <v>36448</v>
      </c>
      <c r="B1180">
        <v>1999</v>
      </c>
      <c r="C1180">
        <v>5.9360438051484259</v>
      </c>
      <c r="D1180">
        <v>11.039126825188614</v>
      </c>
      <c r="E1180">
        <v>5.2570577394460631</v>
      </c>
      <c r="F1180">
        <v>17.95077975290145</v>
      </c>
    </row>
    <row r="1181" spans="1:6" x14ac:dyDescent="0.25">
      <c r="A1181">
        <v>36441</v>
      </c>
      <c r="B1181">
        <v>1999</v>
      </c>
      <c r="C1181">
        <v>5.8554184223959851</v>
      </c>
      <c r="D1181">
        <v>11.039126825188614</v>
      </c>
      <c r="E1181">
        <v>5.2570577394460631</v>
      </c>
      <c r="F1181">
        <v>17.95077975290145</v>
      </c>
    </row>
    <row r="1182" spans="1:6" x14ac:dyDescent="0.25">
      <c r="A1182">
        <v>36434</v>
      </c>
      <c r="B1182">
        <v>1999</v>
      </c>
      <c r="C1182">
        <v>6.3290925460665717</v>
      </c>
      <c r="D1182">
        <v>11.039126825188614</v>
      </c>
      <c r="E1182">
        <v>5.2570577394460631</v>
      </c>
      <c r="F1182">
        <v>17.95077975290145</v>
      </c>
    </row>
    <row r="1183" spans="1:6" x14ac:dyDescent="0.25">
      <c r="A1183">
        <v>36427</v>
      </c>
      <c r="B1183">
        <v>1999</v>
      </c>
      <c r="C1183">
        <v>6.2182326447819669</v>
      </c>
      <c r="D1183">
        <v>11.039126825188614</v>
      </c>
      <c r="E1183">
        <v>5.2570577394460631</v>
      </c>
      <c r="F1183">
        <v>17.95077975290145</v>
      </c>
    </row>
    <row r="1184" spans="1:6" x14ac:dyDescent="0.25">
      <c r="A1184">
        <v>36420</v>
      </c>
      <c r="B1184">
        <v>1999</v>
      </c>
      <c r="C1184">
        <v>6.2383889904700771</v>
      </c>
      <c r="D1184">
        <v>11.039126825188614</v>
      </c>
      <c r="E1184">
        <v>5.2570577394460631</v>
      </c>
      <c r="F1184">
        <v>17.95077975290145</v>
      </c>
    </row>
    <row r="1185" spans="1:6" x14ac:dyDescent="0.25">
      <c r="A1185">
        <v>36413</v>
      </c>
      <c r="B1185">
        <v>1999</v>
      </c>
      <c r="C1185">
        <v>6.1678417805616919</v>
      </c>
      <c r="D1185">
        <v>11.039126825188614</v>
      </c>
      <c r="E1185">
        <v>5.2570577394460631</v>
      </c>
      <c r="F1185">
        <v>17.95077975290145</v>
      </c>
    </row>
    <row r="1186" spans="1:6" x14ac:dyDescent="0.25">
      <c r="A1186">
        <v>36406</v>
      </c>
      <c r="B1186">
        <v>1999</v>
      </c>
      <c r="C1186">
        <v>5.8856529409281499</v>
      </c>
      <c r="D1186">
        <v>11.039126825188614</v>
      </c>
      <c r="E1186">
        <v>5.2570577394460631</v>
      </c>
      <c r="F1186">
        <v>17.95077975290145</v>
      </c>
    </row>
    <row r="1187" spans="1:6" x14ac:dyDescent="0.25">
      <c r="A1187">
        <v>36399</v>
      </c>
      <c r="B1187">
        <v>1999</v>
      </c>
      <c r="C1187">
        <v>5.7747930396435434</v>
      </c>
      <c r="D1187">
        <v>11.039126825188614</v>
      </c>
      <c r="E1187">
        <v>5.2570577394460631</v>
      </c>
      <c r="F1187">
        <v>17.95077975290145</v>
      </c>
    </row>
    <row r="1188" spans="1:6" x14ac:dyDescent="0.25">
      <c r="A1188">
        <v>36392</v>
      </c>
      <c r="B1188">
        <v>1999</v>
      </c>
      <c r="C1188">
        <v>5.7949493853316536</v>
      </c>
      <c r="D1188">
        <v>11.039126825188614</v>
      </c>
      <c r="E1188">
        <v>5.2570577394460631</v>
      </c>
      <c r="F1188">
        <v>17.95077975290145</v>
      </c>
    </row>
    <row r="1189" spans="1:6" x14ac:dyDescent="0.25">
      <c r="A1189">
        <v>36385</v>
      </c>
      <c r="B1189">
        <v>1999</v>
      </c>
      <c r="C1189">
        <v>5.653854965514884</v>
      </c>
      <c r="D1189">
        <v>11.039126825188614</v>
      </c>
      <c r="E1189">
        <v>5.2570577394460631</v>
      </c>
      <c r="F1189">
        <v>17.95077975290145</v>
      </c>
    </row>
    <row r="1190" spans="1:6" x14ac:dyDescent="0.25">
      <c r="A1190">
        <v>36378</v>
      </c>
      <c r="B1190">
        <v>1999</v>
      </c>
      <c r="C1190">
        <v>5.4220569901016171</v>
      </c>
      <c r="D1190">
        <v>11.039126825188614</v>
      </c>
      <c r="E1190">
        <v>5.2570577394460631</v>
      </c>
      <c r="F1190">
        <v>17.95077975290145</v>
      </c>
    </row>
    <row r="1191" spans="1:6" x14ac:dyDescent="0.25">
      <c r="A1191">
        <v>36371</v>
      </c>
      <c r="B1191">
        <v>1999</v>
      </c>
      <c r="C1191">
        <v>5.3111970888170115</v>
      </c>
      <c r="D1191">
        <v>11.039126825188614</v>
      </c>
      <c r="E1191">
        <v>5.2570577394460631</v>
      </c>
      <c r="F1191">
        <v>17.95077975290145</v>
      </c>
    </row>
    <row r="1192" spans="1:6" x14ac:dyDescent="0.25">
      <c r="A1192">
        <v>36364</v>
      </c>
      <c r="B1192">
        <v>1999</v>
      </c>
      <c r="C1192">
        <v>5.1096336319359112</v>
      </c>
      <c r="D1192">
        <v>11.039126825188614</v>
      </c>
      <c r="E1192">
        <v>5.2570577394460631</v>
      </c>
      <c r="F1192">
        <v>17.95077975290145</v>
      </c>
    </row>
    <row r="1193" spans="1:6" x14ac:dyDescent="0.25">
      <c r="A1193">
        <v>36357</v>
      </c>
      <c r="B1193">
        <v>1999</v>
      </c>
      <c r="C1193">
        <v>5.2003371875324067</v>
      </c>
      <c r="D1193">
        <v>11.039126825188614</v>
      </c>
      <c r="E1193">
        <v>5.2570577394460631</v>
      </c>
      <c r="F1193">
        <v>17.95077975290145</v>
      </c>
    </row>
    <row r="1194" spans="1:6" x14ac:dyDescent="0.25">
      <c r="A1194">
        <v>36350</v>
      </c>
      <c r="B1194">
        <v>1999</v>
      </c>
      <c r="C1194">
        <v>5.1096336319359112</v>
      </c>
      <c r="D1194">
        <v>11.039126825188614</v>
      </c>
      <c r="E1194">
        <v>5.2570577394460631</v>
      </c>
      <c r="F1194">
        <v>17.95077975290145</v>
      </c>
    </row>
    <row r="1195" spans="1:6" x14ac:dyDescent="0.25">
      <c r="A1195">
        <v>36343</v>
      </c>
      <c r="B1195">
        <v>1999</v>
      </c>
      <c r="C1195">
        <v>4.837522965146424</v>
      </c>
      <c r="D1195">
        <v>11.039126825188614</v>
      </c>
      <c r="E1195">
        <v>5.2570577394460631</v>
      </c>
      <c r="F1195">
        <v>17.95077975290145</v>
      </c>
    </row>
    <row r="1196" spans="1:6" x14ac:dyDescent="0.25">
      <c r="A1196">
        <v>36336</v>
      </c>
      <c r="B1196">
        <v>1999</v>
      </c>
      <c r="C1196">
        <v>4.5150214341366635</v>
      </c>
      <c r="D1196">
        <v>11.039126825188614</v>
      </c>
      <c r="E1196">
        <v>5.2570577394460631</v>
      </c>
      <c r="F1196">
        <v>17.95077975290145</v>
      </c>
    </row>
    <row r="1197" spans="1:6" x14ac:dyDescent="0.25">
      <c r="A1197">
        <v>36329</v>
      </c>
      <c r="B1197">
        <v>1999</v>
      </c>
      <c r="C1197">
        <v>4.525099606980719</v>
      </c>
      <c r="D1197">
        <v>11.039126825188614</v>
      </c>
      <c r="E1197">
        <v>5.2570577394460631</v>
      </c>
      <c r="F1197">
        <v>17.95077975290145</v>
      </c>
    </row>
    <row r="1198" spans="1:6" x14ac:dyDescent="0.25">
      <c r="A1198">
        <v>36322</v>
      </c>
      <c r="B1198">
        <v>1999</v>
      </c>
      <c r="C1198">
        <v>4.3840051871639476</v>
      </c>
      <c r="D1198">
        <v>11.039126825188614</v>
      </c>
      <c r="E1198">
        <v>5.2570577394460631</v>
      </c>
      <c r="F1198">
        <v>17.95077975290145</v>
      </c>
    </row>
    <row r="1199" spans="1:6" x14ac:dyDescent="0.25">
      <c r="A1199">
        <v>36315</v>
      </c>
      <c r="B1199">
        <v>1999</v>
      </c>
      <c r="C1199">
        <v>4.0312691376220204</v>
      </c>
      <c r="D1199">
        <v>11.039126825188614</v>
      </c>
      <c r="E1199">
        <v>5.2570577394460631</v>
      </c>
      <c r="F1199">
        <v>17.95077975290145</v>
      </c>
    </row>
    <row r="1200" spans="1:6" x14ac:dyDescent="0.25">
      <c r="A1200">
        <v>36308</v>
      </c>
      <c r="B1200">
        <v>1999</v>
      </c>
      <c r="C1200">
        <v>4.0010346190898556</v>
      </c>
      <c r="D1200">
        <v>11.039126825188614</v>
      </c>
      <c r="E1200">
        <v>5.2570577394460631</v>
      </c>
      <c r="F1200">
        <v>17.95077975290145</v>
      </c>
    </row>
    <row r="1201" spans="1:6" x14ac:dyDescent="0.25">
      <c r="A1201">
        <v>36301</v>
      </c>
      <c r="B1201">
        <v>1999</v>
      </c>
      <c r="C1201">
        <v>4.0615036561541862</v>
      </c>
      <c r="D1201">
        <v>11.039126825188614</v>
      </c>
      <c r="E1201">
        <v>5.2570577394460631</v>
      </c>
      <c r="F1201">
        <v>17.95077975290145</v>
      </c>
    </row>
    <row r="1202" spans="1:6" x14ac:dyDescent="0.25">
      <c r="A1202">
        <v>36294</v>
      </c>
      <c r="B1202">
        <v>1999</v>
      </c>
      <c r="C1202">
        <v>4.2630671130352873</v>
      </c>
      <c r="D1202">
        <v>11.039126825188614</v>
      </c>
      <c r="E1202">
        <v>5.2570577394460631</v>
      </c>
      <c r="F1202">
        <v>17.95077975290145</v>
      </c>
    </row>
    <row r="1203" spans="1:6" x14ac:dyDescent="0.25">
      <c r="A1203">
        <v>36287</v>
      </c>
      <c r="B1203">
        <v>1999</v>
      </c>
      <c r="C1203">
        <v>4.424317878540168</v>
      </c>
      <c r="D1203">
        <v>11.039126825188614</v>
      </c>
      <c r="E1203">
        <v>5.2570577394460631</v>
      </c>
      <c r="F1203">
        <v>17.95077975290145</v>
      </c>
    </row>
    <row r="1204" spans="1:6" x14ac:dyDescent="0.25">
      <c r="A1204">
        <v>36280</v>
      </c>
      <c r="B1204">
        <v>1999</v>
      </c>
      <c r="C1204">
        <v>4.3537706686317827</v>
      </c>
      <c r="D1204">
        <v>11.039126825188614</v>
      </c>
      <c r="E1204">
        <v>5.2570577394460631</v>
      </c>
      <c r="F1204">
        <v>17.95077975290145</v>
      </c>
    </row>
    <row r="1205" spans="1:6" x14ac:dyDescent="0.25">
      <c r="A1205">
        <v>36273</v>
      </c>
      <c r="B1205">
        <v>1999</v>
      </c>
      <c r="C1205">
        <v>4.3436924957877272</v>
      </c>
      <c r="D1205">
        <v>11.039126825188614</v>
      </c>
      <c r="E1205">
        <v>5.2570577394460631</v>
      </c>
      <c r="F1205">
        <v>17.95077975290145</v>
      </c>
    </row>
    <row r="1206" spans="1:6" x14ac:dyDescent="0.25">
      <c r="A1206">
        <v>36266</v>
      </c>
      <c r="B1206">
        <v>1999</v>
      </c>
      <c r="C1206">
        <v>4.2933016315674521</v>
      </c>
      <c r="D1206">
        <v>11.039126825188614</v>
      </c>
      <c r="E1206">
        <v>5.2570577394460631</v>
      </c>
      <c r="F1206">
        <v>17.95077975290145</v>
      </c>
    </row>
    <row r="1207" spans="1:6" x14ac:dyDescent="0.25">
      <c r="A1207">
        <v>36259</v>
      </c>
      <c r="B1207">
        <v>1999</v>
      </c>
      <c r="C1207">
        <v>4.323536150099617</v>
      </c>
      <c r="D1207">
        <v>11.039126825188614</v>
      </c>
      <c r="E1207">
        <v>5.2570577394460631</v>
      </c>
      <c r="F1207">
        <v>17.95077975290145</v>
      </c>
    </row>
    <row r="1208" spans="1:6" x14ac:dyDescent="0.25">
      <c r="A1208">
        <v>36252</v>
      </c>
      <c r="B1208">
        <v>1999</v>
      </c>
      <c r="C1208">
        <v>4.3840051871639476</v>
      </c>
      <c r="D1208">
        <v>11.039126825188614</v>
      </c>
      <c r="E1208">
        <v>5.2570577394460631</v>
      </c>
      <c r="F1208">
        <v>17.95077975290145</v>
      </c>
    </row>
    <row r="1209" spans="1:6" x14ac:dyDescent="0.25">
      <c r="A1209">
        <v>36245</v>
      </c>
      <c r="B1209">
        <v>1999</v>
      </c>
      <c r="C1209">
        <v>4.0615036561541862</v>
      </c>
      <c r="D1209">
        <v>11.039126825188614</v>
      </c>
      <c r="E1209">
        <v>5.2570577394460631</v>
      </c>
      <c r="F1209">
        <v>17.95077975290145</v>
      </c>
    </row>
    <row r="1210" spans="1:6" x14ac:dyDescent="0.25">
      <c r="A1210">
        <v>36238</v>
      </c>
      <c r="B1210">
        <v>1999</v>
      </c>
      <c r="C1210">
        <v>3.84986202642903</v>
      </c>
      <c r="D1210">
        <v>11.039126825188614</v>
      </c>
      <c r="E1210">
        <v>5.2570577394460631</v>
      </c>
      <c r="F1210">
        <v>17.95077975290145</v>
      </c>
    </row>
    <row r="1211" spans="1:6" x14ac:dyDescent="0.25">
      <c r="A1211">
        <v>36231</v>
      </c>
      <c r="B1211">
        <v>1999</v>
      </c>
      <c r="C1211">
        <v>3.6684549152360382</v>
      </c>
      <c r="D1211">
        <v>11.039126825188614</v>
      </c>
      <c r="E1211">
        <v>5.2570577394460631</v>
      </c>
      <c r="F1211">
        <v>17.95077975290145</v>
      </c>
    </row>
    <row r="1212" spans="1:6" x14ac:dyDescent="0.25">
      <c r="A1212">
        <v>36224</v>
      </c>
      <c r="B1212">
        <v>1999</v>
      </c>
      <c r="C1212">
        <v>3.2955625200060021</v>
      </c>
      <c r="D1212">
        <v>11.039126825188614</v>
      </c>
      <c r="E1212">
        <v>5.2570577394460631</v>
      </c>
      <c r="F1212">
        <v>17.95077975290145</v>
      </c>
    </row>
    <row r="1213" spans="1:6" x14ac:dyDescent="0.25">
      <c r="A1213">
        <v>36217</v>
      </c>
      <c r="B1213">
        <v>1999</v>
      </c>
      <c r="C1213">
        <v>3.184702618721396</v>
      </c>
      <c r="D1213">
        <v>11.039126825188614</v>
      </c>
      <c r="E1213">
        <v>5.2570577394460631</v>
      </c>
      <c r="F1213">
        <v>17.95077975290145</v>
      </c>
    </row>
    <row r="1214" spans="1:6" x14ac:dyDescent="0.25">
      <c r="A1214">
        <v>36210</v>
      </c>
      <c r="B1214">
        <v>1999</v>
      </c>
      <c r="C1214">
        <v>2.9730609889962398</v>
      </c>
      <c r="D1214">
        <v>11.039126825188614</v>
      </c>
      <c r="E1214">
        <v>5.2570577394460631</v>
      </c>
      <c r="F1214">
        <v>17.95077975290145</v>
      </c>
    </row>
    <row r="1215" spans="1:6" x14ac:dyDescent="0.25">
      <c r="A1215">
        <v>36203</v>
      </c>
      <c r="B1215">
        <v>1999</v>
      </c>
      <c r="C1215">
        <v>3.0234518532165153</v>
      </c>
      <c r="D1215">
        <v>11.039126825188614</v>
      </c>
      <c r="E1215">
        <v>5.2570577394460631</v>
      </c>
      <c r="F1215">
        <v>17.95077975290145</v>
      </c>
    </row>
    <row r="1216" spans="1:6" x14ac:dyDescent="0.25">
      <c r="A1216">
        <v>36196</v>
      </c>
      <c r="B1216">
        <v>1999</v>
      </c>
      <c r="C1216">
        <v>3.235093482941672</v>
      </c>
      <c r="D1216">
        <v>11.039126825188614</v>
      </c>
      <c r="E1216">
        <v>5.2570577394460631</v>
      </c>
      <c r="F1216">
        <v>17.95077975290145</v>
      </c>
    </row>
    <row r="1217" spans="1:6" x14ac:dyDescent="0.25">
      <c r="A1217">
        <v>36189</v>
      </c>
      <c r="B1217">
        <v>1999</v>
      </c>
      <c r="C1217">
        <v>3.2754061743178919</v>
      </c>
      <c r="D1217">
        <v>11.039126825188614</v>
      </c>
      <c r="E1217">
        <v>5.2570577394460631</v>
      </c>
      <c r="F1217">
        <v>17.95077975290145</v>
      </c>
    </row>
    <row r="1218" spans="1:6" x14ac:dyDescent="0.25">
      <c r="A1218">
        <v>36182</v>
      </c>
      <c r="B1218">
        <v>1999</v>
      </c>
      <c r="C1218">
        <v>3.2451716557857271</v>
      </c>
      <c r="D1218">
        <v>11.039126825188614</v>
      </c>
      <c r="E1218">
        <v>5.2570577394460631</v>
      </c>
      <c r="F1218">
        <v>17.95077975290145</v>
      </c>
    </row>
    <row r="1219" spans="1:6" x14ac:dyDescent="0.25">
      <c r="A1219">
        <v>36175</v>
      </c>
      <c r="B1219">
        <v>1999</v>
      </c>
      <c r="C1219">
        <v>3.3862660756024976</v>
      </c>
      <c r="D1219">
        <v>11.039126825188614</v>
      </c>
      <c r="E1219">
        <v>5.2570577394460631</v>
      </c>
      <c r="F1219">
        <v>17.95077975290145</v>
      </c>
    </row>
    <row r="1220" spans="1:6" x14ac:dyDescent="0.25">
      <c r="A1220">
        <v>36168</v>
      </c>
      <c r="B1220">
        <v>1999</v>
      </c>
      <c r="C1220">
        <v>3.5475168411073774</v>
      </c>
      <c r="D1220">
        <v>11.039126825188614</v>
      </c>
      <c r="E1220">
        <v>5.2570577394460631</v>
      </c>
      <c r="F1220">
        <v>17.95077975290145</v>
      </c>
    </row>
    <row r="1221" spans="1:6" x14ac:dyDescent="0.25">
      <c r="A1221">
        <v>36161</v>
      </c>
      <c r="B1221">
        <v>1999</v>
      </c>
      <c r="C1221">
        <v>3.1746244458773418</v>
      </c>
      <c r="D1221">
        <v>11.039126825188614</v>
      </c>
      <c r="E1221">
        <v>5.2570577394460631</v>
      </c>
      <c r="F1221">
        <v>17.95077975290145</v>
      </c>
    </row>
    <row r="1222" spans="1:6" x14ac:dyDescent="0.25">
      <c r="A1222">
        <v>36154</v>
      </c>
      <c r="B1222">
        <v>1998</v>
      </c>
      <c r="C1222">
        <v>2.8477625984196293</v>
      </c>
      <c r="D1222">
        <v>11.039126825188614</v>
      </c>
      <c r="E1222">
        <v>5.2570577394460631</v>
      </c>
      <c r="F1222">
        <v>17.95077975290145</v>
      </c>
    </row>
    <row r="1223" spans="1:6" x14ac:dyDescent="0.25">
      <c r="A1223">
        <v>36147</v>
      </c>
      <c r="B1223">
        <v>1998</v>
      </c>
      <c r="C1223">
        <v>2.9930566085430805</v>
      </c>
      <c r="D1223">
        <v>11.039126825188614</v>
      </c>
      <c r="E1223">
        <v>5.2570577394460631</v>
      </c>
      <c r="F1223">
        <v>17.95077975290145</v>
      </c>
    </row>
    <row r="1224" spans="1:6" x14ac:dyDescent="0.25">
      <c r="A1224">
        <v>36140</v>
      </c>
      <c r="B1224">
        <v>1998</v>
      </c>
      <c r="C1224">
        <v>2.9155664698105732</v>
      </c>
      <c r="D1224">
        <v>11.039126825188614</v>
      </c>
      <c r="E1224">
        <v>5.2570577394460631</v>
      </c>
      <c r="F1224">
        <v>17.95077975290145</v>
      </c>
    </row>
    <row r="1225" spans="1:6" x14ac:dyDescent="0.25">
      <c r="A1225">
        <v>36133</v>
      </c>
      <c r="B1225">
        <v>1998</v>
      </c>
      <c r="C1225">
        <v>2.9446252718352635</v>
      </c>
      <c r="D1225">
        <v>11.039126825188614</v>
      </c>
      <c r="E1225">
        <v>5.2570577394460631</v>
      </c>
      <c r="F1225">
        <v>17.95077975290145</v>
      </c>
    </row>
    <row r="1226" spans="1:6" x14ac:dyDescent="0.25">
      <c r="A1226">
        <v>36126</v>
      </c>
      <c r="B1226">
        <v>1998</v>
      </c>
      <c r="C1226">
        <v>3.1577231533496577</v>
      </c>
      <c r="D1226">
        <v>11.039126825188614</v>
      </c>
      <c r="E1226">
        <v>5.2570577394460631</v>
      </c>
      <c r="F1226">
        <v>17.95077975290145</v>
      </c>
    </row>
    <row r="1227" spans="1:6" x14ac:dyDescent="0.25">
      <c r="A1227">
        <v>36119</v>
      </c>
      <c r="B1227">
        <v>1998</v>
      </c>
      <c r="C1227">
        <v>3.4192523715718681</v>
      </c>
      <c r="D1227">
        <v>11.039126825188614</v>
      </c>
      <c r="E1227">
        <v>5.2570577394460631</v>
      </c>
      <c r="F1227">
        <v>17.95077975290145</v>
      </c>
    </row>
    <row r="1228" spans="1:6" x14ac:dyDescent="0.25">
      <c r="A1228">
        <v>36112</v>
      </c>
      <c r="B1228">
        <v>1998</v>
      </c>
      <c r="C1228">
        <v>3.7485854611850229</v>
      </c>
      <c r="D1228">
        <v>11.039126825188614</v>
      </c>
      <c r="E1228">
        <v>5.2570577394460631</v>
      </c>
      <c r="F1228">
        <v>17.95077975290145</v>
      </c>
    </row>
    <row r="1229" spans="1:6" x14ac:dyDescent="0.25">
      <c r="A1229">
        <v>36105</v>
      </c>
      <c r="B1229">
        <v>1998</v>
      </c>
      <c r="C1229">
        <v>3.9713696100409805</v>
      </c>
      <c r="D1229">
        <v>11.039126825188614</v>
      </c>
      <c r="E1229">
        <v>5.2570577394460631</v>
      </c>
      <c r="F1229">
        <v>17.95077975290145</v>
      </c>
    </row>
    <row r="1230" spans="1:6" x14ac:dyDescent="0.25">
      <c r="A1230">
        <v>36098</v>
      </c>
      <c r="B1230">
        <v>1998</v>
      </c>
      <c r="C1230">
        <v>4.0004284120656708</v>
      </c>
      <c r="D1230">
        <v>11.039126825188614</v>
      </c>
      <c r="E1230">
        <v>5.2570577394460631</v>
      </c>
      <c r="F1230">
        <v>17.95077975290145</v>
      </c>
    </row>
    <row r="1231" spans="1:6" x14ac:dyDescent="0.25">
      <c r="A1231">
        <v>36091</v>
      </c>
      <c r="B1231">
        <v>1998</v>
      </c>
      <c r="C1231">
        <v>3.9810558773825435</v>
      </c>
      <c r="D1231">
        <v>11.039126825188614</v>
      </c>
      <c r="E1231">
        <v>5.2570577394460631</v>
      </c>
      <c r="F1231">
        <v>17.95077975290145</v>
      </c>
    </row>
    <row r="1232" spans="1:6" x14ac:dyDescent="0.25">
      <c r="A1232">
        <v>36084</v>
      </c>
      <c r="B1232">
        <v>1998</v>
      </c>
      <c r="C1232">
        <v>4.048859748773487</v>
      </c>
      <c r="D1232">
        <v>11.039126825188614</v>
      </c>
      <c r="E1232">
        <v>5.2570577394460631</v>
      </c>
      <c r="F1232">
        <v>17.95077975290145</v>
      </c>
    </row>
    <row r="1233" spans="1:6" x14ac:dyDescent="0.25">
      <c r="A1233">
        <v>36077</v>
      </c>
      <c r="B1233">
        <v>1998</v>
      </c>
      <c r="C1233">
        <v>4.2232125609216276</v>
      </c>
      <c r="D1233">
        <v>11.039126825188614</v>
      </c>
      <c r="E1233">
        <v>5.2570577394460631</v>
      </c>
      <c r="F1233">
        <v>17.95077975290145</v>
      </c>
    </row>
    <row r="1234" spans="1:6" x14ac:dyDescent="0.25">
      <c r="A1234">
        <v>36070</v>
      </c>
      <c r="B1234">
        <v>1998</v>
      </c>
      <c r="C1234">
        <v>4.2038400262385007</v>
      </c>
      <c r="D1234">
        <v>11.039126825188614</v>
      </c>
      <c r="E1234">
        <v>5.2570577394460631</v>
      </c>
      <c r="F1234">
        <v>17.95077975290145</v>
      </c>
    </row>
    <row r="1235" spans="1:6" x14ac:dyDescent="0.25">
      <c r="A1235">
        <v>36063</v>
      </c>
      <c r="B1235">
        <v>1998</v>
      </c>
      <c r="C1235">
        <v>4.2038400262385007</v>
      </c>
      <c r="D1235">
        <v>11.039126825188614</v>
      </c>
      <c r="E1235">
        <v>5.2570577394460631</v>
      </c>
      <c r="F1235">
        <v>17.95077975290145</v>
      </c>
    </row>
    <row r="1236" spans="1:6" x14ac:dyDescent="0.25">
      <c r="A1236">
        <v>36056</v>
      </c>
      <c r="B1236">
        <v>1998</v>
      </c>
      <c r="C1236">
        <v>4.1069773528228675</v>
      </c>
      <c r="D1236">
        <v>11.039126825188614</v>
      </c>
      <c r="E1236">
        <v>5.2570577394460631</v>
      </c>
      <c r="F1236">
        <v>17.95077975290145</v>
      </c>
    </row>
    <row r="1237" spans="1:6" x14ac:dyDescent="0.25">
      <c r="A1237">
        <v>36049</v>
      </c>
      <c r="B1237">
        <v>1998</v>
      </c>
      <c r="C1237">
        <v>3.9519970753578533</v>
      </c>
      <c r="D1237">
        <v>11.039126825188614</v>
      </c>
      <c r="E1237">
        <v>5.2570577394460631</v>
      </c>
      <c r="F1237">
        <v>17.95077975290145</v>
      </c>
    </row>
    <row r="1238" spans="1:6" x14ac:dyDescent="0.25">
      <c r="A1238">
        <v>36042</v>
      </c>
      <c r="B1238">
        <v>1998</v>
      </c>
      <c r="C1238">
        <v>3.7970167978928404</v>
      </c>
      <c r="D1238">
        <v>11.039126825188614</v>
      </c>
      <c r="E1238">
        <v>5.2570577394460631</v>
      </c>
      <c r="F1238">
        <v>17.95077975290145</v>
      </c>
    </row>
    <row r="1239" spans="1:6" x14ac:dyDescent="0.25">
      <c r="A1239">
        <v>36035</v>
      </c>
      <c r="B1239">
        <v>1998</v>
      </c>
      <c r="C1239">
        <v>3.5451738470121921</v>
      </c>
      <c r="D1239">
        <v>11.039126825188614</v>
      </c>
      <c r="E1239">
        <v>5.2570577394460631</v>
      </c>
      <c r="F1239">
        <v>17.95077975290145</v>
      </c>
    </row>
    <row r="1240" spans="1:6" x14ac:dyDescent="0.25">
      <c r="A1240">
        <v>36028</v>
      </c>
      <c r="B1240">
        <v>1998</v>
      </c>
      <c r="C1240">
        <v>3.554860114353755</v>
      </c>
      <c r="D1240">
        <v>11.039126825188614</v>
      </c>
      <c r="E1240">
        <v>5.2570577394460631</v>
      </c>
      <c r="F1240">
        <v>17.95077975290145</v>
      </c>
    </row>
    <row r="1241" spans="1:6" x14ac:dyDescent="0.25">
      <c r="A1241">
        <v>36021</v>
      </c>
      <c r="B1241">
        <v>1998</v>
      </c>
      <c r="C1241">
        <v>3.6323502530862624</v>
      </c>
      <c r="D1241">
        <v>11.039126825188614</v>
      </c>
      <c r="E1241">
        <v>5.2570577394460631</v>
      </c>
      <c r="F1241">
        <v>17.95077975290145</v>
      </c>
    </row>
    <row r="1242" spans="1:6" x14ac:dyDescent="0.25">
      <c r="A1242">
        <v>36014</v>
      </c>
      <c r="B1242">
        <v>1998</v>
      </c>
      <c r="C1242">
        <v>3.6904678571356433</v>
      </c>
      <c r="D1242">
        <v>11.039126825188614</v>
      </c>
      <c r="E1242">
        <v>5.2570577394460631</v>
      </c>
      <c r="F1242">
        <v>17.95077975290145</v>
      </c>
    </row>
    <row r="1243" spans="1:6" x14ac:dyDescent="0.25">
      <c r="A1243">
        <v>36007</v>
      </c>
      <c r="B1243">
        <v>1998</v>
      </c>
      <c r="C1243">
        <v>3.6129777184031355</v>
      </c>
      <c r="D1243">
        <v>11.039126825188614</v>
      </c>
      <c r="E1243">
        <v>5.2570577394460631</v>
      </c>
      <c r="F1243">
        <v>17.95077975290145</v>
      </c>
    </row>
    <row r="1244" spans="1:6" x14ac:dyDescent="0.25">
      <c r="A1244">
        <v>36000</v>
      </c>
      <c r="B1244">
        <v>1998</v>
      </c>
      <c r="C1244">
        <v>3.6517227877693892</v>
      </c>
      <c r="D1244">
        <v>11.039126825188614</v>
      </c>
      <c r="E1244">
        <v>5.2570577394460631</v>
      </c>
      <c r="F1244">
        <v>17.95077975290145</v>
      </c>
    </row>
    <row r="1245" spans="1:6" x14ac:dyDescent="0.25">
      <c r="A1245">
        <v>35993</v>
      </c>
      <c r="B1245">
        <v>1998</v>
      </c>
      <c r="C1245">
        <v>3.8841932039669107</v>
      </c>
      <c r="D1245">
        <v>11.039126825188614</v>
      </c>
      <c r="E1245">
        <v>5.2570577394460631</v>
      </c>
      <c r="F1245">
        <v>17.95077975290145</v>
      </c>
    </row>
    <row r="1246" spans="1:6" x14ac:dyDescent="0.25">
      <c r="A1246">
        <v>35986</v>
      </c>
      <c r="B1246">
        <v>1998</v>
      </c>
      <c r="C1246">
        <v>3.7679579958681488</v>
      </c>
      <c r="D1246">
        <v>11.039126825188614</v>
      </c>
      <c r="E1246">
        <v>5.2570577394460631</v>
      </c>
      <c r="F1246">
        <v>17.95077975290145</v>
      </c>
    </row>
    <row r="1247" spans="1:6" x14ac:dyDescent="0.25">
      <c r="A1247">
        <v>35979</v>
      </c>
      <c r="B1247">
        <v>1998</v>
      </c>
      <c r="C1247">
        <v>3.8260755999175307</v>
      </c>
      <c r="D1247">
        <v>11.039126825188614</v>
      </c>
      <c r="E1247">
        <v>5.2570577394460631</v>
      </c>
      <c r="F1247">
        <v>17.95077975290145</v>
      </c>
    </row>
    <row r="1248" spans="1:6" x14ac:dyDescent="0.25">
      <c r="A1248">
        <v>35972</v>
      </c>
      <c r="B1248">
        <v>1998</v>
      </c>
      <c r="C1248">
        <v>3.8648206692837834</v>
      </c>
      <c r="D1248">
        <v>11.039126825188614</v>
      </c>
      <c r="E1248">
        <v>5.2570577394460631</v>
      </c>
      <c r="F1248">
        <v>17.95077975290145</v>
      </c>
    </row>
    <row r="1249" spans="1:6" x14ac:dyDescent="0.25">
      <c r="A1249">
        <v>35965</v>
      </c>
      <c r="B1249">
        <v>1998</v>
      </c>
      <c r="C1249">
        <v>3.6517227877693892</v>
      </c>
      <c r="D1249">
        <v>11.039126825188614</v>
      </c>
      <c r="E1249">
        <v>5.2570577394460631</v>
      </c>
      <c r="F1249">
        <v>17.95077975290145</v>
      </c>
    </row>
    <row r="1250" spans="1:6" x14ac:dyDescent="0.25">
      <c r="A1250">
        <v>35958</v>
      </c>
      <c r="B1250">
        <v>1998</v>
      </c>
      <c r="C1250">
        <v>3.7195266591603331</v>
      </c>
      <c r="D1250">
        <v>11.039126825188614</v>
      </c>
      <c r="E1250">
        <v>5.2570577394460631</v>
      </c>
      <c r="F1250">
        <v>17.95077975290145</v>
      </c>
    </row>
    <row r="1251" spans="1:6" x14ac:dyDescent="0.25">
      <c r="A1251">
        <v>35951</v>
      </c>
      <c r="B1251">
        <v>1998</v>
      </c>
      <c r="C1251">
        <v>3.845448134600657</v>
      </c>
      <c r="D1251">
        <v>11.039126825188614</v>
      </c>
      <c r="E1251">
        <v>5.2570577394460631</v>
      </c>
      <c r="F1251">
        <v>17.95077975290145</v>
      </c>
    </row>
    <row r="1252" spans="1:6" x14ac:dyDescent="0.25">
      <c r="A1252">
        <v>35944</v>
      </c>
      <c r="B1252">
        <v>1998</v>
      </c>
      <c r="C1252">
        <v>3.8357618672590941</v>
      </c>
      <c r="D1252">
        <v>11.039126825188614</v>
      </c>
      <c r="E1252">
        <v>5.2570577394460631</v>
      </c>
      <c r="F1252">
        <v>17.95077975290145</v>
      </c>
    </row>
    <row r="1253" spans="1:6" x14ac:dyDescent="0.25">
      <c r="A1253">
        <v>35937</v>
      </c>
      <c r="B1253">
        <v>1998</v>
      </c>
      <c r="C1253">
        <v>3.9035657386500371</v>
      </c>
      <c r="D1253">
        <v>11.039126825188614</v>
      </c>
      <c r="E1253">
        <v>5.2570577394460631</v>
      </c>
      <c r="F1253">
        <v>17.95077975290145</v>
      </c>
    </row>
    <row r="1254" spans="1:6" x14ac:dyDescent="0.25">
      <c r="A1254">
        <v>35930</v>
      </c>
      <c r="B1254">
        <v>1998</v>
      </c>
      <c r="C1254">
        <v>4.0779185507981772</v>
      </c>
      <c r="D1254">
        <v>11.039126825188614</v>
      </c>
      <c r="E1254">
        <v>5.2570577394460631</v>
      </c>
      <c r="F1254">
        <v>17.95077975290145</v>
      </c>
    </row>
    <row r="1255" spans="1:6" x14ac:dyDescent="0.25">
      <c r="A1255">
        <v>35923</v>
      </c>
      <c r="B1255">
        <v>1998</v>
      </c>
      <c r="C1255">
        <v>4.1844674915553748</v>
      </c>
      <c r="D1255">
        <v>11.039126825188614</v>
      </c>
      <c r="E1255">
        <v>5.2570577394460631</v>
      </c>
      <c r="F1255">
        <v>17.95077975290145</v>
      </c>
    </row>
    <row r="1256" spans="1:6" x14ac:dyDescent="0.25">
      <c r="A1256">
        <v>35916</v>
      </c>
      <c r="B1256">
        <v>1998</v>
      </c>
      <c r="C1256">
        <v>4.2328988282631919</v>
      </c>
      <c r="D1256">
        <v>11.039126825188614</v>
      </c>
      <c r="E1256">
        <v>5.2570577394460631</v>
      </c>
      <c r="F1256">
        <v>17.95077975290145</v>
      </c>
    </row>
    <row r="1257" spans="1:6" x14ac:dyDescent="0.25">
      <c r="A1257">
        <v>35909</v>
      </c>
      <c r="B1257">
        <v>1998</v>
      </c>
      <c r="C1257">
        <v>4.1263498875059943</v>
      </c>
      <c r="D1257">
        <v>11.039126825188614</v>
      </c>
      <c r="E1257">
        <v>5.2570577394460631</v>
      </c>
      <c r="F1257">
        <v>17.95077975290145</v>
      </c>
    </row>
    <row r="1258" spans="1:6" x14ac:dyDescent="0.25">
      <c r="A1258">
        <v>35902</v>
      </c>
      <c r="B1258">
        <v>1998</v>
      </c>
      <c r="C1258">
        <v>4.1747812242138114</v>
      </c>
      <c r="D1258">
        <v>11.039126825188614</v>
      </c>
      <c r="E1258">
        <v>5.2570577394460631</v>
      </c>
      <c r="F1258">
        <v>17.95077975290145</v>
      </c>
    </row>
    <row r="1259" spans="1:6" x14ac:dyDescent="0.25">
      <c r="A1259">
        <v>35895</v>
      </c>
      <c r="B1259">
        <v>1998</v>
      </c>
      <c r="C1259">
        <v>4.0101146794072342</v>
      </c>
      <c r="D1259">
        <v>11.039126825188614</v>
      </c>
      <c r="E1259">
        <v>5.2570577394460631</v>
      </c>
      <c r="F1259">
        <v>17.95077975290145</v>
      </c>
    </row>
    <row r="1260" spans="1:6" x14ac:dyDescent="0.25">
      <c r="A1260">
        <v>35888</v>
      </c>
      <c r="B1260">
        <v>1998</v>
      </c>
      <c r="C1260">
        <v>4.0682322834566147</v>
      </c>
      <c r="D1260">
        <v>11.039126825188614</v>
      </c>
      <c r="E1260">
        <v>5.2570577394460631</v>
      </c>
      <c r="F1260">
        <v>17.95077975290145</v>
      </c>
    </row>
    <row r="1261" spans="1:6" x14ac:dyDescent="0.25">
      <c r="A1261">
        <v>35881</v>
      </c>
      <c r="B1261">
        <v>1998</v>
      </c>
      <c r="C1261">
        <v>4.2522713629463178</v>
      </c>
      <c r="D1261">
        <v>11.039126825188614</v>
      </c>
      <c r="E1261">
        <v>5.2570577394460631</v>
      </c>
      <c r="F1261">
        <v>17.95077975290145</v>
      </c>
    </row>
    <row r="1262" spans="1:6" x14ac:dyDescent="0.25">
      <c r="A1262">
        <v>35874</v>
      </c>
      <c r="B1262">
        <v>1998</v>
      </c>
      <c r="C1262">
        <v>3.7776442632097131</v>
      </c>
      <c r="D1262">
        <v>11.039126825188614</v>
      </c>
      <c r="E1262">
        <v>5.2570577394460631</v>
      </c>
      <c r="F1262">
        <v>17.95077975290145</v>
      </c>
    </row>
    <row r="1263" spans="1:6" x14ac:dyDescent="0.25">
      <c r="A1263">
        <v>35867</v>
      </c>
      <c r="B1263">
        <v>1998</v>
      </c>
      <c r="C1263">
        <v>3.8260755999175307</v>
      </c>
      <c r="D1263">
        <v>11.039126825188614</v>
      </c>
      <c r="E1263">
        <v>5.2570577394460631</v>
      </c>
      <c r="F1263">
        <v>17.95077975290145</v>
      </c>
    </row>
    <row r="1264" spans="1:6" x14ac:dyDescent="0.25">
      <c r="A1264">
        <v>35860</v>
      </c>
      <c r="B1264">
        <v>1998</v>
      </c>
      <c r="C1264">
        <v>4.0972910854813041</v>
      </c>
      <c r="D1264">
        <v>11.039126825188614</v>
      </c>
      <c r="E1264">
        <v>5.2570577394460631</v>
      </c>
      <c r="F1264">
        <v>17.95077975290145</v>
      </c>
    </row>
    <row r="1265" spans="1:6" x14ac:dyDescent="0.25">
      <c r="A1265">
        <v>35853</v>
      </c>
      <c r="B1265">
        <v>1998</v>
      </c>
      <c r="C1265">
        <v>4.1747812242138114</v>
      </c>
      <c r="D1265">
        <v>11.039126825188614</v>
      </c>
      <c r="E1265">
        <v>5.2570577394460631</v>
      </c>
      <c r="F1265">
        <v>17.95077975290145</v>
      </c>
    </row>
    <row r="1266" spans="1:6" x14ac:dyDescent="0.25">
      <c r="A1266">
        <v>35846</v>
      </c>
      <c r="B1266">
        <v>1998</v>
      </c>
      <c r="C1266">
        <v>4.3103889669956983</v>
      </c>
      <c r="D1266">
        <v>11.039126825188614</v>
      </c>
      <c r="E1266">
        <v>5.2570577394460631</v>
      </c>
      <c r="F1266">
        <v>17.95077975290145</v>
      </c>
    </row>
    <row r="1267" spans="1:6" x14ac:dyDescent="0.25">
      <c r="A1267">
        <v>35839</v>
      </c>
      <c r="B1267">
        <v>1998</v>
      </c>
      <c r="C1267">
        <v>4.3685065710450788</v>
      </c>
      <c r="D1267">
        <v>11.039126825188614</v>
      </c>
      <c r="E1267">
        <v>5.2570577394460631</v>
      </c>
      <c r="F1267">
        <v>17.95077975290145</v>
      </c>
    </row>
    <row r="1268" spans="1:6" x14ac:dyDescent="0.25">
      <c r="A1268">
        <v>35832</v>
      </c>
      <c r="B1268">
        <v>1998</v>
      </c>
      <c r="C1268">
        <v>4.5331731158516559</v>
      </c>
      <c r="D1268">
        <v>11.039126825188614</v>
      </c>
      <c r="E1268">
        <v>5.2570577394460631</v>
      </c>
      <c r="F1268">
        <v>17.95077975290145</v>
      </c>
    </row>
    <row r="1269" spans="1:6" x14ac:dyDescent="0.25">
      <c r="A1269">
        <v>35825</v>
      </c>
      <c r="B1269">
        <v>1998</v>
      </c>
      <c r="C1269">
        <v>4.7656435320491761</v>
      </c>
      <c r="D1269">
        <v>11.039126825188614</v>
      </c>
      <c r="E1269">
        <v>5.2570577394460631</v>
      </c>
      <c r="F1269">
        <v>17.95077975290145</v>
      </c>
    </row>
    <row r="1270" spans="1:6" x14ac:dyDescent="0.25">
      <c r="A1270">
        <v>35818</v>
      </c>
      <c r="B1270">
        <v>1998</v>
      </c>
      <c r="C1270">
        <v>4.4750555118022755</v>
      </c>
      <c r="D1270">
        <v>11.039126825188614</v>
      </c>
      <c r="E1270">
        <v>5.2570577394460631</v>
      </c>
      <c r="F1270">
        <v>17.95077975290145</v>
      </c>
    </row>
    <row r="1271" spans="1:6" x14ac:dyDescent="0.25">
      <c r="A1271">
        <v>35811</v>
      </c>
      <c r="B1271">
        <v>1998</v>
      </c>
      <c r="C1271">
        <v>4.5622319178763453</v>
      </c>
      <c r="D1271">
        <v>11.039126825188614</v>
      </c>
      <c r="E1271">
        <v>5.2570577394460631</v>
      </c>
      <c r="F1271">
        <v>17.95077975290145</v>
      </c>
    </row>
    <row r="1272" spans="1:6" x14ac:dyDescent="0.25">
      <c r="A1272">
        <v>35804</v>
      </c>
      <c r="B1272">
        <v>1998</v>
      </c>
      <c r="C1272">
        <v>4.600976987242599</v>
      </c>
      <c r="D1272">
        <v>11.039126825188614</v>
      </c>
      <c r="E1272">
        <v>5.2570577394460631</v>
      </c>
      <c r="F1272">
        <v>17.95077975290145</v>
      </c>
    </row>
    <row r="1273" spans="1:6" x14ac:dyDescent="0.25">
      <c r="A1273">
        <v>35797</v>
      </c>
      <c r="B1273">
        <v>1998</v>
      </c>
      <c r="C1273">
        <v>4.8043886014154298</v>
      </c>
      <c r="D1273">
        <v>11.039126825188614</v>
      </c>
      <c r="E1273">
        <v>5.2570577394460631</v>
      </c>
      <c r="F1273">
        <v>17.95077975290145</v>
      </c>
    </row>
    <row r="1274" spans="1:6" x14ac:dyDescent="0.25">
      <c r="A1274">
        <v>35790</v>
      </c>
      <c r="B1274">
        <v>1997</v>
      </c>
      <c r="C1274">
        <v>4.7532637940670028</v>
      </c>
      <c r="D1274">
        <v>11.039126825188614</v>
      </c>
      <c r="E1274">
        <v>5.2570577394460631</v>
      </c>
      <c r="F1274">
        <v>17.95077975290145</v>
      </c>
    </row>
    <row r="1275" spans="1:6" x14ac:dyDescent="0.25">
      <c r="A1275">
        <v>35783</v>
      </c>
      <c r="B1275">
        <v>1997</v>
      </c>
      <c r="C1275">
        <v>4.8984755189366664</v>
      </c>
      <c r="D1275">
        <v>11.039126825188614</v>
      </c>
      <c r="E1275">
        <v>5.2570577394460631</v>
      </c>
      <c r="F1275">
        <v>17.95077975290145</v>
      </c>
    </row>
    <row r="1276" spans="1:6" x14ac:dyDescent="0.25">
      <c r="A1276">
        <v>35776</v>
      </c>
      <c r="B1276">
        <v>1997</v>
      </c>
      <c r="C1276">
        <v>4.7823061390409354</v>
      </c>
      <c r="D1276">
        <v>11.039126825188614</v>
      </c>
      <c r="E1276">
        <v>5.2570577394460631</v>
      </c>
      <c r="F1276">
        <v>17.95077975290145</v>
      </c>
    </row>
    <row r="1277" spans="1:6" x14ac:dyDescent="0.25">
      <c r="A1277">
        <v>35769</v>
      </c>
      <c r="B1277">
        <v>1997</v>
      </c>
      <c r="C1277">
        <v>4.7726253573829585</v>
      </c>
      <c r="D1277">
        <v>11.039126825188614</v>
      </c>
      <c r="E1277">
        <v>5.2570577394460631</v>
      </c>
      <c r="F1277">
        <v>17.95077975290145</v>
      </c>
    </row>
    <row r="1278" spans="1:6" x14ac:dyDescent="0.25">
      <c r="A1278">
        <v>35762</v>
      </c>
      <c r="B1278">
        <v>1997</v>
      </c>
      <c r="C1278">
        <v>5.0243256804903762</v>
      </c>
      <c r="D1278">
        <v>11.039126825188614</v>
      </c>
      <c r="E1278">
        <v>5.2570577394460631</v>
      </c>
      <c r="F1278">
        <v>17.95077975290145</v>
      </c>
    </row>
    <row r="1279" spans="1:6" x14ac:dyDescent="0.25">
      <c r="A1279">
        <v>35755</v>
      </c>
      <c r="B1279">
        <v>1997</v>
      </c>
      <c r="C1279">
        <v>5.2760260035977939</v>
      </c>
      <c r="D1279">
        <v>11.039126825188614</v>
      </c>
      <c r="E1279">
        <v>5.2570577394460631</v>
      </c>
      <c r="F1279">
        <v>17.95077975290145</v>
      </c>
    </row>
    <row r="1280" spans="1:6" x14ac:dyDescent="0.25">
      <c r="A1280">
        <v>35748</v>
      </c>
      <c r="B1280">
        <v>1997</v>
      </c>
      <c r="C1280">
        <v>5.459960855099367</v>
      </c>
      <c r="D1280">
        <v>11.039126825188614</v>
      </c>
      <c r="E1280">
        <v>5.2570577394460631</v>
      </c>
      <c r="F1280">
        <v>17.95077975290145</v>
      </c>
    </row>
    <row r="1281" spans="1:6" x14ac:dyDescent="0.25">
      <c r="A1281">
        <v>35741</v>
      </c>
      <c r="B1281">
        <v>1997</v>
      </c>
      <c r="C1281">
        <v>5.3921953834935259</v>
      </c>
      <c r="D1281">
        <v>11.039126825188614</v>
      </c>
      <c r="E1281">
        <v>5.2570577394460631</v>
      </c>
      <c r="F1281">
        <v>17.95077975290145</v>
      </c>
    </row>
    <row r="1282" spans="1:6" x14ac:dyDescent="0.25">
      <c r="A1282">
        <v>35734</v>
      </c>
      <c r="B1282">
        <v>1997</v>
      </c>
      <c r="C1282">
        <v>5.4696416367573439</v>
      </c>
      <c r="D1282">
        <v>11.039126825188614</v>
      </c>
      <c r="E1282">
        <v>5.2570577394460631</v>
      </c>
      <c r="F1282">
        <v>17.95077975290145</v>
      </c>
    </row>
    <row r="1283" spans="1:6" x14ac:dyDescent="0.25">
      <c r="A1283">
        <v>35727</v>
      </c>
      <c r="B1283">
        <v>1997</v>
      </c>
      <c r="C1283">
        <v>5.4890032000733004</v>
      </c>
      <c r="D1283">
        <v>11.039126825188614</v>
      </c>
      <c r="E1283">
        <v>5.2570577394460631</v>
      </c>
      <c r="F1283">
        <v>17.95077975290145</v>
      </c>
    </row>
    <row r="1284" spans="1:6" x14ac:dyDescent="0.25">
      <c r="A1284">
        <v>35720</v>
      </c>
      <c r="B1284">
        <v>1997</v>
      </c>
      <c r="C1284">
        <v>5.4212377284674576</v>
      </c>
      <c r="D1284">
        <v>11.039126825188614</v>
      </c>
      <c r="E1284">
        <v>5.2570577394460631</v>
      </c>
      <c r="F1284">
        <v>17.95077975290145</v>
      </c>
    </row>
    <row r="1285" spans="1:6" x14ac:dyDescent="0.25">
      <c r="A1285">
        <v>35713</v>
      </c>
      <c r="B1285">
        <v>1997</v>
      </c>
      <c r="C1285">
        <v>5.6342149249429632</v>
      </c>
      <c r="D1285">
        <v>11.039126825188614</v>
      </c>
      <c r="E1285">
        <v>5.2570577394460631</v>
      </c>
      <c r="F1285">
        <v>17.95077975290145</v>
      </c>
    </row>
    <row r="1286" spans="1:6" x14ac:dyDescent="0.25">
      <c r="A1286">
        <v>35706</v>
      </c>
      <c r="B1286">
        <v>1997</v>
      </c>
      <c r="C1286">
        <v>5.6342149249429632</v>
      </c>
      <c r="D1286">
        <v>11.039126825188614</v>
      </c>
      <c r="E1286">
        <v>5.2570577394460631</v>
      </c>
      <c r="F1286">
        <v>17.95077975290145</v>
      </c>
    </row>
    <row r="1287" spans="1:6" x14ac:dyDescent="0.25">
      <c r="A1287">
        <v>35699</v>
      </c>
      <c r="B1287">
        <v>1997</v>
      </c>
      <c r="C1287">
        <v>5.4018761651515028</v>
      </c>
      <c r="D1287">
        <v>11.039126825188614</v>
      </c>
      <c r="E1287">
        <v>5.2570577394460631</v>
      </c>
      <c r="F1287">
        <v>17.95077975290145</v>
      </c>
    </row>
    <row r="1288" spans="1:6" x14ac:dyDescent="0.25">
      <c r="A1288">
        <v>35692</v>
      </c>
      <c r="B1288">
        <v>1997</v>
      </c>
      <c r="C1288">
        <v>5.1792181870180185</v>
      </c>
      <c r="D1288">
        <v>11.039126825188614</v>
      </c>
      <c r="E1288">
        <v>5.2570577394460631</v>
      </c>
      <c r="F1288">
        <v>17.95077975290145</v>
      </c>
    </row>
    <row r="1289" spans="1:6" x14ac:dyDescent="0.25">
      <c r="A1289">
        <v>35685</v>
      </c>
      <c r="B1289">
        <v>1997</v>
      </c>
      <c r="C1289">
        <v>5.0533680254643096</v>
      </c>
      <c r="D1289">
        <v>11.039126825188614</v>
      </c>
      <c r="E1289">
        <v>5.2570577394460631</v>
      </c>
      <c r="F1289">
        <v>17.95077975290145</v>
      </c>
    </row>
    <row r="1290" spans="1:6" x14ac:dyDescent="0.25">
      <c r="A1290">
        <v>35678</v>
      </c>
      <c r="B1290">
        <v>1997</v>
      </c>
      <c r="C1290">
        <v>5.1792181870180185</v>
      </c>
      <c r="D1290">
        <v>11.039126825188614</v>
      </c>
      <c r="E1290">
        <v>5.2570577394460631</v>
      </c>
      <c r="F1290">
        <v>17.95077975290145</v>
      </c>
    </row>
    <row r="1291" spans="1:6" x14ac:dyDescent="0.25">
      <c r="A1291">
        <v>35671</v>
      </c>
      <c r="B1291">
        <v>1997</v>
      </c>
      <c r="C1291">
        <v>5.2857067852557718</v>
      </c>
      <c r="D1291">
        <v>11.039126825188614</v>
      </c>
      <c r="E1291">
        <v>5.2570577394460631</v>
      </c>
      <c r="F1291">
        <v>17.95077975290145</v>
      </c>
    </row>
    <row r="1292" spans="1:6" x14ac:dyDescent="0.25">
      <c r="A1292">
        <v>35664</v>
      </c>
      <c r="B1292">
        <v>1997</v>
      </c>
      <c r="C1292">
        <v>5.3825146018355463</v>
      </c>
      <c r="D1292">
        <v>11.039126825188614</v>
      </c>
      <c r="E1292">
        <v>5.2570577394460631</v>
      </c>
      <c r="F1292">
        <v>17.95077975290145</v>
      </c>
    </row>
    <row r="1293" spans="1:6" x14ac:dyDescent="0.25">
      <c r="A1293">
        <v>35657</v>
      </c>
      <c r="B1293">
        <v>1997</v>
      </c>
      <c r="C1293">
        <v>5.4212377284674576</v>
      </c>
      <c r="D1293">
        <v>11.039126825188614</v>
      </c>
      <c r="E1293">
        <v>5.2570577394460631</v>
      </c>
      <c r="F1293">
        <v>17.95077975290145</v>
      </c>
    </row>
    <row r="1294" spans="1:6" x14ac:dyDescent="0.25">
      <c r="A1294">
        <v>35650</v>
      </c>
      <c r="B1294">
        <v>1997</v>
      </c>
      <c r="C1294">
        <v>5.5470878900211655</v>
      </c>
      <c r="D1294">
        <v>11.039126825188614</v>
      </c>
      <c r="E1294">
        <v>5.2570577394460631</v>
      </c>
      <c r="F1294">
        <v>17.95077975290145</v>
      </c>
    </row>
    <row r="1295" spans="1:6" x14ac:dyDescent="0.25">
      <c r="A1295">
        <v>35643</v>
      </c>
      <c r="B1295">
        <v>1997</v>
      </c>
      <c r="C1295">
        <v>5.4212377284674576</v>
      </c>
      <c r="D1295">
        <v>11.039126825188614</v>
      </c>
      <c r="E1295">
        <v>5.2570577394460631</v>
      </c>
      <c r="F1295">
        <v>17.95077975290145</v>
      </c>
    </row>
    <row r="1296" spans="1:6" x14ac:dyDescent="0.25">
      <c r="A1296">
        <v>35636</v>
      </c>
      <c r="B1296">
        <v>1997</v>
      </c>
      <c r="C1296">
        <v>5.1792181870180185</v>
      </c>
      <c r="D1296">
        <v>11.039126825188614</v>
      </c>
      <c r="E1296">
        <v>5.2570577394460631</v>
      </c>
      <c r="F1296">
        <v>17.95077975290145</v>
      </c>
    </row>
    <row r="1297" spans="1:6" x14ac:dyDescent="0.25">
      <c r="A1297">
        <v>35629</v>
      </c>
      <c r="B1297">
        <v>1997</v>
      </c>
      <c r="C1297">
        <v>5.0920911520962191</v>
      </c>
      <c r="D1297">
        <v>11.039126825188614</v>
      </c>
      <c r="E1297">
        <v>5.2570577394460631</v>
      </c>
      <c r="F1297">
        <v>17.95077975290145</v>
      </c>
    </row>
    <row r="1298" spans="1:6" x14ac:dyDescent="0.25">
      <c r="A1298">
        <v>35622</v>
      </c>
      <c r="B1298">
        <v>1997</v>
      </c>
      <c r="C1298">
        <v>5.0824103704382422</v>
      </c>
      <c r="D1298">
        <v>11.039126825188614</v>
      </c>
      <c r="E1298">
        <v>5.2570577394460631</v>
      </c>
      <c r="F1298">
        <v>17.95077975290145</v>
      </c>
    </row>
    <row r="1299" spans="1:6" x14ac:dyDescent="0.25">
      <c r="A1299">
        <v>35615</v>
      </c>
      <c r="B1299">
        <v>1997</v>
      </c>
      <c r="C1299">
        <v>5.2469836586238605</v>
      </c>
      <c r="D1299">
        <v>11.039126825188614</v>
      </c>
      <c r="E1299">
        <v>5.2570577394460631</v>
      </c>
      <c r="F1299">
        <v>17.95077975290145</v>
      </c>
    </row>
    <row r="1300" spans="1:6" x14ac:dyDescent="0.25">
      <c r="A1300">
        <v>35608</v>
      </c>
      <c r="B1300">
        <v>1997</v>
      </c>
      <c r="C1300">
        <v>5.0920911520962191</v>
      </c>
      <c r="D1300">
        <v>11.039126825188614</v>
      </c>
      <c r="E1300">
        <v>5.2570577394460631</v>
      </c>
      <c r="F1300">
        <v>17.95077975290145</v>
      </c>
    </row>
    <row r="1301" spans="1:6" x14ac:dyDescent="0.25">
      <c r="A1301">
        <v>35601</v>
      </c>
      <c r="B1301">
        <v>1997</v>
      </c>
      <c r="C1301">
        <v>5.0146448988323975</v>
      </c>
      <c r="D1301">
        <v>11.039126825188614</v>
      </c>
      <c r="E1301">
        <v>5.2570577394460631</v>
      </c>
      <c r="F1301">
        <v>17.95077975290145</v>
      </c>
    </row>
    <row r="1302" spans="1:6" x14ac:dyDescent="0.25">
      <c r="A1302">
        <v>35594</v>
      </c>
      <c r="B1302">
        <v>1997</v>
      </c>
      <c r="C1302">
        <v>4.9468794272265546</v>
      </c>
      <c r="D1302">
        <v>11.039126825188614</v>
      </c>
      <c r="E1302">
        <v>5.2570577394460631</v>
      </c>
      <c r="F1302">
        <v>17.95077975290145</v>
      </c>
    </row>
    <row r="1303" spans="1:6" x14ac:dyDescent="0.25">
      <c r="A1303">
        <v>35587</v>
      </c>
      <c r="B1303">
        <v>1997</v>
      </c>
      <c r="C1303">
        <v>5.1598566237020629</v>
      </c>
      <c r="D1303">
        <v>11.039126825188614</v>
      </c>
      <c r="E1303">
        <v>5.2570577394460631</v>
      </c>
      <c r="F1303">
        <v>17.95077975290145</v>
      </c>
    </row>
    <row r="1304" spans="1:6" x14ac:dyDescent="0.25">
      <c r="A1304">
        <v>35580</v>
      </c>
      <c r="B1304">
        <v>1997</v>
      </c>
      <c r="C1304">
        <v>5.3437914752036368</v>
      </c>
      <c r="D1304">
        <v>11.039126825188614</v>
      </c>
      <c r="E1304">
        <v>5.2570577394460631</v>
      </c>
      <c r="F1304">
        <v>17.95077975290145</v>
      </c>
    </row>
    <row r="1305" spans="1:6" x14ac:dyDescent="0.25">
      <c r="A1305">
        <v>35573</v>
      </c>
      <c r="B1305">
        <v>1997</v>
      </c>
      <c r="C1305">
        <v>5.4793224184153217</v>
      </c>
      <c r="D1305">
        <v>11.039126825188614</v>
      </c>
      <c r="E1305">
        <v>5.2570577394460631</v>
      </c>
      <c r="F1305">
        <v>17.95077975290145</v>
      </c>
    </row>
    <row r="1306" spans="1:6" x14ac:dyDescent="0.25">
      <c r="A1306">
        <v>35566</v>
      </c>
      <c r="B1306">
        <v>1997</v>
      </c>
      <c r="C1306">
        <v>5.4115569468094806</v>
      </c>
      <c r="D1306">
        <v>11.039126825188614</v>
      </c>
      <c r="E1306">
        <v>5.2570577394460631</v>
      </c>
      <c r="F1306">
        <v>17.95077975290145</v>
      </c>
    </row>
    <row r="1307" spans="1:6" x14ac:dyDescent="0.25">
      <c r="A1307">
        <v>35559</v>
      </c>
      <c r="B1307">
        <v>1997</v>
      </c>
      <c r="C1307">
        <v>5.1211334970701516</v>
      </c>
      <c r="D1307">
        <v>11.039126825188614</v>
      </c>
      <c r="E1307">
        <v>5.2570577394460631</v>
      </c>
      <c r="F1307">
        <v>17.95077975290145</v>
      </c>
    </row>
    <row r="1308" spans="1:6" x14ac:dyDescent="0.25">
      <c r="A1308">
        <v>35552</v>
      </c>
      <c r="B1308">
        <v>1997</v>
      </c>
      <c r="C1308">
        <v>5.1404950603861073</v>
      </c>
      <c r="D1308">
        <v>11.039126825188614</v>
      </c>
      <c r="E1308">
        <v>5.2570577394460631</v>
      </c>
      <c r="F1308">
        <v>17.95077975290145</v>
      </c>
    </row>
    <row r="1309" spans="1:6" x14ac:dyDescent="0.25">
      <c r="A1309">
        <v>35545</v>
      </c>
      <c r="B1309">
        <v>1997</v>
      </c>
      <c r="C1309">
        <v>5.1501758420440842</v>
      </c>
      <c r="D1309">
        <v>11.039126825188614</v>
      </c>
      <c r="E1309">
        <v>5.2570577394460631</v>
      </c>
      <c r="F1309">
        <v>17.95077975290145</v>
      </c>
    </row>
    <row r="1310" spans="1:6" x14ac:dyDescent="0.25">
      <c r="A1310">
        <v>35538</v>
      </c>
      <c r="B1310">
        <v>1997</v>
      </c>
      <c r="C1310">
        <v>5.2566644402818383</v>
      </c>
      <c r="D1310">
        <v>11.039126825188614</v>
      </c>
      <c r="E1310">
        <v>5.2570577394460631</v>
      </c>
      <c r="F1310">
        <v>17.95077975290145</v>
      </c>
    </row>
    <row r="1311" spans="1:6" x14ac:dyDescent="0.25">
      <c r="A1311">
        <v>35531</v>
      </c>
      <c r="B1311">
        <v>1997</v>
      </c>
      <c r="C1311">
        <v>5.3147491302297043</v>
      </c>
      <c r="D1311">
        <v>11.039126825188614</v>
      </c>
      <c r="E1311">
        <v>5.2570577394460631</v>
      </c>
      <c r="F1311">
        <v>17.95077975290145</v>
      </c>
    </row>
    <row r="1312" spans="1:6" x14ac:dyDescent="0.25">
      <c r="A1312">
        <v>35524</v>
      </c>
      <c r="B1312">
        <v>1997</v>
      </c>
      <c r="C1312">
        <v>5.2663452219398161</v>
      </c>
      <c r="D1312">
        <v>11.039126825188614</v>
      </c>
      <c r="E1312">
        <v>5.2570577394460631</v>
      </c>
      <c r="F1312">
        <v>17.95077975290145</v>
      </c>
    </row>
    <row r="1313" spans="1:6" x14ac:dyDescent="0.25">
      <c r="A1313">
        <v>35517</v>
      </c>
      <c r="B1313">
        <v>1997</v>
      </c>
      <c r="C1313">
        <v>5.4309185101254354</v>
      </c>
      <c r="D1313">
        <v>11.039126825188614</v>
      </c>
      <c r="E1313">
        <v>5.2570577394460631</v>
      </c>
      <c r="F1313">
        <v>17.95077975290145</v>
      </c>
    </row>
    <row r="1314" spans="1:6" x14ac:dyDescent="0.25">
      <c r="A1314">
        <v>35510</v>
      </c>
      <c r="B1314">
        <v>1997</v>
      </c>
      <c r="C1314">
        <v>5.4696416367573439</v>
      </c>
      <c r="D1314">
        <v>11.039126825188614</v>
      </c>
      <c r="E1314">
        <v>5.2570577394460631</v>
      </c>
      <c r="F1314">
        <v>17.95077975290145</v>
      </c>
    </row>
    <row r="1315" spans="1:6" x14ac:dyDescent="0.25">
      <c r="A1315">
        <v>35503</v>
      </c>
      <c r="B1315">
        <v>1997</v>
      </c>
      <c r="C1315">
        <v>5.4212377284674576</v>
      </c>
      <c r="D1315">
        <v>11.039126825188614</v>
      </c>
      <c r="E1315">
        <v>5.2570577394460631</v>
      </c>
      <c r="F1315">
        <v>17.95077975290145</v>
      </c>
    </row>
    <row r="1316" spans="1:6" x14ac:dyDescent="0.25">
      <c r="A1316">
        <v>35496</v>
      </c>
      <c r="B1316">
        <v>1997</v>
      </c>
      <c r="C1316">
        <v>5.2760260035977939</v>
      </c>
      <c r="D1316">
        <v>11.039126825188614</v>
      </c>
      <c r="E1316">
        <v>5.2570577394460631</v>
      </c>
      <c r="F1316">
        <v>17.95077975290145</v>
      </c>
    </row>
    <row r="1317" spans="1:6" x14ac:dyDescent="0.25">
      <c r="A1317">
        <v>35489</v>
      </c>
      <c r="B1317">
        <v>1997</v>
      </c>
      <c r="C1317">
        <v>5.6148533616270093</v>
      </c>
      <c r="D1317">
        <v>11.039126825188614</v>
      </c>
      <c r="E1317">
        <v>5.2570577394460631</v>
      </c>
      <c r="F1317">
        <v>17.95077975290145</v>
      </c>
    </row>
    <row r="1318" spans="1:6" x14ac:dyDescent="0.25">
      <c r="A1318">
        <v>35482</v>
      </c>
      <c r="B1318">
        <v>1997</v>
      </c>
      <c r="C1318">
        <v>5.8471921214184723</v>
      </c>
      <c r="D1318">
        <v>11.039126825188614</v>
      </c>
      <c r="E1318">
        <v>5.2570577394460631</v>
      </c>
      <c r="F1318">
        <v>17.95077975290145</v>
      </c>
    </row>
    <row r="1319" spans="1:6" x14ac:dyDescent="0.25">
      <c r="A1319">
        <v>35475</v>
      </c>
      <c r="B1319">
        <v>1997</v>
      </c>
      <c r="C1319">
        <v>6.2150618244216203</v>
      </c>
      <c r="D1319">
        <v>11.039126825188614</v>
      </c>
      <c r="E1319">
        <v>5.2570577394460631</v>
      </c>
      <c r="F1319">
        <v>17.95077975290145</v>
      </c>
    </row>
    <row r="1320" spans="1:6" x14ac:dyDescent="0.25">
      <c r="A1320">
        <v>35468</v>
      </c>
      <c r="B1320">
        <v>1997</v>
      </c>
      <c r="C1320">
        <v>6.2731465143694871</v>
      </c>
      <c r="D1320">
        <v>11.039126825188614</v>
      </c>
      <c r="E1320">
        <v>5.2570577394460631</v>
      </c>
      <c r="F1320">
        <v>17.95077975290145</v>
      </c>
    </row>
    <row r="1321" spans="1:6" x14ac:dyDescent="0.25">
      <c r="A1321">
        <v>35461</v>
      </c>
      <c r="B1321">
        <v>1997</v>
      </c>
      <c r="C1321">
        <v>6.7087816889784788</v>
      </c>
      <c r="D1321">
        <v>11.039126825188614</v>
      </c>
      <c r="E1321">
        <v>5.2570577394460631</v>
      </c>
      <c r="F1321">
        <v>17.95077975290145</v>
      </c>
    </row>
    <row r="1322" spans="1:6" x14ac:dyDescent="0.25">
      <c r="A1322">
        <v>35454</v>
      </c>
      <c r="B1322">
        <v>1997</v>
      </c>
      <c r="C1322">
        <v>6.2537849510535306</v>
      </c>
      <c r="D1322">
        <v>11.039126825188614</v>
      </c>
      <c r="E1322">
        <v>5.2570577394460631</v>
      </c>
      <c r="F1322">
        <v>17.95077975290145</v>
      </c>
    </row>
    <row r="1323" spans="1:6" x14ac:dyDescent="0.25">
      <c r="A1323">
        <v>35447</v>
      </c>
      <c r="B1323">
        <v>1997</v>
      </c>
      <c r="C1323">
        <v>6.4764429291870158</v>
      </c>
      <c r="D1323">
        <v>11.039126825188614</v>
      </c>
      <c r="E1323">
        <v>5.2570577394460631</v>
      </c>
      <c r="F1323">
        <v>17.95077975290145</v>
      </c>
    </row>
    <row r="1324" spans="1:6" x14ac:dyDescent="0.25">
      <c r="A1324">
        <v>35440</v>
      </c>
      <c r="B1324">
        <v>1997</v>
      </c>
      <c r="C1324">
        <v>6.7959087239002764</v>
      </c>
      <c r="D1324">
        <v>11.039126825188614</v>
      </c>
      <c r="E1324">
        <v>5.2570577394460631</v>
      </c>
      <c r="F1324">
        <v>17.95077975290145</v>
      </c>
    </row>
    <row r="1325" spans="1:6" x14ac:dyDescent="0.25">
      <c r="A1325">
        <v>35433</v>
      </c>
      <c r="B1325">
        <v>1997</v>
      </c>
      <c r="C1325">
        <v>6.6506969990306137</v>
      </c>
      <c r="D1325">
        <v>11.039126825188614</v>
      </c>
      <c r="E1325">
        <v>5.2570577394460631</v>
      </c>
      <c r="F1325">
        <v>17.95077975290145</v>
      </c>
    </row>
    <row r="1326" spans="1:6" x14ac:dyDescent="0.25">
      <c r="A1326">
        <v>35426</v>
      </c>
      <c r="B1326">
        <v>1996</v>
      </c>
      <c r="C1326">
        <v>5.7611885064143618</v>
      </c>
      <c r="D1326">
        <v>11.039126825188614</v>
      </c>
      <c r="E1326">
        <v>5.2570577394460631</v>
      </c>
      <c r="F1326">
        <v>17.95077975290145</v>
      </c>
    </row>
    <row r="1327" spans="1:6" x14ac:dyDescent="0.25">
      <c r="A1327">
        <v>35419</v>
      </c>
      <c r="B1327">
        <v>1996</v>
      </c>
      <c r="C1327">
        <v>6.1651742858275638</v>
      </c>
      <c r="D1327">
        <v>11.039126825188614</v>
      </c>
      <c r="E1327">
        <v>5.2570577394460631</v>
      </c>
      <c r="F1327">
        <v>17.95077975290145</v>
      </c>
    </row>
    <row r="1328" spans="1:6" x14ac:dyDescent="0.25">
      <c r="A1328">
        <v>35412</v>
      </c>
      <c r="B1328">
        <v>1996</v>
      </c>
      <c r="C1328">
        <v>5.9807459952258863</v>
      </c>
      <c r="D1328">
        <v>11.039126825188614</v>
      </c>
      <c r="E1328">
        <v>5.2570577394460631</v>
      </c>
      <c r="F1328">
        <v>17.95077975290145</v>
      </c>
    </row>
    <row r="1329" spans="1:6" x14ac:dyDescent="0.25">
      <c r="A1329">
        <v>35405</v>
      </c>
      <c r="B1329">
        <v>1996</v>
      </c>
      <c r="C1329">
        <v>6.4549901710587747</v>
      </c>
      <c r="D1329">
        <v>11.039126825188614</v>
      </c>
      <c r="E1329">
        <v>5.2570577394460631</v>
      </c>
      <c r="F1329">
        <v>17.95077975290145</v>
      </c>
    </row>
    <row r="1330" spans="1:6" x14ac:dyDescent="0.25">
      <c r="A1330">
        <v>35398</v>
      </c>
      <c r="B1330">
        <v>1996</v>
      </c>
      <c r="C1330">
        <v>6.244214981799713</v>
      </c>
      <c r="D1330">
        <v>11.039126825188614</v>
      </c>
      <c r="E1330">
        <v>5.2570577394460631</v>
      </c>
      <c r="F1330">
        <v>17.95077975290145</v>
      </c>
    </row>
    <row r="1331" spans="1:6" x14ac:dyDescent="0.25">
      <c r="A1331">
        <v>35391</v>
      </c>
      <c r="B1331">
        <v>1996</v>
      </c>
      <c r="C1331">
        <v>6.296908779114478</v>
      </c>
      <c r="D1331">
        <v>11.039126825188614</v>
      </c>
      <c r="E1331">
        <v>5.2570577394460631</v>
      </c>
      <c r="F1331">
        <v>17.95077975290145</v>
      </c>
    </row>
    <row r="1332" spans="1:6" x14ac:dyDescent="0.25">
      <c r="A1332">
        <v>35384</v>
      </c>
      <c r="B1332">
        <v>1996</v>
      </c>
      <c r="C1332">
        <v>6.1827388849324851</v>
      </c>
      <c r="D1332">
        <v>11.039126825188614</v>
      </c>
      <c r="E1332">
        <v>5.2570577394460631</v>
      </c>
      <c r="F1332">
        <v>17.95077975290145</v>
      </c>
    </row>
    <row r="1333" spans="1:6" x14ac:dyDescent="0.25">
      <c r="A1333">
        <v>35377</v>
      </c>
      <c r="B1333">
        <v>1996</v>
      </c>
      <c r="C1333">
        <v>5.8138823037291276</v>
      </c>
      <c r="D1333">
        <v>11.039126825188614</v>
      </c>
      <c r="E1333">
        <v>5.2570577394460631</v>
      </c>
      <c r="F1333">
        <v>17.95077975290145</v>
      </c>
    </row>
    <row r="1334" spans="1:6" x14ac:dyDescent="0.25">
      <c r="A1334">
        <v>35370</v>
      </c>
      <c r="B1334">
        <v>1996</v>
      </c>
      <c r="C1334">
        <v>5.840229202386511</v>
      </c>
      <c r="D1334">
        <v>11.039126825188614</v>
      </c>
      <c r="E1334">
        <v>5.2570577394460631</v>
      </c>
      <c r="F1334">
        <v>17.95077975290145</v>
      </c>
    </row>
    <row r="1335" spans="1:6" x14ac:dyDescent="0.25">
      <c r="A1335">
        <v>35363</v>
      </c>
      <c r="B1335">
        <v>1996</v>
      </c>
      <c r="C1335">
        <v>6.1212627880652599</v>
      </c>
      <c r="D1335">
        <v>11.039126825188614</v>
      </c>
      <c r="E1335">
        <v>5.2570577394460631</v>
      </c>
      <c r="F1335">
        <v>17.95077975290145</v>
      </c>
    </row>
    <row r="1336" spans="1:6" x14ac:dyDescent="0.25">
      <c r="A1336">
        <v>35356</v>
      </c>
      <c r="B1336">
        <v>1996</v>
      </c>
      <c r="C1336">
        <v>6.2617795809046344</v>
      </c>
      <c r="D1336">
        <v>11.039126825188614</v>
      </c>
      <c r="E1336">
        <v>5.2570577394460631</v>
      </c>
      <c r="F1336">
        <v>17.95077975290145</v>
      </c>
    </row>
    <row r="1337" spans="1:6" x14ac:dyDescent="0.25">
      <c r="A1337">
        <v>35349</v>
      </c>
      <c r="B1337">
        <v>1996</v>
      </c>
      <c r="C1337">
        <v>6.3320379773243216</v>
      </c>
      <c r="D1337">
        <v>11.039126825188614</v>
      </c>
      <c r="E1337">
        <v>5.2570577394460631</v>
      </c>
      <c r="F1337">
        <v>17.95077975290145</v>
      </c>
    </row>
    <row r="1338" spans="1:6" x14ac:dyDescent="0.25">
      <c r="A1338">
        <v>35342</v>
      </c>
      <c r="B1338">
        <v>1996</v>
      </c>
      <c r="C1338">
        <v>6.2178680831423296</v>
      </c>
      <c r="D1338">
        <v>11.039126825188614</v>
      </c>
      <c r="E1338">
        <v>5.2570577394460631</v>
      </c>
      <c r="F1338">
        <v>17.95077975290145</v>
      </c>
    </row>
    <row r="1339" spans="1:6" x14ac:dyDescent="0.25">
      <c r="A1339">
        <v>35335</v>
      </c>
      <c r="B1339">
        <v>1996</v>
      </c>
      <c r="C1339">
        <v>6.1036981889603368</v>
      </c>
      <c r="D1339">
        <v>11.039126825188614</v>
      </c>
      <c r="E1339">
        <v>5.2570577394460631</v>
      </c>
      <c r="F1339">
        <v>17.95077975290145</v>
      </c>
    </row>
    <row r="1340" spans="1:6" x14ac:dyDescent="0.25">
      <c r="A1340">
        <v>35328</v>
      </c>
      <c r="B1340">
        <v>1996</v>
      </c>
      <c r="C1340">
        <v>5.9104875988061973</v>
      </c>
      <c r="D1340">
        <v>11.039126825188614</v>
      </c>
      <c r="E1340">
        <v>5.2570577394460631</v>
      </c>
      <c r="F1340">
        <v>17.95077975290145</v>
      </c>
    </row>
    <row r="1341" spans="1:6" x14ac:dyDescent="0.25">
      <c r="A1341">
        <v>35321</v>
      </c>
      <c r="B1341">
        <v>1996</v>
      </c>
      <c r="C1341">
        <v>6.0422220920931125</v>
      </c>
      <c r="D1341">
        <v>11.039126825188614</v>
      </c>
      <c r="E1341">
        <v>5.2570577394460631</v>
      </c>
      <c r="F1341">
        <v>17.95077975290145</v>
      </c>
    </row>
    <row r="1342" spans="1:6" x14ac:dyDescent="0.25">
      <c r="A1342">
        <v>35314</v>
      </c>
      <c r="B1342">
        <v>1996</v>
      </c>
      <c r="C1342">
        <v>5.8753584005963537</v>
      </c>
      <c r="D1342">
        <v>11.039126825188614</v>
      </c>
      <c r="E1342">
        <v>5.2570577394460631</v>
      </c>
      <c r="F1342">
        <v>17.95077975290145</v>
      </c>
    </row>
    <row r="1343" spans="1:6" x14ac:dyDescent="0.25">
      <c r="A1343">
        <v>35307</v>
      </c>
      <c r="B1343">
        <v>1996</v>
      </c>
      <c r="C1343">
        <v>5.5591956167077612</v>
      </c>
      <c r="D1343">
        <v>11.039126825188614</v>
      </c>
      <c r="E1343">
        <v>5.2570577394460631</v>
      </c>
      <c r="F1343">
        <v>17.95077975290145</v>
      </c>
    </row>
    <row r="1344" spans="1:6" x14ac:dyDescent="0.25">
      <c r="A1344">
        <v>35300</v>
      </c>
      <c r="B1344">
        <v>1996</v>
      </c>
      <c r="C1344">
        <v>5.5943248149176039</v>
      </c>
      <c r="D1344">
        <v>11.039126825188614</v>
      </c>
      <c r="E1344">
        <v>5.2570577394460631</v>
      </c>
      <c r="F1344">
        <v>17.95077975290145</v>
      </c>
    </row>
    <row r="1345" spans="1:6" x14ac:dyDescent="0.25">
      <c r="A1345">
        <v>35293</v>
      </c>
      <c r="B1345">
        <v>1996</v>
      </c>
      <c r="C1345">
        <v>5.4274611234208479</v>
      </c>
      <c r="D1345">
        <v>11.039126825188614</v>
      </c>
      <c r="E1345">
        <v>5.2570577394460631</v>
      </c>
      <c r="F1345">
        <v>17.95077975290145</v>
      </c>
    </row>
    <row r="1346" spans="1:6" x14ac:dyDescent="0.25">
      <c r="A1346">
        <v>35286</v>
      </c>
      <c r="B1346">
        <v>1996</v>
      </c>
      <c r="C1346">
        <v>5.146427537742098</v>
      </c>
      <c r="D1346">
        <v>11.039126825188614</v>
      </c>
      <c r="E1346">
        <v>5.2570577394460631</v>
      </c>
      <c r="F1346">
        <v>17.95077975290145</v>
      </c>
    </row>
    <row r="1347" spans="1:6" x14ac:dyDescent="0.25">
      <c r="A1347">
        <v>35279</v>
      </c>
      <c r="B1347">
        <v>1996</v>
      </c>
      <c r="C1347">
        <v>4.9795638462453402</v>
      </c>
      <c r="D1347">
        <v>11.039126825188614</v>
      </c>
      <c r="E1347">
        <v>5.2570577394460631</v>
      </c>
      <c r="F1347">
        <v>17.95077975290145</v>
      </c>
    </row>
    <row r="1348" spans="1:6" x14ac:dyDescent="0.25">
      <c r="A1348">
        <v>35272</v>
      </c>
      <c r="B1348">
        <v>1996</v>
      </c>
      <c r="C1348">
        <v>4.8566116525108871</v>
      </c>
      <c r="D1348">
        <v>11.039126825188614</v>
      </c>
      <c r="E1348">
        <v>5.2570577394460631</v>
      </c>
      <c r="F1348">
        <v>17.95077975290145</v>
      </c>
    </row>
    <row r="1349" spans="1:6" x14ac:dyDescent="0.25">
      <c r="A1349">
        <v>35265</v>
      </c>
      <c r="B1349">
        <v>1996</v>
      </c>
      <c r="C1349">
        <v>4.9619992471404171</v>
      </c>
      <c r="D1349">
        <v>11.039126825188614</v>
      </c>
      <c r="E1349">
        <v>5.2570577394460631</v>
      </c>
      <c r="F1349">
        <v>17.95077975290145</v>
      </c>
    </row>
    <row r="1350" spans="1:6" x14ac:dyDescent="0.25">
      <c r="A1350">
        <v>35258</v>
      </c>
      <c r="B1350">
        <v>1996</v>
      </c>
      <c r="C1350">
        <v>4.8917408507207316</v>
      </c>
      <c r="D1350">
        <v>11.039126825188614</v>
      </c>
      <c r="E1350">
        <v>5.2570577394460631</v>
      </c>
      <c r="F1350">
        <v>17.95077975290145</v>
      </c>
    </row>
    <row r="1351" spans="1:6" x14ac:dyDescent="0.25">
      <c r="A1351">
        <v>35251</v>
      </c>
      <c r="B1351">
        <v>1996</v>
      </c>
      <c r="C1351">
        <v>4.7951355556436619</v>
      </c>
      <c r="D1351">
        <v>11.039126825188614</v>
      </c>
      <c r="E1351">
        <v>5.2570577394460631</v>
      </c>
      <c r="F1351">
        <v>17.95077975290145</v>
      </c>
    </row>
    <row r="1352" spans="1:6" x14ac:dyDescent="0.25">
      <c r="A1352">
        <v>35244</v>
      </c>
      <c r="B1352">
        <v>1996</v>
      </c>
      <c r="C1352">
        <v>4.5931426659370596</v>
      </c>
      <c r="D1352">
        <v>11.039126825188614</v>
      </c>
      <c r="E1352">
        <v>5.2570577394460631</v>
      </c>
      <c r="F1352">
        <v>17.95077975290145</v>
      </c>
    </row>
    <row r="1353" spans="1:6" x14ac:dyDescent="0.25">
      <c r="A1353">
        <v>35237</v>
      </c>
      <c r="B1353">
        <v>1996</v>
      </c>
      <c r="C1353">
        <v>4.5316665690698343</v>
      </c>
      <c r="D1353">
        <v>11.039126825188614</v>
      </c>
      <c r="E1353">
        <v>5.2570577394460631</v>
      </c>
      <c r="F1353">
        <v>17.95077975290145</v>
      </c>
    </row>
    <row r="1354" spans="1:6" x14ac:dyDescent="0.25">
      <c r="A1354">
        <v>35230</v>
      </c>
      <c r="B1354">
        <v>1996</v>
      </c>
      <c r="C1354">
        <v>4.4701904722026073</v>
      </c>
      <c r="D1354">
        <v>11.039126825188614</v>
      </c>
      <c r="E1354">
        <v>5.2570577394460631</v>
      </c>
      <c r="F1354">
        <v>17.95077975290145</v>
      </c>
    </row>
    <row r="1355" spans="1:6" x14ac:dyDescent="0.25">
      <c r="A1355">
        <v>35223</v>
      </c>
      <c r="B1355">
        <v>1996</v>
      </c>
      <c r="C1355">
        <v>4.5404488686222946</v>
      </c>
      <c r="D1355">
        <v>11.039126825188614</v>
      </c>
      <c r="E1355">
        <v>5.2570577394460631</v>
      </c>
      <c r="F1355">
        <v>17.95077975290145</v>
      </c>
    </row>
    <row r="1356" spans="1:6" x14ac:dyDescent="0.25">
      <c r="A1356">
        <v>35216</v>
      </c>
      <c r="B1356">
        <v>1996</v>
      </c>
      <c r="C1356">
        <v>4.6194895645944429</v>
      </c>
      <c r="D1356">
        <v>11.039126825188614</v>
      </c>
      <c r="E1356">
        <v>5.2570577394460631</v>
      </c>
      <c r="F1356">
        <v>17.95077975290145</v>
      </c>
    </row>
    <row r="1357" spans="1:6" x14ac:dyDescent="0.25">
      <c r="A1357">
        <v>35209</v>
      </c>
      <c r="B1357">
        <v>1996</v>
      </c>
      <c r="C1357">
        <v>4.7248771592239729</v>
      </c>
      <c r="D1357">
        <v>11.039126825188614</v>
      </c>
      <c r="E1357">
        <v>5.2570577394460631</v>
      </c>
      <c r="F1357">
        <v>17.95077975290145</v>
      </c>
    </row>
    <row r="1358" spans="1:6" x14ac:dyDescent="0.25">
      <c r="A1358">
        <v>35202</v>
      </c>
      <c r="B1358">
        <v>1996</v>
      </c>
      <c r="C1358">
        <v>4.918087749378115</v>
      </c>
      <c r="D1358">
        <v>11.039126825188614</v>
      </c>
      <c r="E1358">
        <v>5.2570577394460631</v>
      </c>
      <c r="F1358">
        <v>17.95077975290145</v>
      </c>
    </row>
    <row r="1359" spans="1:6" x14ac:dyDescent="0.25">
      <c r="A1359">
        <v>35195</v>
      </c>
      <c r="B1359">
        <v>1996</v>
      </c>
      <c r="C1359">
        <v>5.1815567359519408</v>
      </c>
      <c r="D1359">
        <v>11.039126825188614</v>
      </c>
      <c r="E1359">
        <v>5.2570577394460631</v>
      </c>
      <c r="F1359">
        <v>17.95077975290145</v>
      </c>
    </row>
    <row r="1360" spans="1:6" x14ac:dyDescent="0.25">
      <c r="A1360">
        <v>35188</v>
      </c>
      <c r="B1360">
        <v>1996</v>
      </c>
      <c r="C1360">
        <v>5.0586045422174886</v>
      </c>
      <c r="D1360">
        <v>11.039126825188614</v>
      </c>
      <c r="E1360">
        <v>5.2570577394460631</v>
      </c>
      <c r="F1360">
        <v>17.95077975290145</v>
      </c>
    </row>
    <row r="1361" spans="1:6" x14ac:dyDescent="0.25">
      <c r="A1361">
        <v>35181</v>
      </c>
      <c r="B1361">
        <v>1996</v>
      </c>
      <c r="C1361">
        <v>5.1376452381896369</v>
      </c>
      <c r="D1361">
        <v>11.039126825188614</v>
      </c>
      <c r="E1361">
        <v>5.2570577394460631</v>
      </c>
      <c r="F1361">
        <v>17.95077975290145</v>
      </c>
    </row>
    <row r="1362" spans="1:6" x14ac:dyDescent="0.25">
      <c r="A1362">
        <v>35174</v>
      </c>
      <c r="B1362">
        <v>1996</v>
      </c>
      <c r="C1362">
        <v>5.2079036346093242</v>
      </c>
      <c r="D1362">
        <v>11.039126825188614</v>
      </c>
      <c r="E1362">
        <v>5.2570577394460631</v>
      </c>
      <c r="F1362">
        <v>17.95077975290145</v>
      </c>
    </row>
    <row r="1363" spans="1:6" x14ac:dyDescent="0.25">
      <c r="A1363">
        <v>35167</v>
      </c>
      <c r="B1363">
        <v>1996</v>
      </c>
      <c r="C1363">
        <v>5.9192698983586594</v>
      </c>
      <c r="D1363">
        <v>11.039126825188614</v>
      </c>
      <c r="E1363">
        <v>5.2570577394460631</v>
      </c>
      <c r="F1363">
        <v>17.95077975290145</v>
      </c>
    </row>
    <row r="1364" spans="1:6" x14ac:dyDescent="0.25">
      <c r="A1364">
        <v>35160</v>
      </c>
      <c r="B1364">
        <v>1996</v>
      </c>
      <c r="C1364">
        <v>5.5152841189454564</v>
      </c>
      <c r="D1364">
        <v>11.039126825188614</v>
      </c>
      <c r="E1364">
        <v>5.2570577394460631</v>
      </c>
      <c r="F1364">
        <v>17.95077975290145</v>
      </c>
    </row>
    <row r="1365" spans="1:6" x14ac:dyDescent="0.25">
      <c r="A1365">
        <v>35153</v>
      </c>
      <c r="B1365">
        <v>1996</v>
      </c>
      <c r="C1365">
        <v>5.4362434229733081</v>
      </c>
      <c r="D1365">
        <v>11.039126825188614</v>
      </c>
      <c r="E1365">
        <v>5.2570577394460631</v>
      </c>
      <c r="F1365">
        <v>17.95077975290145</v>
      </c>
    </row>
    <row r="1366" spans="1:6" x14ac:dyDescent="0.25">
      <c r="A1366">
        <v>35146</v>
      </c>
      <c r="B1366">
        <v>1996</v>
      </c>
      <c r="C1366">
        <v>5.5679779162602223</v>
      </c>
      <c r="D1366">
        <v>11.039126825188614</v>
      </c>
      <c r="E1366">
        <v>5.2570577394460631</v>
      </c>
      <c r="F1366">
        <v>17.95077975290145</v>
      </c>
    </row>
    <row r="1367" spans="1:6" x14ac:dyDescent="0.25">
      <c r="A1367">
        <v>35139</v>
      </c>
      <c r="B1367">
        <v>1996</v>
      </c>
      <c r="C1367">
        <v>4.9619992471404171</v>
      </c>
      <c r="D1367">
        <v>11.039126825188614</v>
      </c>
      <c r="E1367">
        <v>5.2570577394460631</v>
      </c>
      <c r="F1367">
        <v>17.95077975290145</v>
      </c>
    </row>
    <row r="1368" spans="1:6" x14ac:dyDescent="0.25">
      <c r="A1368">
        <v>35132</v>
      </c>
      <c r="B1368">
        <v>1996</v>
      </c>
      <c r="C1368">
        <v>4.6985302605665922</v>
      </c>
      <c r="D1368">
        <v>11.039126825188614</v>
      </c>
      <c r="E1368">
        <v>5.2570577394460631</v>
      </c>
      <c r="F1368">
        <v>17.95077975290145</v>
      </c>
    </row>
    <row r="1369" spans="1:6" x14ac:dyDescent="0.25">
      <c r="A1369">
        <v>35125</v>
      </c>
      <c r="B1369">
        <v>1996</v>
      </c>
      <c r="C1369">
        <v>5.2605974319240891</v>
      </c>
      <c r="D1369">
        <v>11.039126825188614</v>
      </c>
      <c r="E1369">
        <v>5.2570577394460631</v>
      </c>
      <c r="F1369">
        <v>17.95077975290145</v>
      </c>
    </row>
    <row r="1370" spans="1:6" x14ac:dyDescent="0.25">
      <c r="A1370">
        <v>35118</v>
      </c>
      <c r="B1370">
        <v>1996</v>
      </c>
      <c r="C1370">
        <v>4.8917408507207316</v>
      </c>
      <c r="D1370">
        <v>11.039126825188614</v>
      </c>
      <c r="E1370">
        <v>5.2570577394460631</v>
      </c>
      <c r="F1370">
        <v>17.95077975290145</v>
      </c>
    </row>
    <row r="1371" spans="1:6" x14ac:dyDescent="0.25">
      <c r="A1371">
        <v>35111</v>
      </c>
      <c r="B1371">
        <v>1996</v>
      </c>
      <c r="C1371">
        <v>4.8917408507207316</v>
      </c>
      <c r="D1371">
        <v>11.039126825188614</v>
      </c>
      <c r="E1371">
        <v>5.2570577394460631</v>
      </c>
      <c r="F1371">
        <v>17.95077975290145</v>
      </c>
    </row>
    <row r="1372" spans="1:6" x14ac:dyDescent="0.25">
      <c r="A1372">
        <v>35104</v>
      </c>
      <c r="B1372">
        <v>1996</v>
      </c>
      <c r="C1372">
        <v>4.5843603663845993</v>
      </c>
      <c r="D1372">
        <v>11.039126825188614</v>
      </c>
      <c r="E1372">
        <v>5.2570577394460631</v>
      </c>
      <c r="F1372">
        <v>17.95077975290145</v>
      </c>
    </row>
    <row r="1373" spans="1:6" x14ac:dyDescent="0.25">
      <c r="A1373">
        <v>35097</v>
      </c>
      <c r="B1373">
        <v>1996</v>
      </c>
      <c r="C1373">
        <v>4.5404488686222946</v>
      </c>
      <c r="D1373">
        <v>11.039126825188614</v>
      </c>
      <c r="E1373">
        <v>5.2570577394460631</v>
      </c>
      <c r="F1373">
        <v>17.95077975290145</v>
      </c>
    </row>
    <row r="1374" spans="1:6" x14ac:dyDescent="0.25">
      <c r="A1374">
        <v>35090</v>
      </c>
      <c r="B1374">
        <v>1996</v>
      </c>
      <c r="C1374">
        <v>4.5404488686222946</v>
      </c>
      <c r="D1374">
        <v>11.039126825188614</v>
      </c>
      <c r="E1374">
        <v>5.2570577394460631</v>
      </c>
      <c r="F1374">
        <v>17.95077975290145</v>
      </c>
    </row>
    <row r="1375" spans="1:6" x14ac:dyDescent="0.25">
      <c r="A1375">
        <v>35083</v>
      </c>
      <c r="B1375">
        <v>1996</v>
      </c>
      <c r="C1375">
        <v>4.6897479610141302</v>
      </c>
      <c r="D1375">
        <v>11.039126825188614</v>
      </c>
      <c r="E1375">
        <v>5.2570577394460631</v>
      </c>
      <c r="F1375">
        <v>17.95077975290145</v>
      </c>
    </row>
    <row r="1376" spans="1:6" x14ac:dyDescent="0.25">
      <c r="A1376">
        <v>35076</v>
      </c>
      <c r="B1376">
        <v>1996</v>
      </c>
      <c r="C1376">
        <v>5.2079036346093242</v>
      </c>
      <c r="D1376">
        <v>11.039126825188614</v>
      </c>
      <c r="E1376">
        <v>5.2570577394460631</v>
      </c>
      <c r="F1376">
        <v>17.95077975290145</v>
      </c>
    </row>
    <row r="1377" spans="1:6" x14ac:dyDescent="0.25">
      <c r="A1377">
        <v>35069</v>
      </c>
      <c r="B1377">
        <v>1996</v>
      </c>
      <c r="C1377">
        <v>5.146427537742098</v>
      </c>
      <c r="D1377">
        <v>11.039126825188614</v>
      </c>
      <c r="E1377">
        <v>5.2570577394460631</v>
      </c>
      <c r="F1377">
        <v>17.95077975290145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8697-75EA-4B4C-9CC0-099CD7FAEF98}">
  <dimension ref="A1:H55"/>
  <sheetViews>
    <sheetView workbookViewId="0">
      <selection activeCell="K26" sqref="K26"/>
    </sheetView>
  </sheetViews>
  <sheetFormatPr baseColWidth="10" defaultRowHeight="15" x14ac:dyDescent="0.25"/>
  <cols>
    <col min="1" max="1" width="29.140625" customWidth="1"/>
    <col min="2" max="2" width="12.42578125" bestFit="1" customWidth="1"/>
    <col min="3" max="3" width="16.5703125" bestFit="1" customWidth="1"/>
    <col min="4" max="4" width="12.7109375" style="298" bestFit="1" customWidth="1"/>
    <col min="5" max="5" width="17.28515625" bestFit="1" customWidth="1"/>
    <col min="6" max="6" width="17.28515625" customWidth="1"/>
    <col min="7" max="7" width="18.5703125" bestFit="1" customWidth="1"/>
    <col min="8" max="8" width="27.85546875" style="297" bestFit="1" customWidth="1"/>
  </cols>
  <sheetData>
    <row r="1" spans="1:8" x14ac:dyDescent="0.25">
      <c r="A1" t="s">
        <v>610</v>
      </c>
      <c r="B1" t="s">
        <v>616</v>
      </c>
      <c r="C1" t="s">
        <v>617</v>
      </c>
      <c r="D1" s="298" t="s">
        <v>623</v>
      </c>
      <c r="E1" t="s">
        <v>618</v>
      </c>
      <c r="F1" t="s">
        <v>624</v>
      </c>
      <c r="G1" t="s">
        <v>619</v>
      </c>
      <c r="H1" s="297" t="s">
        <v>622</v>
      </c>
    </row>
    <row r="2" spans="1:8" x14ac:dyDescent="0.25">
      <c r="A2" t="s">
        <v>612</v>
      </c>
      <c r="B2" t="s">
        <v>591</v>
      </c>
      <c r="C2" t="s">
        <v>594</v>
      </c>
      <c r="D2" s="298">
        <v>248.19935457050659</v>
      </c>
      <c r="E2" t="s">
        <v>614</v>
      </c>
      <c r="F2" t="s">
        <v>625</v>
      </c>
      <c r="G2" t="s">
        <v>615</v>
      </c>
      <c r="H2" s="297">
        <v>31963283.648498319</v>
      </c>
    </row>
    <row r="3" spans="1:8" x14ac:dyDescent="0.25">
      <c r="A3" t="s">
        <v>612</v>
      </c>
      <c r="B3" t="s">
        <v>591</v>
      </c>
      <c r="C3" t="s">
        <v>626</v>
      </c>
      <c r="D3" s="298">
        <v>248.19935457050659</v>
      </c>
      <c r="E3" t="s">
        <v>614</v>
      </c>
      <c r="F3" t="s">
        <v>625</v>
      </c>
      <c r="G3" t="s">
        <v>615</v>
      </c>
      <c r="H3" s="297">
        <v>31963283.648498319</v>
      </c>
    </row>
    <row r="4" spans="1:8" x14ac:dyDescent="0.25">
      <c r="A4" t="s">
        <v>612</v>
      </c>
      <c r="B4" t="s">
        <v>591</v>
      </c>
      <c r="C4" t="s">
        <v>596</v>
      </c>
      <c r="D4" s="298">
        <v>248.19935457050701</v>
      </c>
      <c r="E4" t="s">
        <v>614</v>
      </c>
      <c r="F4" t="s">
        <v>625</v>
      </c>
      <c r="G4" t="s">
        <v>615</v>
      </c>
      <c r="H4" s="297">
        <v>31963283.6484983</v>
      </c>
    </row>
    <row r="5" spans="1:8" x14ac:dyDescent="0.25">
      <c r="A5" t="s">
        <v>612</v>
      </c>
      <c r="B5" t="s">
        <v>613</v>
      </c>
      <c r="C5" t="s">
        <v>594</v>
      </c>
      <c r="D5" s="298">
        <v>214.21316316166173</v>
      </c>
      <c r="E5" t="s">
        <v>614</v>
      </c>
      <c r="F5" t="s">
        <v>625</v>
      </c>
      <c r="G5" t="s">
        <v>615</v>
      </c>
      <c r="H5" s="297">
        <v>31963283.648498319</v>
      </c>
    </row>
    <row r="6" spans="1:8" x14ac:dyDescent="0.25">
      <c r="A6" t="s">
        <v>612</v>
      </c>
      <c r="B6" t="s">
        <v>613</v>
      </c>
      <c r="C6" t="s">
        <v>626</v>
      </c>
      <c r="D6" s="298">
        <v>214.21316316166173</v>
      </c>
      <c r="E6" t="s">
        <v>614</v>
      </c>
      <c r="F6" t="s">
        <v>625</v>
      </c>
      <c r="G6" t="s">
        <v>615</v>
      </c>
      <c r="H6" s="297">
        <v>31963283.648498319</v>
      </c>
    </row>
    <row r="7" spans="1:8" x14ac:dyDescent="0.25">
      <c r="A7" t="s">
        <v>612</v>
      </c>
      <c r="B7" t="s">
        <v>613</v>
      </c>
      <c r="C7" t="s">
        <v>596</v>
      </c>
      <c r="D7" s="298">
        <v>214.21316316166201</v>
      </c>
      <c r="E7" t="s">
        <v>614</v>
      </c>
      <c r="F7" t="s">
        <v>625</v>
      </c>
      <c r="G7" t="s">
        <v>615</v>
      </c>
      <c r="H7" s="297">
        <v>31963283.6484983</v>
      </c>
    </row>
    <row r="8" spans="1:8" x14ac:dyDescent="0.25">
      <c r="A8" t="s">
        <v>612</v>
      </c>
      <c r="B8" t="s">
        <v>593</v>
      </c>
      <c r="C8" t="s">
        <v>594</v>
      </c>
      <c r="D8" s="298">
        <v>190.04084291548995</v>
      </c>
      <c r="E8" t="s">
        <v>614</v>
      </c>
      <c r="F8" t="s">
        <v>625</v>
      </c>
      <c r="G8" t="s">
        <v>615</v>
      </c>
      <c r="H8" s="297">
        <v>31963283.648498319</v>
      </c>
    </row>
    <row r="9" spans="1:8" x14ac:dyDescent="0.25">
      <c r="A9" t="s">
        <v>612</v>
      </c>
      <c r="B9" t="s">
        <v>593</v>
      </c>
      <c r="C9" t="s">
        <v>626</v>
      </c>
      <c r="D9" s="298">
        <v>190.04084291548995</v>
      </c>
      <c r="E9" t="s">
        <v>614</v>
      </c>
      <c r="F9" t="s">
        <v>625</v>
      </c>
      <c r="G9" t="s">
        <v>615</v>
      </c>
      <c r="H9" s="297">
        <v>31963283.648498319</v>
      </c>
    </row>
    <row r="10" spans="1:8" x14ac:dyDescent="0.25">
      <c r="A10" t="s">
        <v>612</v>
      </c>
      <c r="B10" t="s">
        <v>593</v>
      </c>
      <c r="C10" t="s">
        <v>596</v>
      </c>
      <c r="D10" s="298">
        <v>190.04084291548995</v>
      </c>
      <c r="E10" t="s">
        <v>614</v>
      </c>
      <c r="F10" t="s">
        <v>625</v>
      </c>
      <c r="G10" t="s">
        <v>615</v>
      </c>
      <c r="H10" s="297">
        <v>31963283.648498319</v>
      </c>
    </row>
    <row r="11" spans="1:8" x14ac:dyDescent="0.25">
      <c r="A11" t="s">
        <v>611</v>
      </c>
      <c r="B11" t="s">
        <v>591</v>
      </c>
      <c r="C11" t="s">
        <v>594</v>
      </c>
      <c r="D11" s="298">
        <v>-2986.2338258938798</v>
      </c>
      <c r="E11" t="s">
        <v>614</v>
      </c>
      <c r="F11" t="s">
        <v>625</v>
      </c>
      <c r="G11" t="s">
        <v>615</v>
      </c>
      <c r="H11" s="297">
        <v>-20086298.044938833</v>
      </c>
    </row>
    <row r="12" spans="1:8" x14ac:dyDescent="0.25">
      <c r="A12" t="s">
        <v>611</v>
      </c>
      <c r="B12" t="s">
        <v>591</v>
      </c>
      <c r="C12" t="s">
        <v>626</v>
      </c>
      <c r="D12" s="298">
        <v>1192.3451606986368</v>
      </c>
      <c r="E12" t="s">
        <v>614</v>
      </c>
      <c r="F12" t="s">
        <v>625</v>
      </c>
      <c r="G12" t="s">
        <v>615</v>
      </c>
      <c r="H12" s="297">
        <v>50306223.932369284</v>
      </c>
    </row>
    <row r="13" spans="1:8" x14ac:dyDescent="0.25">
      <c r="A13" t="s">
        <v>611</v>
      </c>
      <c r="B13" t="s">
        <v>591</v>
      </c>
      <c r="C13" t="s">
        <v>596</v>
      </c>
      <c r="D13" s="298">
        <v>684.85941048392772</v>
      </c>
      <c r="E13" t="s">
        <v>614</v>
      </c>
      <c r="F13" t="s">
        <v>625</v>
      </c>
      <c r="G13" t="s">
        <v>615</v>
      </c>
      <c r="H13" s="297">
        <v>87583497.781535029</v>
      </c>
    </row>
    <row r="14" spans="1:8" x14ac:dyDescent="0.25">
      <c r="A14" t="s">
        <v>611</v>
      </c>
      <c r="B14" t="s">
        <v>613</v>
      </c>
      <c r="C14" t="s">
        <v>594</v>
      </c>
      <c r="D14" s="298">
        <v>-1768.4888854860515</v>
      </c>
      <c r="E14" t="s">
        <v>614</v>
      </c>
      <c r="F14" t="s">
        <v>625</v>
      </c>
      <c r="G14" t="s">
        <v>615</v>
      </c>
      <c r="H14" s="297">
        <v>-20086298.044938833</v>
      </c>
    </row>
    <row r="15" spans="1:8" x14ac:dyDescent="0.25">
      <c r="A15" t="s">
        <v>611</v>
      </c>
      <c r="B15" t="s">
        <v>613</v>
      </c>
      <c r="C15" t="s">
        <v>626</v>
      </c>
      <c r="D15" s="298">
        <v>706.1232600322013</v>
      </c>
      <c r="E15" t="s">
        <v>614</v>
      </c>
      <c r="F15" t="s">
        <v>625</v>
      </c>
      <c r="G15" t="s">
        <v>615</v>
      </c>
      <c r="H15" s="297">
        <v>50306223.932369284</v>
      </c>
    </row>
    <row r="16" spans="1:8" x14ac:dyDescent="0.25">
      <c r="A16" t="s">
        <v>611</v>
      </c>
      <c r="B16" t="s">
        <v>613</v>
      </c>
      <c r="C16" t="s">
        <v>596</v>
      </c>
      <c r="D16" s="298">
        <v>405.58319481188414</v>
      </c>
      <c r="E16" t="s">
        <v>614</v>
      </c>
      <c r="F16" t="s">
        <v>625</v>
      </c>
      <c r="G16" t="s">
        <v>615</v>
      </c>
      <c r="H16" s="297">
        <v>87583497.781535029</v>
      </c>
    </row>
    <row r="17" spans="1:8" x14ac:dyDescent="0.25">
      <c r="A17" t="s">
        <v>611</v>
      </c>
      <c r="B17" t="s">
        <v>593</v>
      </c>
      <c r="C17" t="s">
        <v>594</v>
      </c>
      <c r="D17" s="298">
        <v>-1508.103003853711</v>
      </c>
      <c r="E17" t="s">
        <v>614</v>
      </c>
      <c r="F17" t="s">
        <v>625</v>
      </c>
      <c r="G17" t="s">
        <v>615</v>
      </c>
      <c r="H17" s="297">
        <v>-20086298.044938833</v>
      </c>
    </row>
    <row r="18" spans="1:8" x14ac:dyDescent="0.25">
      <c r="A18" t="s">
        <v>611</v>
      </c>
      <c r="B18" t="s">
        <v>593</v>
      </c>
      <c r="C18" t="s">
        <v>626</v>
      </c>
      <c r="D18" s="298">
        <v>602.1562353516623</v>
      </c>
      <c r="E18" t="s">
        <v>614</v>
      </c>
      <c r="F18" t="s">
        <v>625</v>
      </c>
      <c r="G18" t="s">
        <v>615</v>
      </c>
      <c r="H18" s="297">
        <v>50306223.932369284</v>
      </c>
    </row>
    <row r="19" spans="1:8" x14ac:dyDescent="0.25">
      <c r="A19" t="s">
        <v>611</v>
      </c>
      <c r="B19" t="s">
        <v>593</v>
      </c>
      <c r="C19" t="s">
        <v>596</v>
      </c>
      <c r="D19" s="298">
        <v>345.86659799124402</v>
      </c>
      <c r="E19" t="s">
        <v>614</v>
      </c>
      <c r="F19" t="s">
        <v>625</v>
      </c>
      <c r="G19" t="s">
        <v>615</v>
      </c>
      <c r="H19" s="297">
        <v>87583497.781535029</v>
      </c>
    </row>
    <row r="20" spans="1:8" x14ac:dyDescent="0.25">
      <c r="A20" t="s">
        <v>10</v>
      </c>
      <c r="B20" t="s">
        <v>591</v>
      </c>
      <c r="C20" t="s">
        <v>594</v>
      </c>
      <c r="D20" s="298">
        <v>2138.4591698485051</v>
      </c>
      <c r="E20" t="s">
        <v>614</v>
      </c>
      <c r="F20" t="s">
        <v>625</v>
      </c>
      <c r="G20" t="s">
        <v>615</v>
      </c>
      <c r="H20" s="297">
        <v>116847359.99999996</v>
      </c>
    </row>
    <row r="21" spans="1:8" x14ac:dyDescent="0.25">
      <c r="A21" t="s">
        <v>10</v>
      </c>
      <c r="B21" t="s">
        <v>591</v>
      </c>
      <c r="C21" t="s">
        <v>626</v>
      </c>
      <c r="D21" s="298">
        <v>1137.2152810755051</v>
      </c>
      <c r="E21" t="s">
        <v>614</v>
      </c>
      <c r="F21" t="s">
        <v>625</v>
      </c>
      <c r="G21" t="s">
        <v>615</v>
      </c>
      <c r="H21" s="297">
        <v>219723839.99999994</v>
      </c>
    </row>
    <row r="22" spans="1:8" x14ac:dyDescent="0.25">
      <c r="A22" t="s">
        <v>10</v>
      </c>
      <c r="B22" t="s">
        <v>591</v>
      </c>
      <c r="C22" t="s">
        <v>596</v>
      </c>
      <c r="D22" s="298">
        <v>741.01033380814465</v>
      </c>
      <c r="E22" t="s">
        <v>614</v>
      </c>
      <c r="F22" t="s">
        <v>625</v>
      </c>
      <c r="G22" t="s">
        <v>615</v>
      </c>
      <c r="H22" s="297">
        <v>337206239.99999994</v>
      </c>
    </row>
    <row r="23" spans="1:8" x14ac:dyDescent="0.25">
      <c r="A23" t="s">
        <v>10</v>
      </c>
      <c r="B23" t="s">
        <v>613</v>
      </c>
      <c r="C23" t="s">
        <v>594</v>
      </c>
      <c r="D23" s="298">
        <v>1585.811060475429</v>
      </c>
      <c r="E23" t="s">
        <v>614</v>
      </c>
      <c r="F23" t="s">
        <v>625</v>
      </c>
      <c r="G23" t="s">
        <v>615</v>
      </c>
      <c r="H23" s="297">
        <v>116847359.99999996</v>
      </c>
    </row>
    <row r="24" spans="1:8" x14ac:dyDescent="0.25">
      <c r="A24" t="s">
        <v>10</v>
      </c>
      <c r="B24" t="s">
        <v>613</v>
      </c>
      <c r="C24" t="s">
        <v>626</v>
      </c>
      <c r="D24" s="298">
        <v>843.3214888077423</v>
      </c>
      <c r="E24" t="s">
        <v>614</v>
      </c>
      <c r="F24" t="s">
        <v>625</v>
      </c>
      <c r="G24" t="s">
        <v>615</v>
      </c>
      <c r="H24" s="297">
        <v>219723839.99999994</v>
      </c>
    </row>
    <row r="25" spans="1:8" x14ac:dyDescent="0.25">
      <c r="A25" t="s">
        <v>10</v>
      </c>
      <c r="B25" t="s">
        <v>613</v>
      </c>
      <c r="C25" t="s">
        <v>596</v>
      </c>
      <c r="D25" s="298">
        <v>549.50891737754966</v>
      </c>
      <c r="E25" t="s">
        <v>614</v>
      </c>
      <c r="F25" t="s">
        <v>625</v>
      </c>
      <c r="G25" t="s">
        <v>615</v>
      </c>
      <c r="H25" s="297">
        <v>337206239.99999994</v>
      </c>
    </row>
    <row r="26" spans="1:8" x14ac:dyDescent="0.25">
      <c r="A26" t="s">
        <v>10</v>
      </c>
      <c r="B26" t="s">
        <v>593</v>
      </c>
      <c r="C26" t="s">
        <v>594</v>
      </c>
      <c r="D26" s="298">
        <v>898.36956521739194</v>
      </c>
      <c r="E26" t="s">
        <v>614</v>
      </c>
      <c r="F26" t="s">
        <v>625</v>
      </c>
      <c r="G26" t="s">
        <v>615</v>
      </c>
      <c r="H26" s="297">
        <v>116847359.99999996</v>
      </c>
    </row>
    <row r="27" spans="1:8" x14ac:dyDescent="0.25">
      <c r="A27" t="s">
        <v>10</v>
      </c>
      <c r="B27" t="s">
        <v>593</v>
      </c>
      <c r="C27" t="s">
        <v>626</v>
      </c>
      <c r="D27" s="298">
        <v>477.74566473988455</v>
      </c>
      <c r="E27" t="s">
        <v>614</v>
      </c>
      <c r="F27" t="s">
        <v>625</v>
      </c>
      <c r="G27" t="s">
        <v>615</v>
      </c>
      <c r="H27" s="297">
        <v>219723839.99999994</v>
      </c>
    </row>
    <row r="28" spans="1:8" x14ac:dyDescent="0.25">
      <c r="A28" t="s">
        <v>10</v>
      </c>
      <c r="B28" t="s">
        <v>593</v>
      </c>
      <c r="C28" t="s">
        <v>596</v>
      </c>
      <c r="D28" s="298">
        <v>311.29943502824869</v>
      </c>
      <c r="E28" t="s">
        <v>614</v>
      </c>
      <c r="F28" t="s">
        <v>625</v>
      </c>
      <c r="G28" t="s">
        <v>615</v>
      </c>
      <c r="H28" s="297">
        <v>337206239.99999994</v>
      </c>
    </row>
    <row r="29" spans="1:8" x14ac:dyDescent="0.25">
      <c r="A29" t="s">
        <v>620</v>
      </c>
      <c r="B29" t="s">
        <v>591</v>
      </c>
      <c r="C29" t="s">
        <v>594</v>
      </c>
      <c r="D29" s="298">
        <v>388.32621116819502</v>
      </c>
      <c r="E29" t="s">
        <v>614</v>
      </c>
      <c r="F29" t="s">
        <v>625</v>
      </c>
      <c r="G29" t="s">
        <v>615</v>
      </c>
      <c r="H29" s="297">
        <v>156733500</v>
      </c>
    </row>
    <row r="30" spans="1:8" x14ac:dyDescent="0.25">
      <c r="A30" t="s">
        <v>620</v>
      </c>
      <c r="B30" t="s">
        <v>591</v>
      </c>
      <c r="C30" t="s">
        <v>626</v>
      </c>
      <c r="D30" s="298">
        <v>388.32621116819524</v>
      </c>
      <c r="E30" t="s">
        <v>614</v>
      </c>
      <c r="F30" t="s">
        <v>625</v>
      </c>
      <c r="G30" t="s">
        <v>615</v>
      </c>
      <c r="H30" s="297">
        <v>156733500.00000003</v>
      </c>
    </row>
    <row r="31" spans="1:8" x14ac:dyDescent="0.25">
      <c r="A31" t="s">
        <v>620</v>
      </c>
      <c r="B31" t="s">
        <v>591</v>
      </c>
      <c r="C31" t="s">
        <v>596</v>
      </c>
      <c r="D31" s="298">
        <v>388.32621116819524</v>
      </c>
      <c r="E31" t="s">
        <v>614</v>
      </c>
      <c r="F31" t="s">
        <v>625</v>
      </c>
      <c r="G31" t="s">
        <v>615</v>
      </c>
      <c r="H31" s="297">
        <v>156733500.00000003</v>
      </c>
    </row>
    <row r="32" spans="1:8" x14ac:dyDescent="0.25">
      <c r="A32" t="s">
        <v>620</v>
      </c>
      <c r="B32" t="s">
        <v>613</v>
      </c>
      <c r="C32" t="s">
        <v>594</v>
      </c>
      <c r="D32" s="298">
        <v>305.39155903394646</v>
      </c>
      <c r="E32" t="s">
        <v>614</v>
      </c>
      <c r="F32" t="s">
        <v>625</v>
      </c>
      <c r="G32" t="s">
        <v>615</v>
      </c>
      <c r="H32" s="297">
        <v>156733500.00000003</v>
      </c>
    </row>
    <row r="33" spans="1:8" x14ac:dyDescent="0.25">
      <c r="A33" t="s">
        <v>620</v>
      </c>
      <c r="B33" t="s">
        <v>613</v>
      </c>
      <c r="C33" t="s">
        <v>626</v>
      </c>
      <c r="D33" s="298">
        <v>305.39155903394646</v>
      </c>
      <c r="E33" t="s">
        <v>614</v>
      </c>
      <c r="F33" t="s">
        <v>625</v>
      </c>
      <c r="G33" t="s">
        <v>615</v>
      </c>
      <c r="H33" s="297">
        <v>156733500.00000003</v>
      </c>
    </row>
    <row r="34" spans="1:8" x14ac:dyDescent="0.25">
      <c r="A34" t="s">
        <v>620</v>
      </c>
      <c r="B34" t="s">
        <v>613</v>
      </c>
      <c r="C34" t="s">
        <v>596</v>
      </c>
      <c r="D34" s="298">
        <v>305.39155903394601</v>
      </c>
      <c r="E34" t="s">
        <v>614</v>
      </c>
      <c r="F34" t="s">
        <v>625</v>
      </c>
      <c r="G34" t="s">
        <v>615</v>
      </c>
      <c r="H34" s="297">
        <v>156733500</v>
      </c>
    </row>
    <row r="35" spans="1:8" x14ac:dyDescent="0.25">
      <c r="A35" t="s">
        <v>620</v>
      </c>
      <c r="B35" t="s">
        <v>593</v>
      </c>
      <c r="C35" t="s">
        <v>594</v>
      </c>
      <c r="D35" s="298">
        <v>240.234311230614</v>
      </c>
      <c r="E35" t="s">
        <v>614</v>
      </c>
      <c r="F35" t="s">
        <v>625</v>
      </c>
      <c r="G35" t="s">
        <v>615</v>
      </c>
      <c r="H35" s="297">
        <v>156733500</v>
      </c>
    </row>
    <row r="36" spans="1:8" x14ac:dyDescent="0.25">
      <c r="A36" t="s">
        <v>620</v>
      </c>
      <c r="B36" t="s">
        <v>593</v>
      </c>
      <c r="C36" t="s">
        <v>626</v>
      </c>
      <c r="D36" s="298">
        <v>240.23431123061417</v>
      </c>
      <c r="E36" t="s">
        <v>614</v>
      </c>
      <c r="F36" t="s">
        <v>625</v>
      </c>
      <c r="G36" t="s">
        <v>615</v>
      </c>
      <c r="H36" s="297">
        <v>156733500.00000003</v>
      </c>
    </row>
    <row r="37" spans="1:8" x14ac:dyDescent="0.25">
      <c r="A37" t="s">
        <v>620</v>
      </c>
      <c r="B37" t="s">
        <v>593</v>
      </c>
      <c r="C37" t="s">
        <v>596</v>
      </c>
      <c r="D37" s="298">
        <v>240.23431123061417</v>
      </c>
      <c r="E37" t="s">
        <v>614</v>
      </c>
      <c r="F37" t="s">
        <v>625</v>
      </c>
      <c r="G37" t="s">
        <v>615</v>
      </c>
      <c r="H37" s="297">
        <v>156733500.00000003</v>
      </c>
    </row>
    <row r="38" spans="1:8" x14ac:dyDescent="0.25">
      <c r="A38" t="s">
        <v>621</v>
      </c>
      <c r="B38" t="s">
        <v>591</v>
      </c>
      <c r="C38" t="s">
        <v>594</v>
      </c>
      <c r="D38" s="298">
        <v>306.65264234936598</v>
      </c>
      <c r="E38" t="s">
        <v>614</v>
      </c>
      <c r="F38" t="s">
        <v>625</v>
      </c>
      <c r="G38" t="s">
        <v>615</v>
      </c>
      <c r="H38" s="297">
        <v>1262713340</v>
      </c>
    </row>
    <row r="39" spans="1:8" x14ac:dyDescent="0.25">
      <c r="A39" t="s">
        <v>621</v>
      </c>
      <c r="B39" t="s">
        <v>591</v>
      </c>
      <c r="C39" t="s">
        <v>626</v>
      </c>
      <c r="D39" s="298">
        <v>287.65646096489195</v>
      </c>
      <c r="E39" t="s">
        <v>614</v>
      </c>
      <c r="F39" t="s">
        <v>625</v>
      </c>
      <c r="G39" t="s">
        <v>615</v>
      </c>
      <c r="H39" s="297">
        <v>1346100070</v>
      </c>
    </row>
    <row r="40" spans="1:8" x14ac:dyDescent="0.25">
      <c r="A40" t="s">
        <v>621</v>
      </c>
      <c r="B40" t="s">
        <v>591</v>
      </c>
      <c r="C40" t="s">
        <v>596</v>
      </c>
      <c r="D40" s="298">
        <v>263.04770014246191</v>
      </c>
      <c r="E40" t="s">
        <v>614</v>
      </c>
      <c r="F40" t="s">
        <v>625</v>
      </c>
      <c r="G40" t="s">
        <v>615</v>
      </c>
      <c r="H40" s="297">
        <v>1472031050.0000002</v>
      </c>
    </row>
    <row r="41" spans="1:8" x14ac:dyDescent="0.25">
      <c r="A41" t="s">
        <v>621</v>
      </c>
      <c r="B41" t="s">
        <v>613</v>
      </c>
      <c r="C41" t="s">
        <v>594</v>
      </c>
      <c r="D41" s="298">
        <v>240.08345868680482</v>
      </c>
      <c r="E41" t="s">
        <v>614</v>
      </c>
      <c r="F41" t="s">
        <v>625</v>
      </c>
      <c r="G41" t="s">
        <v>615</v>
      </c>
      <c r="H41" s="297">
        <v>1262713340</v>
      </c>
    </row>
    <row r="42" spans="1:8" x14ac:dyDescent="0.25">
      <c r="A42" t="s">
        <v>621</v>
      </c>
      <c r="B42" t="s">
        <v>613</v>
      </c>
      <c r="C42" t="s">
        <v>626</v>
      </c>
      <c r="D42" s="298">
        <v>225.21103204248945</v>
      </c>
      <c r="E42" t="s">
        <v>614</v>
      </c>
      <c r="F42" t="s">
        <v>625</v>
      </c>
      <c r="G42" t="s">
        <v>615</v>
      </c>
      <c r="H42" s="297">
        <v>1346100070</v>
      </c>
    </row>
    <row r="43" spans="1:8" x14ac:dyDescent="0.25">
      <c r="A43" t="s">
        <v>621</v>
      </c>
      <c r="B43" t="s">
        <v>613</v>
      </c>
      <c r="C43" t="s">
        <v>596</v>
      </c>
      <c r="D43" s="298">
        <v>205.94442352093543</v>
      </c>
      <c r="E43" t="s">
        <v>614</v>
      </c>
      <c r="F43" t="s">
        <v>625</v>
      </c>
      <c r="G43" t="s">
        <v>615</v>
      </c>
      <c r="H43" s="297">
        <v>1472031050.0000002</v>
      </c>
    </row>
    <row r="44" spans="1:8" x14ac:dyDescent="0.25">
      <c r="A44" t="s">
        <v>621</v>
      </c>
      <c r="B44" t="s">
        <v>593</v>
      </c>
      <c r="C44" t="s">
        <v>594</v>
      </c>
      <c r="D44" s="298">
        <v>215.53759458778438</v>
      </c>
      <c r="E44" t="s">
        <v>614</v>
      </c>
      <c r="F44" t="s">
        <v>625</v>
      </c>
      <c r="G44" t="s">
        <v>615</v>
      </c>
      <c r="H44" s="297">
        <v>1262713340</v>
      </c>
    </row>
    <row r="45" spans="1:8" x14ac:dyDescent="0.25">
      <c r="A45" t="s">
        <v>621</v>
      </c>
      <c r="B45" t="s">
        <v>593</v>
      </c>
      <c r="C45" t="s">
        <v>626</v>
      </c>
      <c r="D45" s="298">
        <v>202.18570819739062</v>
      </c>
      <c r="E45" t="s">
        <v>614</v>
      </c>
      <c r="F45" t="s">
        <v>625</v>
      </c>
      <c r="G45" t="s">
        <v>615</v>
      </c>
      <c r="H45" s="297">
        <v>1346100070</v>
      </c>
    </row>
    <row r="46" spans="1:8" x14ac:dyDescent="0.25">
      <c r="A46" t="s">
        <v>621</v>
      </c>
      <c r="B46" t="s">
        <v>593</v>
      </c>
      <c r="C46" t="s">
        <v>596</v>
      </c>
      <c r="D46" s="298">
        <v>184.88889616663121</v>
      </c>
      <c r="E46" t="s">
        <v>614</v>
      </c>
      <c r="F46" t="s">
        <v>625</v>
      </c>
      <c r="G46" t="s">
        <v>615</v>
      </c>
      <c r="H46" s="297">
        <v>1472031050.0000002</v>
      </c>
    </row>
    <row r="47" spans="1:8" x14ac:dyDescent="0.25">
      <c r="A47" t="s">
        <v>590</v>
      </c>
      <c r="B47" t="s">
        <v>591</v>
      </c>
      <c r="C47" t="s">
        <v>594</v>
      </c>
      <c r="D47" s="298">
        <v>385.804005711537</v>
      </c>
      <c r="E47" t="s">
        <v>614</v>
      </c>
      <c r="F47" t="s">
        <v>625</v>
      </c>
      <c r="G47" t="s">
        <v>615</v>
      </c>
      <c r="H47" s="297">
        <v>677349540</v>
      </c>
    </row>
    <row r="48" spans="1:8" x14ac:dyDescent="0.25">
      <c r="A48" t="s">
        <v>590</v>
      </c>
      <c r="B48" t="s">
        <v>591</v>
      </c>
      <c r="C48" t="s">
        <v>626</v>
      </c>
      <c r="D48" s="298">
        <v>361.90464252586656</v>
      </c>
      <c r="E48" t="s">
        <v>614</v>
      </c>
      <c r="F48" t="s">
        <v>625</v>
      </c>
      <c r="G48" t="s">
        <v>615</v>
      </c>
      <c r="H48" s="297">
        <v>722080170</v>
      </c>
    </row>
    <row r="49" spans="1:8" x14ac:dyDescent="0.25">
      <c r="A49" t="s">
        <v>590</v>
      </c>
      <c r="B49" t="s">
        <v>591</v>
      </c>
      <c r="C49" t="s">
        <v>596</v>
      </c>
      <c r="D49" s="298">
        <v>330.94401414793117</v>
      </c>
      <c r="E49" t="s">
        <v>614</v>
      </c>
      <c r="F49" t="s">
        <v>625</v>
      </c>
      <c r="G49" t="s">
        <v>615</v>
      </c>
      <c r="H49" s="297">
        <v>789632550</v>
      </c>
    </row>
    <row r="50" spans="1:8" x14ac:dyDescent="0.25">
      <c r="A50" t="s">
        <v>590</v>
      </c>
      <c r="B50" t="s">
        <v>613</v>
      </c>
      <c r="C50" t="s">
        <v>594</v>
      </c>
      <c r="D50" s="298">
        <v>373.19128303413959</v>
      </c>
      <c r="E50" t="s">
        <v>614</v>
      </c>
      <c r="F50" t="s">
        <v>625</v>
      </c>
      <c r="G50" t="s">
        <v>615</v>
      </c>
      <c r="H50" s="297">
        <v>677349540</v>
      </c>
    </row>
    <row r="51" spans="1:8" x14ac:dyDescent="0.25">
      <c r="A51" t="s">
        <v>590</v>
      </c>
      <c r="B51" t="s">
        <v>613</v>
      </c>
      <c r="C51" t="s">
        <v>626</v>
      </c>
      <c r="D51" s="298">
        <v>350.07323895237869</v>
      </c>
      <c r="E51" t="s">
        <v>614</v>
      </c>
      <c r="F51" t="s">
        <v>625</v>
      </c>
      <c r="G51" t="s">
        <v>615</v>
      </c>
      <c r="H51" s="297">
        <v>722080170</v>
      </c>
    </row>
    <row r="52" spans="1:8" x14ac:dyDescent="0.25">
      <c r="A52" t="s">
        <v>590</v>
      </c>
      <c r="B52" t="s">
        <v>613</v>
      </c>
      <c r="C52" t="s">
        <v>596</v>
      </c>
      <c r="D52" s="298">
        <v>320.12477689171277</v>
      </c>
      <c r="E52" t="s">
        <v>614</v>
      </c>
      <c r="F52" t="s">
        <v>625</v>
      </c>
      <c r="G52" t="s">
        <v>615</v>
      </c>
      <c r="H52" s="297">
        <v>789632550</v>
      </c>
    </row>
    <row r="53" spans="1:8" x14ac:dyDescent="0.25">
      <c r="A53" t="s">
        <v>590</v>
      </c>
      <c r="B53" t="s">
        <v>593</v>
      </c>
      <c r="C53" t="s">
        <v>594</v>
      </c>
      <c r="D53" s="298">
        <v>252.85920450814368</v>
      </c>
      <c r="E53" t="s">
        <v>614</v>
      </c>
      <c r="F53" t="s">
        <v>625</v>
      </c>
      <c r="G53" t="s">
        <v>615</v>
      </c>
      <c r="H53" s="297">
        <v>677349540</v>
      </c>
    </row>
    <row r="54" spans="1:8" x14ac:dyDescent="0.25">
      <c r="A54" t="s">
        <v>590</v>
      </c>
      <c r="B54" t="s">
        <v>593</v>
      </c>
      <c r="C54" t="s">
        <v>626</v>
      </c>
      <c r="D54" s="298">
        <v>237.19535998109049</v>
      </c>
      <c r="E54" t="s">
        <v>614</v>
      </c>
      <c r="F54" t="s">
        <v>625</v>
      </c>
      <c r="G54" t="s">
        <v>615</v>
      </c>
      <c r="H54" s="297">
        <v>722080170</v>
      </c>
    </row>
    <row r="55" spans="1:8" x14ac:dyDescent="0.25">
      <c r="A55" t="s">
        <v>590</v>
      </c>
      <c r="B55" t="s">
        <v>593</v>
      </c>
      <c r="C55" t="s">
        <v>596</v>
      </c>
      <c r="D55" s="298">
        <v>216.90350259542495</v>
      </c>
      <c r="E55" t="s">
        <v>614</v>
      </c>
      <c r="F55" t="s">
        <v>625</v>
      </c>
      <c r="G55" t="s">
        <v>615</v>
      </c>
      <c r="H55" s="297">
        <v>789632550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Synthesis</vt:lpstr>
      <vt:lpstr>Available biomass</vt:lpstr>
      <vt:lpstr>FT process</vt:lpstr>
      <vt:lpstr>AtJ process</vt:lpstr>
      <vt:lpstr>HEFA process</vt:lpstr>
      <vt:lpstr>Biomass_Cost</vt:lpstr>
      <vt:lpstr>Biomass_Cost_Reference</vt:lpstr>
      <vt:lpstr>Kerosene</vt:lpstr>
      <vt:lpstr>Cost Summary-V1</vt:lpstr>
      <vt:lpstr>Cost Analysis-FT</vt:lpstr>
      <vt:lpstr>Cost Analysis-HEFA</vt:lpstr>
      <vt:lpstr>Cost Summary-V2</vt:lpstr>
      <vt:lpstr>Feuil1</vt:lpstr>
      <vt:lpstr>Cost Analysis-AtJ</vt:lpstr>
      <vt:lpstr>Emission factors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t.planes</dc:creator>
  <cp:lastModifiedBy>Antoine SALGAS</cp:lastModifiedBy>
  <dcterms:created xsi:type="dcterms:W3CDTF">2022-02-18T13:01:49Z</dcterms:created>
  <dcterms:modified xsi:type="dcterms:W3CDTF">2024-02-29T15:01:31Z</dcterms:modified>
</cp:coreProperties>
</file>