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cost_data\"/>
    </mc:Choice>
  </mc:AlternateContent>
  <xr:revisionPtr revIDLastSave="0" documentId="13_ncr:1_{3D74A702-3690-4776-9F67-684FBF2E7665}" xr6:coauthVersionLast="47" xr6:coauthVersionMax="47" xr10:uidLastSave="{00000000-0000-0000-0000-000000000000}"/>
  <bookViews>
    <workbookView xWindow="-120" yWindow="-120" windowWidth="29040" windowHeight="15840" firstSheet="4" activeTab="5" xr2:uid="{B45625C8-2EFE-4B2D-B717-182BE33C0328}"/>
  </bookViews>
  <sheets>
    <sheet name="Electricity" sheetId="9" r:id="rId1"/>
    <sheet name="DAC" sheetId="15" r:id="rId2"/>
    <sheet name="H2 production UK" sheetId="4" r:id="rId3"/>
    <sheet name="Electrolysis Validation UK" sheetId="5" r:id="rId4"/>
    <sheet name="Liquefaction" sheetId="2" r:id="rId5"/>
    <sheet name="PtL" sheetId="6" r:id="rId6"/>
    <sheet name="PBtL" sheetId="7" r:id="rId7"/>
    <sheet name="Summary-Electricity" sheetId="10" r:id="rId8"/>
    <sheet name="Summary-Hydrogen_Production" sheetId="11" r:id="rId9"/>
    <sheet name="Summary-Hydrogen_Liquefaction" sheetId="13" r:id="rId10"/>
    <sheet name="Summary-PtL" sheetId="12" r:id="rId11"/>
    <sheet name="Monetary" sheetId="8" r:id="rId12"/>
    <sheet name="Feuil1" sheetId="14" r:id="rId13"/>
    <sheet name="References" sheetId="3" r:id="rId14"/>
  </sheets>
  <definedNames>
    <definedName name="_xlnm._FilterDatabase" localSheetId="4" hidden="1">Liquefaction!$E$28:$E$30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6" l="1"/>
  <c r="D6" i="15"/>
  <c r="D5" i="15"/>
  <c r="B6" i="15"/>
  <c r="B5" i="15"/>
  <c r="D3" i="15"/>
  <c r="D4" i="15"/>
  <c r="C4" i="15"/>
  <c r="B4" i="15"/>
  <c r="O38" i="6" l="1"/>
  <c r="R38" i="6"/>
  <c r="Q38" i="6"/>
  <c r="F5" i="12" l="1"/>
  <c r="R40" i="6"/>
  <c r="Q40" i="6"/>
  <c r="D6" i="12" s="1"/>
  <c r="Q39" i="6"/>
  <c r="D4" i="12"/>
  <c r="T29" i="6"/>
  <c r="U29" i="6"/>
  <c r="V29" i="6"/>
  <c r="U12" i="6"/>
  <c r="V12" i="6"/>
  <c r="T12" i="6"/>
  <c r="P12" i="6"/>
  <c r="C86" i="6"/>
  <c r="M12" i="6"/>
  <c r="C85" i="6"/>
  <c r="C87" i="6"/>
  <c r="C88" i="6"/>
  <c r="C89" i="6"/>
  <c r="C90" i="6"/>
  <c r="C91" i="6"/>
  <c r="C92" i="6"/>
  <c r="C84" i="6"/>
  <c r="C101" i="6"/>
  <c r="C102" i="6" s="1"/>
  <c r="D101" i="6"/>
  <c r="B101" i="6"/>
  <c r="C99" i="6"/>
  <c r="D99" i="6"/>
  <c r="D102" i="6" s="1"/>
  <c r="B99" i="6"/>
  <c r="N12" i="6"/>
  <c r="B102" i="6"/>
  <c r="D98" i="6"/>
  <c r="C98" i="6"/>
  <c r="B98" i="6"/>
  <c r="S14" i="6"/>
  <c r="D5" i="12"/>
  <c r="P38" i="6"/>
  <c r="C4" i="12" s="1"/>
  <c r="B4" i="12"/>
  <c r="P39" i="6"/>
  <c r="C5" i="12" s="1"/>
  <c r="O39" i="6"/>
  <c r="B5" i="12" s="1"/>
  <c r="A6" i="10"/>
  <c r="C6" i="12"/>
  <c r="P40" i="6"/>
  <c r="O40" i="6"/>
  <c r="B6" i="12" s="1"/>
  <c r="N28" i="6"/>
  <c r="O28" i="6"/>
  <c r="P28" i="6"/>
  <c r="Q28" i="6"/>
  <c r="R28" i="6"/>
  <c r="S28" i="6"/>
  <c r="M28" i="6"/>
  <c r="B4" i="13"/>
  <c r="C4" i="13"/>
  <c r="B5" i="13"/>
  <c r="C5" i="13"/>
  <c r="B6" i="13"/>
  <c r="C6" i="13"/>
  <c r="C15" i="2"/>
  <c r="C16" i="2"/>
  <c r="C17" i="2"/>
  <c r="A17" i="2"/>
  <c r="A16" i="2"/>
  <c r="A15" i="2"/>
  <c r="C3" i="2"/>
  <c r="C4" i="2"/>
  <c r="C5" i="2"/>
  <c r="C6" i="2"/>
  <c r="C7" i="2"/>
  <c r="C8" i="2"/>
  <c r="C9" i="2"/>
  <c r="C10" i="2"/>
  <c r="C11" i="2"/>
  <c r="C12" i="2"/>
  <c r="C2" i="2"/>
  <c r="J2" i="2"/>
  <c r="E42" i="11"/>
  <c r="F42" i="11"/>
  <c r="G42" i="11"/>
  <c r="H42" i="11"/>
  <c r="I42" i="11"/>
  <c r="J42" i="11"/>
  <c r="K42" i="11"/>
  <c r="E43" i="11"/>
  <c r="F43" i="11"/>
  <c r="G43" i="11"/>
  <c r="H43" i="11"/>
  <c r="I43" i="11"/>
  <c r="J43" i="11"/>
  <c r="K43" i="11"/>
  <c r="E44" i="11"/>
  <c r="F44" i="11"/>
  <c r="G44" i="11"/>
  <c r="H44" i="11"/>
  <c r="I44" i="11"/>
  <c r="J44" i="11"/>
  <c r="K44" i="11"/>
  <c r="E45" i="11"/>
  <c r="F45" i="11"/>
  <c r="G45" i="11"/>
  <c r="H45" i="11"/>
  <c r="I45" i="11"/>
  <c r="J45" i="11"/>
  <c r="K45" i="11"/>
  <c r="E46" i="11"/>
  <c r="F46" i="11"/>
  <c r="G46" i="11"/>
  <c r="H46" i="11"/>
  <c r="I46" i="11"/>
  <c r="J46" i="11"/>
  <c r="K46" i="11"/>
  <c r="E47" i="11"/>
  <c r="F47" i="11"/>
  <c r="G47" i="11"/>
  <c r="H47" i="11"/>
  <c r="I47" i="11"/>
  <c r="J47" i="11"/>
  <c r="K47" i="11"/>
  <c r="E48" i="11"/>
  <c r="F48" i="11"/>
  <c r="G48" i="11"/>
  <c r="H48" i="11"/>
  <c r="I48" i="11"/>
  <c r="J48" i="11"/>
  <c r="K48" i="11"/>
  <c r="E49" i="11"/>
  <c r="F49" i="11"/>
  <c r="G49" i="11"/>
  <c r="H49" i="11"/>
  <c r="I49" i="11"/>
  <c r="J49" i="11"/>
  <c r="K49" i="11"/>
  <c r="E50" i="11"/>
  <c r="F50" i="11"/>
  <c r="G50" i="11"/>
  <c r="H50" i="11"/>
  <c r="I50" i="11"/>
  <c r="J50" i="11"/>
  <c r="K50" i="11"/>
  <c r="E51" i="11"/>
  <c r="F51" i="11"/>
  <c r="G51" i="11"/>
  <c r="H51" i="11"/>
  <c r="I51" i="11"/>
  <c r="J51" i="11"/>
  <c r="K51" i="11"/>
  <c r="E52" i="11"/>
  <c r="F52" i="11"/>
  <c r="G52" i="11"/>
  <c r="H52" i="11"/>
  <c r="I52" i="11"/>
  <c r="J52" i="11"/>
  <c r="K52" i="11"/>
  <c r="E53" i="11"/>
  <c r="F53" i="11"/>
  <c r="G53" i="11"/>
  <c r="H53" i="11"/>
  <c r="I53" i="11"/>
  <c r="J53" i="11"/>
  <c r="K53" i="11"/>
  <c r="E54" i="11"/>
  <c r="F54" i="11"/>
  <c r="G54" i="11"/>
  <c r="H54" i="11"/>
  <c r="I54" i="11"/>
  <c r="J54" i="11"/>
  <c r="K54" i="11"/>
  <c r="E55" i="11"/>
  <c r="F55" i="11"/>
  <c r="G55" i="11"/>
  <c r="H55" i="11"/>
  <c r="I55" i="11"/>
  <c r="J55" i="11"/>
  <c r="K55" i="11"/>
  <c r="E56" i="11"/>
  <c r="F56" i="11"/>
  <c r="G56" i="11"/>
  <c r="H56" i="11"/>
  <c r="I56" i="11"/>
  <c r="J56" i="11"/>
  <c r="K56" i="11"/>
  <c r="E57" i="11"/>
  <c r="F57" i="11"/>
  <c r="G57" i="11"/>
  <c r="H57" i="11"/>
  <c r="I57" i="11"/>
  <c r="J57" i="11"/>
  <c r="K57" i="11"/>
  <c r="E58" i="11"/>
  <c r="F58" i="11"/>
  <c r="G58" i="11"/>
  <c r="H58" i="11"/>
  <c r="I58" i="11"/>
  <c r="J58" i="11"/>
  <c r="K58" i="11"/>
  <c r="E59" i="11"/>
  <c r="F59" i="11"/>
  <c r="G59" i="11"/>
  <c r="H59" i="11"/>
  <c r="I59" i="11"/>
  <c r="J59" i="11"/>
  <c r="K59" i="11"/>
  <c r="E60" i="11"/>
  <c r="F60" i="11"/>
  <c r="G60" i="11"/>
  <c r="H60" i="11"/>
  <c r="I60" i="11"/>
  <c r="J60" i="11"/>
  <c r="K60" i="11"/>
  <c r="E3" i="11"/>
  <c r="F3" i="11"/>
  <c r="G3" i="11"/>
  <c r="H3" i="11"/>
  <c r="I3" i="11"/>
  <c r="J3" i="11"/>
  <c r="K3" i="11"/>
  <c r="E4" i="11"/>
  <c r="F4" i="11"/>
  <c r="G4" i="11"/>
  <c r="H4" i="11"/>
  <c r="I4" i="11"/>
  <c r="J4" i="11"/>
  <c r="K4" i="11"/>
  <c r="E23" i="11"/>
  <c r="F23" i="11"/>
  <c r="G23" i="11"/>
  <c r="H23" i="11"/>
  <c r="I23" i="11"/>
  <c r="J23" i="11"/>
  <c r="K23" i="11"/>
  <c r="E5" i="11"/>
  <c r="F5" i="11"/>
  <c r="G5" i="11"/>
  <c r="H5" i="11"/>
  <c r="I5" i="11"/>
  <c r="J5" i="11"/>
  <c r="K5" i="11"/>
  <c r="E24" i="11"/>
  <c r="F24" i="11"/>
  <c r="G24" i="11"/>
  <c r="H24" i="11"/>
  <c r="I24" i="11"/>
  <c r="J24" i="11"/>
  <c r="K24" i="11"/>
  <c r="E6" i="11"/>
  <c r="F6" i="11"/>
  <c r="G6" i="11"/>
  <c r="H6" i="11"/>
  <c r="I6" i="11"/>
  <c r="J6" i="11"/>
  <c r="K6" i="11"/>
  <c r="E25" i="11"/>
  <c r="F25" i="11"/>
  <c r="G25" i="11"/>
  <c r="H25" i="11"/>
  <c r="I25" i="11"/>
  <c r="J25" i="11"/>
  <c r="K25" i="11"/>
  <c r="E7" i="11"/>
  <c r="F7" i="11"/>
  <c r="G7" i="11"/>
  <c r="H7" i="11"/>
  <c r="I7" i="11"/>
  <c r="J7" i="11"/>
  <c r="K7" i="11"/>
  <c r="E26" i="11"/>
  <c r="F26" i="11"/>
  <c r="G26" i="11"/>
  <c r="H26" i="11"/>
  <c r="I26" i="11"/>
  <c r="J26" i="11"/>
  <c r="K26" i="11"/>
  <c r="E8" i="11"/>
  <c r="F8" i="11"/>
  <c r="G8" i="11"/>
  <c r="H8" i="11"/>
  <c r="I8" i="11"/>
  <c r="J8" i="11"/>
  <c r="K8" i="11"/>
  <c r="E27" i="11"/>
  <c r="F27" i="11"/>
  <c r="G27" i="11"/>
  <c r="H27" i="11"/>
  <c r="I27" i="11"/>
  <c r="J27" i="11"/>
  <c r="K27" i="11"/>
  <c r="E9" i="11"/>
  <c r="F9" i="11"/>
  <c r="G9" i="11"/>
  <c r="H9" i="11"/>
  <c r="I9" i="11"/>
  <c r="J9" i="11"/>
  <c r="K9" i="11"/>
  <c r="E28" i="11"/>
  <c r="F28" i="11"/>
  <c r="G28" i="11"/>
  <c r="H28" i="11"/>
  <c r="I28" i="11"/>
  <c r="J28" i="11"/>
  <c r="K28" i="11"/>
  <c r="E10" i="11"/>
  <c r="F10" i="11"/>
  <c r="G10" i="11"/>
  <c r="H10" i="11"/>
  <c r="I10" i="11"/>
  <c r="J10" i="11"/>
  <c r="K10" i="11"/>
  <c r="E29" i="11"/>
  <c r="F29" i="11"/>
  <c r="G29" i="11"/>
  <c r="H29" i="11"/>
  <c r="I29" i="11"/>
  <c r="J29" i="11"/>
  <c r="K29" i="11"/>
  <c r="E11" i="11"/>
  <c r="F11" i="11"/>
  <c r="G11" i="11"/>
  <c r="H11" i="11"/>
  <c r="I11" i="11"/>
  <c r="J11" i="11"/>
  <c r="K11" i="11"/>
  <c r="E30" i="11"/>
  <c r="F30" i="11"/>
  <c r="G30" i="11"/>
  <c r="H30" i="11"/>
  <c r="I30" i="11"/>
  <c r="J30" i="11"/>
  <c r="K30" i="11"/>
  <c r="E12" i="11"/>
  <c r="F12" i="11"/>
  <c r="G12" i="11"/>
  <c r="H12" i="11"/>
  <c r="I12" i="11"/>
  <c r="J12" i="11"/>
  <c r="K12" i="11"/>
  <c r="E31" i="11"/>
  <c r="F31" i="11"/>
  <c r="G31" i="11"/>
  <c r="H31" i="11"/>
  <c r="I31" i="11"/>
  <c r="J31" i="11"/>
  <c r="K31" i="11"/>
  <c r="E13" i="11"/>
  <c r="F13" i="11"/>
  <c r="G13" i="11"/>
  <c r="H13" i="11"/>
  <c r="I13" i="11"/>
  <c r="J13" i="11"/>
  <c r="K13" i="11"/>
  <c r="E32" i="11"/>
  <c r="F32" i="11"/>
  <c r="G32" i="11"/>
  <c r="H32" i="11"/>
  <c r="I32" i="11"/>
  <c r="J32" i="11"/>
  <c r="K32" i="11"/>
  <c r="E14" i="11"/>
  <c r="F14" i="11"/>
  <c r="G14" i="11"/>
  <c r="H14" i="11"/>
  <c r="I14" i="11"/>
  <c r="J14" i="11"/>
  <c r="K14" i="11"/>
  <c r="E33" i="11"/>
  <c r="F33" i="11"/>
  <c r="G33" i="11"/>
  <c r="H33" i="11"/>
  <c r="I33" i="11"/>
  <c r="J33" i="11"/>
  <c r="K33" i="11"/>
  <c r="E15" i="11"/>
  <c r="F15" i="11"/>
  <c r="G15" i="11"/>
  <c r="H15" i="11"/>
  <c r="I15" i="11"/>
  <c r="J15" i="11"/>
  <c r="K15" i="11"/>
  <c r="E34" i="11"/>
  <c r="F34" i="11"/>
  <c r="G34" i="11"/>
  <c r="H34" i="11"/>
  <c r="I34" i="11"/>
  <c r="J34" i="11"/>
  <c r="K34" i="11"/>
  <c r="E16" i="11"/>
  <c r="F16" i="11"/>
  <c r="G16" i="11"/>
  <c r="H16" i="11"/>
  <c r="I16" i="11"/>
  <c r="J16" i="11"/>
  <c r="K16" i="11"/>
  <c r="E35" i="11"/>
  <c r="F35" i="11"/>
  <c r="G35" i="11"/>
  <c r="H35" i="11"/>
  <c r="I35" i="11"/>
  <c r="J35" i="11"/>
  <c r="K35" i="11"/>
  <c r="E17" i="11"/>
  <c r="F17" i="11"/>
  <c r="G17" i="11"/>
  <c r="H17" i="11"/>
  <c r="I17" i="11"/>
  <c r="J17" i="11"/>
  <c r="K17" i="11"/>
  <c r="E36" i="11"/>
  <c r="F36" i="11"/>
  <c r="G36" i="11"/>
  <c r="H36" i="11"/>
  <c r="I36" i="11"/>
  <c r="J36" i="11"/>
  <c r="K36" i="11"/>
  <c r="E18" i="11"/>
  <c r="F18" i="11"/>
  <c r="G18" i="11"/>
  <c r="H18" i="11"/>
  <c r="I18" i="11"/>
  <c r="J18" i="11"/>
  <c r="K18" i="11"/>
  <c r="E37" i="11"/>
  <c r="F37" i="11"/>
  <c r="G37" i="11"/>
  <c r="H37" i="11"/>
  <c r="I37" i="11"/>
  <c r="J37" i="11"/>
  <c r="K37" i="11"/>
  <c r="E19" i="11"/>
  <c r="F19" i="11"/>
  <c r="G19" i="11"/>
  <c r="H19" i="11"/>
  <c r="I19" i="11"/>
  <c r="J19" i="11"/>
  <c r="K19" i="11"/>
  <c r="E38" i="11"/>
  <c r="F38" i="11"/>
  <c r="G38" i="11"/>
  <c r="H38" i="11"/>
  <c r="I38" i="11"/>
  <c r="J38" i="11"/>
  <c r="K38" i="11"/>
  <c r="E20" i="11"/>
  <c r="F20" i="11"/>
  <c r="G20" i="11"/>
  <c r="H20" i="11"/>
  <c r="I20" i="11"/>
  <c r="J20" i="11"/>
  <c r="K20" i="11"/>
  <c r="E39" i="11"/>
  <c r="F39" i="11"/>
  <c r="G39" i="11"/>
  <c r="H39" i="11"/>
  <c r="I39" i="11"/>
  <c r="J39" i="11"/>
  <c r="K39" i="11"/>
  <c r="E21" i="11"/>
  <c r="F21" i="11"/>
  <c r="G21" i="11"/>
  <c r="H21" i="11"/>
  <c r="I21" i="11"/>
  <c r="J21" i="11"/>
  <c r="K21" i="11"/>
  <c r="E40" i="11"/>
  <c r="F40" i="11"/>
  <c r="G40" i="11"/>
  <c r="H40" i="11"/>
  <c r="I40" i="11"/>
  <c r="J40" i="11"/>
  <c r="K40" i="11"/>
  <c r="E22" i="11"/>
  <c r="F22" i="11"/>
  <c r="G22" i="11"/>
  <c r="H22" i="11"/>
  <c r="I22" i="11"/>
  <c r="J22" i="11"/>
  <c r="K22" i="11"/>
  <c r="E41" i="11"/>
  <c r="F41" i="11"/>
  <c r="G41" i="11"/>
  <c r="H41" i="11"/>
  <c r="I41" i="11"/>
  <c r="J41" i="11"/>
  <c r="K41" i="11"/>
  <c r="A26" i="10"/>
  <c r="B26" i="10"/>
  <c r="C26" i="10"/>
  <c r="D26" i="10"/>
  <c r="E26" i="10"/>
  <c r="G26" i="10"/>
  <c r="A27" i="10"/>
  <c r="B27" i="10"/>
  <c r="C27" i="10"/>
  <c r="D27" i="10"/>
  <c r="E27" i="10"/>
  <c r="G27" i="10"/>
  <c r="A28" i="10"/>
  <c r="B28" i="10"/>
  <c r="C28" i="10"/>
  <c r="D28" i="10"/>
  <c r="E28" i="10"/>
  <c r="G28" i="10"/>
  <c r="A29" i="10"/>
  <c r="B29" i="10"/>
  <c r="C29" i="10"/>
  <c r="D29" i="10"/>
  <c r="E29" i="10"/>
  <c r="G29" i="10"/>
  <c r="A30" i="10"/>
  <c r="B30" i="10"/>
  <c r="C30" i="10"/>
  <c r="D30" i="10"/>
  <c r="E30" i="10"/>
  <c r="G30" i="10"/>
  <c r="A31" i="10"/>
  <c r="B31" i="10"/>
  <c r="C31" i="10"/>
  <c r="D31" i="10"/>
  <c r="E31" i="10"/>
  <c r="G31" i="10"/>
  <c r="A32" i="10"/>
  <c r="B32" i="10"/>
  <c r="C32" i="10"/>
  <c r="D32" i="10"/>
  <c r="E32" i="10"/>
  <c r="G32" i="10"/>
  <c r="A33" i="10"/>
  <c r="B33" i="10"/>
  <c r="C33" i="10"/>
  <c r="D33" i="10"/>
  <c r="E33" i="10"/>
  <c r="G33" i="10"/>
  <c r="A34" i="10"/>
  <c r="B34" i="10"/>
  <c r="C34" i="10"/>
  <c r="D34" i="10"/>
  <c r="E34" i="10"/>
  <c r="G34" i="10"/>
  <c r="A35" i="10"/>
  <c r="B35" i="10"/>
  <c r="C35" i="10"/>
  <c r="D35" i="10"/>
  <c r="E35" i="10"/>
  <c r="G35" i="10"/>
  <c r="A36" i="10"/>
  <c r="B36" i="10"/>
  <c r="C36" i="10"/>
  <c r="D36" i="10"/>
  <c r="E36" i="10"/>
  <c r="G36" i="10"/>
  <c r="A37" i="10"/>
  <c r="B37" i="10"/>
  <c r="C37" i="10"/>
  <c r="D37" i="10"/>
  <c r="E37" i="10"/>
  <c r="G37" i="10"/>
  <c r="A10" i="10"/>
  <c r="B10" i="10"/>
  <c r="C10" i="10"/>
  <c r="D10" i="10"/>
  <c r="E10" i="10"/>
  <c r="G10" i="10"/>
  <c r="A11" i="10"/>
  <c r="B11" i="10"/>
  <c r="C11" i="10"/>
  <c r="D11" i="10"/>
  <c r="E11" i="10"/>
  <c r="G11" i="10"/>
  <c r="A12" i="10"/>
  <c r="B12" i="10"/>
  <c r="C12" i="10"/>
  <c r="D12" i="10"/>
  <c r="E12" i="10"/>
  <c r="G12" i="10"/>
  <c r="A13" i="10"/>
  <c r="B13" i="10"/>
  <c r="C13" i="10"/>
  <c r="D13" i="10"/>
  <c r="E13" i="10"/>
  <c r="G13" i="10"/>
  <c r="A14" i="10"/>
  <c r="B14" i="10"/>
  <c r="C14" i="10"/>
  <c r="D14" i="10"/>
  <c r="E14" i="10"/>
  <c r="G14" i="10"/>
  <c r="A15" i="10"/>
  <c r="B15" i="10"/>
  <c r="C15" i="10"/>
  <c r="D15" i="10"/>
  <c r="E15" i="10"/>
  <c r="G15" i="10"/>
  <c r="A16" i="10"/>
  <c r="B16" i="10"/>
  <c r="C16" i="10"/>
  <c r="D16" i="10"/>
  <c r="E16" i="10"/>
  <c r="G16" i="10"/>
  <c r="A17" i="10"/>
  <c r="B17" i="10"/>
  <c r="C17" i="10"/>
  <c r="D17" i="10"/>
  <c r="E17" i="10"/>
  <c r="G17" i="10"/>
  <c r="A18" i="10"/>
  <c r="B18" i="10"/>
  <c r="C18" i="10"/>
  <c r="D18" i="10"/>
  <c r="E18" i="10"/>
  <c r="G18" i="10"/>
  <c r="A19" i="10"/>
  <c r="B19" i="10"/>
  <c r="C19" i="10"/>
  <c r="D19" i="10"/>
  <c r="E19" i="10"/>
  <c r="G19" i="10"/>
  <c r="A20" i="10"/>
  <c r="B20" i="10"/>
  <c r="C20" i="10"/>
  <c r="D20" i="10"/>
  <c r="E20" i="10"/>
  <c r="G20" i="10"/>
  <c r="A21" i="10"/>
  <c r="B21" i="10"/>
  <c r="C21" i="10"/>
  <c r="D21" i="10"/>
  <c r="E21" i="10"/>
  <c r="G21" i="10"/>
  <c r="A22" i="10"/>
  <c r="B22" i="10"/>
  <c r="C22" i="10"/>
  <c r="D22" i="10"/>
  <c r="E22" i="10"/>
  <c r="G22" i="10"/>
  <c r="A23" i="10"/>
  <c r="B23" i="10"/>
  <c r="C23" i="10"/>
  <c r="D23" i="10"/>
  <c r="E23" i="10"/>
  <c r="G23" i="10"/>
  <c r="A24" i="10"/>
  <c r="B24" i="10"/>
  <c r="C24" i="10"/>
  <c r="D24" i="10"/>
  <c r="E24" i="10"/>
  <c r="G24" i="10"/>
  <c r="A25" i="10"/>
  <c r="B25" i="10"/>
  <c r="C25" i="10"/>
  <c r="D25" i="10"/>
  <c r="E25" i="10"/>
  <c r="G25" i="10"/>
  <c r="B6" i="10"/>
  <c r="C6" i="10"/>
  <c r="D6" i="10"/>
  <c r="E6" i="10"/>
  <c r="H6" i="10"/>
  <c r="A7" i="10"/>
  <c r="B7" i="10"/>
  <c r="C7" i="10"/>
  <c r="D7" i="10"/>
  <c r="E7" i="10"/>
  <c r="A8" i="10"/>
  <c r="B8" i="10"/>
  <c r="C8" i="10"/>
  <c r="D8" i="10"/>
  <c r="E8" i="10"/>
  <c r="E153" i="9"/>
  <c r="E152" i="9"/>
  <c r="E151" i="9"/>
  <c r="H93" i="9"/>
  <c r="H94" i="9"/>
  <c r="H89" i="9"/>
  <c r="F89" i="9"/>
  <c r="D94" i="9"/>
  <c r="G94" i="9" s="1"/>
  <c r="D93" i="9"/>
  <c r="G93" i="9" s="1"/>
  <c r="D92" i="9"/>
  <c r="G92" i="9" s="1"/>
  <c r="D91" i="9"/>
  <c r="G91" i="9" s="1"/>
  <c r="D90" i="9"/>
  <c r="G90" i="9" s="1"/>
  <c r="D89" i="9"/>
  <c r="G89" i="9" s="1"/>
  <c r="D108" i="9"/>
  <c r="D107" i="9"/>
  <c r="D106" i="9"/>
  <c r="D109" i="9" s="1"/>
  <c r="M51" i="9"/>
  <c r="L46" i="9"/>
  <c r="M46" i="9"/>
  <c r="N46" i="9"/>
  <c r="K46" i="9"/>
  <c r="L29" i="9"/>
  <c r="M29" i="9"/>
  <c r="N29" i="9"/>
  <c r="K29" i="9"/>
  <c r="C62" i="9"/>
  <c r="F62" i="9" s="1"/>
  <c r="D62" i="9"/>
  <c r="E62" i="9"/>
  <c r="C63" i="9"/>
  <c r="F63" i="9" s="1"/>
  <c r="D63" i="9"/>
  <c r="E63" i="9"/>
  <c r="C64" i="9"/>
  <c r="F64" i="9" s="1"/>
  <c r="D64" i="9"/>
  <c r="E64" i="9"/>
  <c r="C65" i="9"/>
  <c r="F65" i="9" s="1"/>
  <c r="D65" i="9"/>
  <c r="E65" i="9"/>
  <c r="E61" i="9"/>
  <c r="D61" i="9"/>
  <c r="C61" i="9"/>
  <c r="F61" i="9" s="1"/>
  <c r="E75" i="9"/>
  <c r="E84" i="9" s="1"/>
  <c r="D75" i="9"/>
  <c r="D84" i="9" s="1"/>
  <c r="C75" i="9"/>
  <c r="C84" i="9" s="1"/>
  <c r="B75" i="9"/>
  <c r="B84" i="9" s="1"/>
  <c r="E74" i="9"/>
  <c r="E83" i="9" s="1"/>
  <c r="D74" i="9"/>
  <c r="D83" i="9" s="1"/>
  <c r="C74" i="9"/>
  <c r="C83" i="9" s="1"/>
  <c r="B74" i="9"/>
  <c r="B83" i="9" s="1"/>
  <c r="E73" i="9"/>
  <c r="E82" i="9" s="1"/>
  <c r="D73" i="9"/>
  <c r="D82" i="9" s="1"/>
  <c r="C73" i="9"/>
  <c r="C82" i="9" s="1"/>
  <c r="B73" i="9"/>
  <c r="B82" i="9" s="1"/>
  <c r="E72" i="9"/>
  <c r="E81" i="9" s="1"/>
  <c r="D72" i="9"/>
  <c r="D81" i="9" s="1"/>
  <c r="C72" i="9"/>
  <c r="C81" i="9" s="1"/>
  <c r="B72" i="9"/>
  <c r="B81" i="9" s="1"/>
  <c r="N50" i="9"/>
  <c r="N51" i="9" s="1"/>
  <c r="L50" i="9"/>
  <c r="L51" i="9" s="1"/>
  <c r="K50" i="9"/>
  <c r="K51" i="9" s="1"/>
  <c r="R30" i="6"/>
  <c r="S30" i="6"/>
  <c r="S29" i="6"/>
  <c r="R29" i="6"/>
  <c r="Q27" i="6"/>
  <c r="Q29" i="6"/>
  <c r="Q30" i="6"/>
  <c r="P27" i="6"/>
  <c r="P29" i="6"/>
  <c r="P30" i="6"/>
  <c r="O29" i="6"/>
  <c r="O30" i="6"/>
  <c r="N29" i="6"/>
  <c r="N30" i="6"/>
  <c r="M29" i="6"/>
  <c r="M30" i="6"/>
  <c r="O15" i="6"/>
  <c r="N15" i="6"/>
  <c r="O27" i="6"/>
  <c r="E4" i="12" l="1"/>
  <c r="E6" i="12"/>
  <c r="E5" i="12"/>
  <c r="H91" i="9"/>
  <c r="F94" i="9"/>
  <c r="F93" i="9"/>
  <c r="F90" i="9"/>
  <c r="F91" i="9"/>
  <c r="H92" i="9"/>
  <c r="H90" i="9"/>
  <c r="F92" i="9"/>
  <c r="G82" i="9"/>
  <c r="F82" i="9"/>
  <c r="G84" i="9"/>
  <c r="F84" i="9"/>
  <c r="G81" i="9"/>
  <c r="F81" i="9"/>
  <c r="G83" i="9"/>
  <c r="F83" i="9"/>
  <c r="I74" i="9"/>
  <c r="I72" i="9"/>
  <c r="G75" i="9"/>
  <c r="I75" i="9"/>
  <c r="H72" i="9"/>
  <c r="G72" i="9"/>
  <c r="F74" i="9"/>
  <c r="F75" i="9"/>
  <c r="I73" i="9"/>
  <c r="H74" i="9"/>
  <c r="H75" i="9"/>
  <c r="F72" i="9"/>
  <c r="F73" i="9"/>
  <c r="G73" i="9"/>
  <c r="G74" i="9"/>
  <c r="H73" i="9"/>
  <c r="R14" i="6"/>
  <c r="S9" i="6"/>
  <c r="S10" i="6"/>
  <c r="S12" i="6"/>
  <c r="R12" i="6"/>
  <c r="R10" i="6"/>
  <c r="R9" i="6"/>
  <c r="Q10" i="6"/>
  <c r="Q12" i="6"/>
  <c r="P10" i="6"/>
  <c r="O10" i="6"/>
  <c r="O9" i="6"/>
  <c r="O13" i="6"/>
  <c r="O26" i="6" s="1"/>
  <c r="N10" i="6"/>
  <c r="B37" i="6"/>
  <c r="O12" i="6" s="1"/>
  <c r="O25" i="6" s="1"/>
  <c r="G25" i="6"/>
  <c r="G24" i="6"/>
  <c r="N14" i="6"/>
  <c r="N27" i="6" s="1"/>
  <c r="N13" i="6"/>
  <c r="N26" i="6" s="1"/>
  <c r="N25" i="6"/>
  <c r="N11" i="6"/>
  <c r="N9" i="6"/>
  <c r="G11" i="6"/>
  <c r="M13" i="6" s="1"/>
  <c r="M26" i="6" s="1"/>
  <c r="B11" i="7"/>
  <c r="B5" i="6"/>
  <c r="B10" i="6"/>
  <c r="L49" i="4"/>
  <c r="M49" i="4"/>
  <c r="N49" i="4"/>
  <c r="O49" i="4"/>
  <c r="P49" i="4"/>
  <c r="Q49" i="4"/>
  <c r="K49" i="4"/>
  <c r="E49" i="4"/>
  <c r="F49" i="4"/>
  <c r="G49" i="4"/>
  <c r="H49" i="4"/>
  <c r="I49" i="4"/>
  <c r="J49" i="4"/>
  <c r="D49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2" i="4"/>
  <c r="S42" i="4"/>
  <c r="T42" i="4"/>
  <c r="U42" i="4"/>
  <c r="V42" i="4"/>
  <c r="W42" i="4"/>
  <c r="X42" i="4"/>
  <c r="R43" i="4"/>
  <c r="S43" i="4"/>
  <c r="T43" i="4"/>
  <c r="U43" i="4"/>
  <c r="V43" i="4"/>
  <c r="W43" i="4"/>
  <c r="X43" i="4"/>
  <c r="R44" i="4"/>
  <c r="S44" i="4"/>
  <c r="T44" i="4"/>
  <c r="U44" i="4"/>
  <c r="V44" i="4"/>
  <c r="W44" i="4"/>
  <c r="X44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R40" i="4"/>
  <c r="S40" i="4"/>
  <c r="T40" i="4"/>
  <c r="U40" i="4"/>
  <c r="V40" i="4"/>
  <c r="W40" i="4"/>
  <c r="X40" i="4"/>
  <c r="R41" i="4"/>
  <c r="S41" i="4"/>
  <c r="T41" i="4"/>
  <c r="U41" i="4"/>
  <c r="V41" i="4"/>
  <c r="W41" i="4"/>
  <c r="X41" i="4"/>
  <c r="S39" i="4"/>
  <c r="T39" i="4"/>
  <c r="U39" i="4"/>
  <c r="V39" i="4"/>
  <c r="W39" i="4"/>
  <c r="X39" i="4"/>
  <c r="R39" i="4"/>
  <c r="A64" i="4"/>
  <c r="E9" i="5" s="1"/>
  <c r="P13" i="6" l="1"/>
  <c r="P26" i="6" s="1"/>
  <c r="P25" i="6"/>
  <c r="Q13" i="6"/>
  <c r="Q26" i="6" s="1"/>
  <c r="Q25" i="6"/>
  <c r="M14" i="6"/>
  <c r="M27" i="6" s="1"/>
  <c r="M9" i="6"/>
  <c r="M10" i="6"/>
  <c r="M25" i="6"/>
  <c r="W46" i="4"/>
  <c r="I46" i="4"/>
  <c r="W48" i="4"/>
  <c r="O48" i="4"/>
  <c r="U47" i="4"/>
  <c r="M47" i="4"/>
  <c r="E47" i="4"/>
  <c r="W54" i="4"/>
  <c r="K54" i="4"/>
  <c r="Q55" i="4"/>
  <c r="P57" i="4"/>
  <c r="W58" i="4"/>
  <c r="J5" i="5"/>
  <c r="S48" i="4"/>
  <c r="L47" i="4"/>
  <c r="H54" i="4"/>
  <c r="M55" i="4"/>
  <c r="O57" i="4"/>
  <c r="R58" i="4"/>
  <c r="G5" i="5"/>
  <c r="D46" i="4"/>
  <c r="P48" i="4"/>
  <c r="H47" i="4"/>
  <c r="G54" i="4"/>
  <c r="L55" i="4"/>
  <c r="N57" i="4"/>
  <c r="O58" i="4"/>
  <c r="F5" i="5"/>
  <c r="X56" i="4"/>
  <c r="K55" i="4"/>
  <c r="I57" i="4"/>
  <c r="N58" i="4"/>
  <c r="H7" i="5"/>
  <c r="V46" i="4"/>
  <c r="M48" i="4"/>
  <c r="D47" i="4"/>
  <c r="W56" i="4"/>
  <c r="J55" i="4"/>
  <c r="F57" i="4"/>
  <c r="J58" i="4"/>
  <c r="G7" i="5"/>
  <c r="U46" i="4"/>
  <c r="K48" i="4"/>
  <c r="AI47" i="4"/>
  <c r="V56" i="4"/>
  <c r="E55" i="4"/>
  <c r="E57" i="4"/>
  <c r="I58" i="4"/>
  <c r="E7" i="5"/>
  <c r="T46" i="4"/>
  <c r="J48" i="4"/>
  <c r="AH47" i="4"/>
  <c r="U56" i="4"/>
  <c r="AK55" i="4"/>
  <c r="U59" i="4"/>
  <c r="H58" i="4"/>
  <c r="G6" i="5"/>
  <c r="S46" i="4"/>
  <c r="I48" i="4"/>
  <c r="AG47" i="4"/>
  <c r="P56" i="4"/>
  <c r="AJ55" i="4"/>
  <c r="T59" i="4"/>
  <c r="G58" i="4"/>
  <c r="D6" i="5"/>
  <c r="O46" i="4"/>
  <c r="H48" i="4"/>
  <c r="AF47" i="4"/>
  <c r="M56" i="4"/>
  <c r="AF55" i="4"/>
  <c r="S59" i="4"/>
  <c r="AK58" i="4"/>
  <c r="J11" i="5"/>
  <c r="L46" i="4"/>
  <c r="G48" i="4"/>
  <c r="AA47" i="4"/>
  <c r="L56" i="4"/>
  <c r="AE55" i="4"/>
  <c r="R59" i="4"/>
  <c r="AH58" i="4"/>
  <c r="F11" i="5"/>
  <c r="K46" i="4"/>
  <c r="X47" i="4"/>
  <c r="D54" i="4"/>
  <c r="H56" i="4"/>
  <c r="AD55" i="4"/>
  <c r="M59" i="4"/>
  <c r="AG58" i="4"/>
  <c r="E11" i="5"/>
  <c r="G56" i="4"/>
  <c r="AC55" i="4"/>
  <c r="J59" i="4"/>
  <c r="AC58" i="4"/>
  <c r="J10" i="5"/>
  <c r="G46" i="4"/>
  <c r="T47" i="4"/>
  <c r="S54" i="4"/>
  <c r="F56" i="4"/>
  <c r="D57" i="4"/>
  <c r="I59" i="4"/>
  <c r="AB58" i="4"/>
  <c r="E10" i="5"/>
  <c r="F46" i="4"/>
  <c r="P47" i="4"/>
  <c r="R54" i="4"/>
  <c r="E56" i="4"/>
  <c r="V57" i="4"/>
  <c r="E59" i="4"/>
  <c r="Z58" i="4"/>
  <c r="I9" i="5"/>
  <c r="E46" i="4"/>
  <c r="O47" i="4"/>
  <c r="Q54" i="4"/>
  <c r="U55" i="4"/>
  <c r="U57" i="4"/>
  <c r="D59" i="4"/>
  <c r="H9" i="5"/>
  <c r="X48" i="4"/>
  <c r="N47" i="4"/>
  <c r="P54" i="4"/>
  <c r="R55" i="4"/>
  <c r="Q57" i="4"/>
  <c r="X58" i="4"/>
  <c r="D9" i="5"/>
  <c r="AA58" i="4"/>
  <c r="F7" i="5"/>
  <c r="D11" i="5"/>
  <c r="AE47" i="4"/>
  <c r="O54" i="4"/>
  <c r="T56" i="4"/>
  <c r="D56" i="4"/>
  <c r="I55" i="4"/>
  <c r="AB55" i="4"/>
  <c r="M57" i="4"/>
  <c r="Q59" i="4"/>
  <c r="V58" i="4"/>
  <c r="F58" i="4"/>
  <c r="Y58" i="4"/>
  <c r="D7" i="5"/>
  <c r="I10" i="5"/>
  <c r="R46" i="4"/>
  <c r="V48" i="4"/>
  <c r="F48" i="4"/>
  <c r="K47" i="4"/>
  <c r="AD47" i="4"/>
  <c r="N54" i="4"/>
  <c r="S56" i="4"/>
  <c r="X55" i="4"/>
  <c r="H55" i="4"/>
  <c r="AA55" i="4"/>
  <c r="L57" i="4"/>
  <c r="P59" i="4"/>
  <c r="U58" i="4"/>
  <c r="E58" i="4"/>
  <c r="J6" i="5"/>
  <c r="H10" i="5"/>
  <c r="Q46" i="4"/>
  <c r="U48" i="4"/>
  <c r="E48" i="4"/>
  <c r="J47" i="4"/>
  <c r="AC47" i="4"/>
  <c r="M54" i="4"/>
  <c r="R56" i="4"/>
  <c r="W55" i="4"/>
  <c r="G55" i="4"/>
  <c r="Z55" i="4"/>
  <c r="K57" i="4"/>
  <c r="O59" i="4"/>
  <c r="T58" i="4"/>
  <c r="D58" i="4"/>
  <c r="I6" i="5"/>
  <c r="G10" i="5"/>
  <c r="P46" i="4"/>
  <c r="T48" i="4"/>
  <c r="D48" i="4"/>
  <c r="I47" i="4"/>
  <c r="AB47" i="4"/>
  <c r="L54" i="4"/>
  <c r="Q56" i="4"/>
  <c r="V55" i="4"/>
  <c r="F55" i="4"/>
  <c r="Y55" i="4"/>
  <c r="J57" i="4"/>
  <c r="N59" i="4"/>
  <c r="S58" i="4"/>
  <c r="AL58" i="4"/>
  <c r="D5" i="5"/>
  <c r="H6" i="5"/>
  <c r="F10" i="5"/>
  <c r="N46" i="4"/>
  <c r="R48" i="4"/>
  <c r="W47" i="4"/>
  <c r="G47" i="4"/>
  <c r="Z47" i="4"/>
  <c r="J54" i="4"/>
  <c r="O56" i="4"/>
  <c r="T55" i="4"/>
  <c r="D55" i="4"/>
  <c r="X57" i="4"/>
  <c r="H57" i="4"/>
  <c r="L59" i="4"/>
  <c r="Q58" i="4"/>
  <c r="AJ58" i="4"/>
  <c r="I5" i="5"/>
  <c r="F6" i="5"/>
  <c r="D10" i="5"/>
  <c r="M46" i="4"/>
  <c r="Q48" i="4"/>
  <c r="V47" i="4"/>
  <c r="F47" i="4"/>
  <c r="Y47" i="4"/>
  <c r="I54" i="4"/>
  <c r="N56" i="4"/>
  <c r="S55" i="4"/>
  <c r="AL55" i="4"/>
  <c r="W57" i="4"/>
  <c r="G57" i="4"/>
  <c r="K59" i="4"/>
  <c r="P58" i="4"/>
  <c r="AI58" i="4"/>
  <c r="H5" i="5"/>
  <c r="E6" i="5"/>
  <c r="J9" i="5"/>
  <c r="J46" i="4"/>
  <c r="N48" i="4"/>
  <c r="S47" i="4"/>
  <c r="AL47" i="4"/>
  <c r="V54" i="4"/>
  <c r="F54" i="4"/>
  <c r="K56" i="4"/>
  <c r="P55" i="4"/>
  <c r="AI55" i="4"/>
  <c r="T57" i="4"/>
  <c r="X59" i="4"/>
  <c r="H59" i="4"/>
  <c r="M58" i="4"/>
  <c r="AF58" i="4"/>
  <c r="E5" i="5"/>
  <c r="I11" i="5"/>
  <c r="G9" i="5"/>
  <c r="R47" i="4"/>
  <c r="AK47" i="4"/>
  <c r="U54" i="4"/>
  <c r="E54" i="4"/>
  <c r="J56" i="4"/>
  <c r="O55" i="4"/>
  <c r="AH55" i="4"/>
  <c r="S57" i="4"/>
  <c r="W59" i="4"/>
  <c r="G59" i="4"/>
  <c r="L58" i="4"/>
  <c r="AE58" i="4"/>
  <c r="J7" i="5"/>
  <c r="H11" i="5"/>
  <c r="F9" i="5"/>
  <c r="X46" i="4"/>
  <c r="H46" i="4"/>
  <c r="L48" i="4"/>
  <c r="Q47" i="4"/>
  <c r="AJ47" i="4"/>
  <c r="T54" i="4"/>
  <c r="X54" i="4"/>
  <c r="I56" i="4"/>
  <c r="N55" i="4"/>
  <c r="AG55" i="4"/>
  <c r="R57" i="4"/>
  <c r="V59" i="4"/>
  <c r="F59" i="4"/>
  <c r="K58" i="4"/>
  <c r="AD58" i="4"/>
  <c r="I7" i="5"/>
  <c r="G11" i="5"/>
  <c r="J3" i="2" l="1"/>
  <c r="J4" i="2"/>
  <c r="J5" i="2"/>
  <c r="J6" i="2"/>
  <c r="J7" i="2"/>
  <c r="J8" i="2"/>
  <c r="J9" i="2"/>
  <c r="J10" i="2"/>
  <c r="J11" i="2"/>
  <c r="J12" i="2"/>
  <c r="K3" i="2"/>
  <c r="L17" i="2"/>
  <c r="L16" i="2"/>
  <c r="L15" i="2"/>
  <c r="L14" i="2"/>
  <c r="L13" i="2"/>
  <c r="L8" i="2"/>
  <c r="L3" i="2"/>
  <c r="L22" i="2" s="1"/>
  <c r="K12" i="2"/>
  <c r="K2" i="2"/>
  <c r="K7" i="2"/>
  <c r="K8" i="2"/>
  <c r="K9" i="2"/>
  <c r="K10" i="2"/>
  <c r="K11" i="2"/>
  <c r="D3" i="2"/>
  <c r="D4" i="2"/>
  <c r="D5" i="2"/>
  <c r="D6" i="2"/>
  <c r="D7" i="2"/>
  <c r="D8" i="2"/>
  <c r="D9" i="2"/>
  <c r="D10" i="2"/>
  <c r="D11" i="2"/>
  <c r="D12" i="2"/>
  <c r="D2" i="2"/>
  <c r="J20" i="2" l="1"/>
  <c r="L21" i="2"/>
  <c r="J22" i="2"/>
  <c r="J21" i="2"/>
  <c r="L20" i="2"/>
  <c r="K6" i="2"/>
  <c r="K5" i="2"/>
  <c r="K4" i="2"/>
  <c r="K20" i="2" l="1"/>
  <c r="K22" i="2"/>
  <c r="K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tc={C53536DD-BE17-4571-B498-BFD06BDF95D5}</author>
  </authors>
  <commentList>
    <comment ref="P13" authorId="0" shapeId="0" xr:uid="{C53536DD-BE17-4571-B498-BFD06BDF95D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Hypothèse OPEX=0.05 CAPEx (maintenance)</t>
      </text>
    </comment>
  </commentList>
</comments>
</file>

<file path=xl/sharedStrings.xml><?xml version="1.0" encoding="utf-8"?>
<sst xmlns="http://schemas.openxmlformats.org/spreadsheetml/2006/main" count="1243" uniqueCount="441">
  <si>
    <t>LAX</t>
  </si>
  <si>
    <t>Reuss</t>
  </si>
  <si>
    <t>Fusaro</t>
  </si>
  <si>
    <t>Source</t>
  </si>
  <si>
    <t>Payback (years)</t>
  </si>
  <si>
    <t>Maintenance &amp; Ops (% CAPEX)</t>
  </si>
  <si>
    <t>[1]</t>
  </si>
  <si>
    <t>https://www.idealhy.eu/uploads/documents/IDEALHY_XX_Energie-Symposium_2013_web.pdf</t>
  </si>
  <si>
    <t>Other Opex</t>
  </si>
  <si>
    <t>Other Opex (% Elec Opex)</t>
  </si>
  <si>
    <t>Energy required (kWhel/kg)</t>
  </si>
  <si>
    <t>General assumptions. based on IDEAHLY [1]</t>
  </si>
  <si>
    <t>DOE</t>
  </si>
  <si>
    <t>IDEALHY</t>
  </si>
  <si>
    <t>Y&amp;O</t>
  </si>
  <si>
    <t>Cardella</t>
  </si>
  <si>
    <t>Teichm.</t>
  </si>
  <si>
    <t>Specific electricity consumption (kWhel/kgH2)</t>
  </si>
  <si>
    <t>Liquefaction CAPEX (MUSD2020/ (tLH2/day))</t>
  </si>
  <si>
    <t>IRR (%)</t>
  </si>
  <si>
    <t>Electricity price (€/MWh)</t>
  </si>
  <si>
    <t>O&amp;M Opex (MUSD2020/ (tLH2/day))/year</t>
  </si>
  <si>
    <t>Load factor</t>
  </si>
  <si>
    <t>O&amp;M Opex per kg</t>
  </si>
  <si>
    <t>Capex per kg (with IRR )</t>
  </si>
  <si>
    <t>Electricity Opex (@ 80 €/MWH)</t>
  </si>
  <si>
    <t>Al Gafri other</t>
  </si>
  <si>
    <t>Reference (other elec hypothesis might be used so broad comparison)</t>
  </si>
  <si>
    <t>Electricity Opex (@ 50 €/MWH)</t>
  </si>
  <si>
    <t>Total hydrogen Liquefaction cost (80€/MWh)</t>
  </si>
  <si>
    <t>Total hydrogen Liquefaction cost (50€/MWh)</t>
  </si>
  <si>
    <t>Q1</t>
  </si>
  <si>
    <t>MED</t>
  </si>
  <si>
    <t>Q3</t>
  </si>
  <si>
    <t>Technology</t>
  </si>
  <si>
    <t>Unit</t>
  </si>
  <si>
    <t xml:space="preserve">Alkaline </t>
  </si>
  <si>
    <t>Proton Exchange Membrane (PEM)</t>
  </si>
  <si>
    <t>Solid Oxide Electrolysis (SOE)</t>
  </si>
  <si>
    <t>Steam Methane Reformation with CCUS</t>
  </si>
  <si>
    <t>Autothermal Reformation with CCUS</t>
  </si>
  <si>
    <t>Autothermal Reformation with 
Gas Heated Reformer with CCUS</t>
  </si>
  <si>
    <t>Biomass Gasification with CCUS</t>
  </si>
  <si>
    <t>Commissioning Year</t>
  </si>
  <si>
    <t>Reference plant size</t>
  </si>
  <si>
    <t>MW</t>
  </si>
  <si>
    <t>Availability/Maximum load factor</t>
  </si>
  <si>
    <t>%</t>
  </si>
  <si>
    <t>CO2 capture rate</t>
  </si>
  <si>
    <t>Thermal conversion efficiency
(kWh input fuel or heat / kWh H2 HHV)*</t>
  </si>
  <si>
    <t>kWh input fuel or heat (HHV) per 
kWh H2 HHV output</t>
  </si>
  <si>
    <t>Low</t>
  </si>
  <si>
    <t>Medium</t>
  </si>
  <si>
    <t>High</t>
  </si>
  <si>
    <t>Electrical conversion efficiency 
(kWhe/ kWh H2 HHV)*</t>
  </si>
  <si>
    <t>kWh electric input per 
kWh H2 HHV output</t>
  </si>
  <si>
    <t>Operating lifetime</t>
  </si>
  <si>
    <t>Years</t>
  </si>
  <si>
    <t>CAPEX</t>
  </si>
  <si>
    <t>£/kW H2 HHV</t>
  </si>
  <si>
    <t>Construction period</t>
  </si>
  <si>
    <t>Construction phasing 
(% spent in each year)</t>
  </si>
  <si>
    <t>Year 1</t>
  </si>
  <si>
    <t>Year 2</t>
  </si>
  <si>
    <t>Year 3</t>
  </si>
  <si>
    <t>Fixed OPEX</t>
  </si>
  <si>
    <t>£/KW H2 HHV/year</t>
  </si>
  <si>
    <t>Variable OPEX</t>
  </si>
  <si>
    <t>£/KWh H2 HHV</t>
  </si>
  <si>
    <t>Hurdle Rate</t>
  </si>
  <si>
    <t xml:space="preserve">* To create a high tech cost and efficiency scenario, high CAPEX and OPEX needs to be paired with low efficiency. </t>
  </si>
  <si>
    <t>https://www.exchangerates.org.uk/EUR-GBP-spot-exchange-rates-history-2020.html</t>
  </si>
  <si>
    <t>€/kW H2 HHV</t>
  </si>
  <si>
    <t xml:space="preserve">Conversion rate </t>
  </si>
  <si>
    <t xml:space="preserve">Hydrogen Specific Energy </t>
  </si>
  <si>
    <t>kWh/kg (HHV)</t>
  </si>
  <si>
    <t xml:space="preserve">€/(kg/day) H2 </t>
  </si>
  <si>
    <t xml:space="preserve">KW HHV to kg/day </t>
  </si>
  <si>
    <t>GBP to EUR (2020)</t>
  </si>
  <si>
    <t>€/(kg/day) H2 /year</t>
  </si>
  <si>
    <t xml:space="preserve">€/kg H2 </t>
  </si>
  <si>
    <t>kWh input fuel or heat (HHV) per 
kg H2 output</t>
  </si>
  <si>
    <t>kWh electric input per 
kg H2 output</t>
  </si>
  <si>
    <t xml:space="preserve">Note </t>
  </si>
  <si>
    <t>Solide electrolyser heat ==&gt; waste?</t>
  </si>
  <si>
    <t>Technical and cost assumptions (change units  and € 2020 real prices for conveniency )</t>
  </si>
  <si>
    <t>CAPEX AEC</t>
  </si>
  <si>
    <t>CAPEX PEMEC</t>
  </si>
  <si>
    <t>Litt review capex added =&gt; from https://h2.pik-potsdam.de/H2Dash/#section-visualisations compilation</t>
  </si>
  <si>
    <t>Converted CAPEX/ LW LHV to CAPEX per KW HHV</t>
  </si>
  <si>
    <t>kWh/kg (LHV)</t>
  </si>
  <si>
    <t>Thermal conversion efficiency
(kWh input fuel or heat / kg H2 HHV)*</t>
  </si>
  <si>
    <t>Electrical conversion efficiency 
(kWhe/ kg H2 HHV)*</t>
  </si>
  <si>
    <t>Litt. Rev.</t>
  </si>
  <si>
    <t>Technical littérature review</t>
  </si>
  <si>
    <t>CO2 input</t>
  </si>
  <si>
    <t>Electricity input</t>
  </si>
  <si>
    <t xml:space="preserve">Author </t>
  </si>
  <si>
    <t>External Hydrogen input</t>
  </si>
  <si>
    <t>Year</t>
  </si>
  <si>
    <t>€</t>
  </si>
  <si>
    <t>Annual production</t>
  </si>
  <si>
    <t>t/annum</t>
  </si>
  <si>
    <t xml:space="preserve">Hourly production </t>
  </si>
  <si>
    <t>t/h</t>
  </si>
  <si>
    <t>Load Factor</t>
  </si>
  <si>
    <t>MWh/annum</t>
  </si>
  <si>
    <t>€/annum</t>
  </si>
  <si>
    <t>Other Variable OPEX</t>
  </si>
  <si>
    <t xml:space="preserve">Fuel density </t>
  </si>
  <si>
    <t xml:space="preserve">Interest rate </t>
  </si>
  <si>
    <t xml:space="preserve">Operating time </t>
  </si>
  <si>
    <t>years</t>
  </si>
  <si>
    <t>Hydrogen produced in process</t>
  </si>
  <si>
    <t>Biomass</t>
  </si>
  <si>
    <t>Albrecht, Table 8 &amp; 7 + suppl material fig. 13 &amp;14</t>
  </si>
  <si>
    <t>CO2 market price</t>
  </si>
  <si>
    <t>€/ton</t>
  </si>
  <si>
    <t xml:space="preserve">Electricity price </t>
  </si>
  <si>
    <t>€/MWh</t>
  </si>
  <si>
    <t>Biomass cost</t>
  </si>
  <si>
    <t>Electricitycost</t>
  </si>
  <si>
    <t>Summary</t>
  </si>
  <si>
    <t>Specific CO2</t>
  </si>
  <si>
    <t>Specific electricity</t>
  </si>
  <si>
    <t>Specific hydrogen</t>
  </si>
  <si>
    <t>Kg/Kg jet fuel</t>
  </si>
  <si>
    <t>KWh/kg Jet fuel</t>
  </si>
  <si>
    <t>€/kg jet fuel</t>
  </si>
  <si>
    <t>€/(kg/day) jet fuel</t>
  </si>
  <si>
    <t>Author</t>
  </si>
  <si>
    <t>Hypothesis for standardization</t>
  </si>
  <si>
    <t>Gasoline energy debnsity</t>
  </si>
  <si>
    <t>Jet energy density</t>
  </si>
  <si>
    <t>MJ/kg</t>
  </si>
  <si>
    <t>Iso energy conversion</t>
  </si>
  <si>
    <t xml:space="preserve">Dietrich </t>
  </si>
  <si>
    <t>(same model)</t>
  </si>
  <si>
    <t>MW (LHV)</t>
  </si>
  <si>
    <t>Production</t>
  </si>
  <si>
    <t>$/annum</t>
  </si>
  <si>
    <t>$/kWh</t>
  </si>
  <si>
    <t>Hydrogen market price</t>
  </si>
  <si>
    <t>$/kg</t>
  </si>
  <si>
    <t xml:space="preserve"> </t>
  </si>
  <si>
    <t>$/t</t>
  </si>
  <si>
    <t>€/(kg/day) jet fuel /annum</t>
  </si>
  <si>
    <t>T/day</t>
  </si>
  <si>
    <t>PtL Carbon intensity</t>
  </si>
  <si>
    <t>https://pubs.rsc.org/en/content/articlepdf/2020/se/c9se00479c</t>
  </si>
  <si>
    <t xml:space="preserve">DAC energy use </t>
  </si>
  <si>
    <t xml:space="preserve">High temp heat </t>
  </si>
  <si>
    <t>5.5 GJ/tCO2</t>
  </si>
  <si>
    <t>Electricity</t>
  </si>
  <si>
    <t>0.5 GJ/tCO2</t>
  </si>
  <si>
    <t>https://iea.blob.core.windows.net/assets/78633715-15c0-44e1-81df-41123c556d57/DirectAirCapture_Akeytechnologyfornetzero.pdf</t>
  </si>
  <si>
    <t xml:space="preserve">Carbon removal efficiency </t>
  </si>
  <si>
    <t>0.6-0.9</t>
  </si>
  <si>
    <t>Co2 "carbon intensity " (kg/kg)</t>
  </si>
  <si>
    <t>Optim</t>
  </si>
  <si>
    <t>Pessim</t>
  </si>
  <si>
    <t>kg/s</t>
  </si>
  <si>
    <t>$ 2009</t>
  </si>
  <si>
    <t>Optimistic</t>
  </si>
  <si>
    <t>Reference</t>
  </si>
  <si>
    <t>Pessimistic</t>
  </si>
  <si>
    <t>€2017/(kg/day)</t>
  </si>
  <si>
    <t>N/A</t>
  </si>
  <si>
    <t>(include DAC in model)</t>
  </si>
  <si>
    <t>$2016</t>
  </si>
  <si>
    <t>PEMEL -2050</t>
  </si>
  <si>
    <t>SOEL -2050</t>
  </si>
  <si>
    <t>€2020/kWh</t>
  </si>
  <si>
    <t>$2009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</si>
  <si>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</si>
  <si>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</si>
  <si>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</si>
  <si>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</si>
  <si>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</si>
  <si>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</si>
  <si>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</si>
  <si>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</si>
  <si>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</si>
  <si>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</si>
  <si>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</si>
  <si>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</si>
  <si>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</si>
  <si>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</si>
  <si>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</si>
  <si>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</si>
  <si>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</si>
  <si>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</si>
  <si>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</si>
  <si>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</si>
  <si>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</si>
  <si>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</si>
  <si>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</si>
  <si>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Euro/dollar</t>
  </si>
  <si>
    <t>TIME</t>
  </si>
  <si>
    <t>1996</t>
  </si>
  <si>
    <t>1997</t>
  </si>
  <si>
    <t>1998</t>
  </si>
  <si>
    <t>European Union (EU6-1958, EU9-1973, EU10-1981, EU12-1986, EU15-1995, EU25-2004, EU27-2007, EU28-2013, EU27-2020)</t>
  </si>
  <si>
    <t xml:space="preserve">CAUTION=&gt; </t>
  </si>
  <si>
    <t>Reference MFSP</t>
  </si>
  <si>
    <t>Calculated MFSP</t>
  </si>
  <si>
    <t>€/kg jet fuel (energy allocation)</t>
  </si>
  <si>
    <t>PtL</t>
  </si>
  <si>
    <t>https://www.sciencedirect.com/science/article/pii/S0016236116312248</t>
  </si>
  <si>
    <t xml:space="preserve">[2] </t>
  </si>
  <si>
    <t>https://www.sciencedirect.com/science/article/pii/S2212982021000263</t>
  </si>
  <si>
    <t>Albrecht, Table 8 &amp; 7 &amp; supp. Mat Fig 19 &amp;20 [1]</t>
  </si>
  <si>
    <t>Zang, Table 3 &amp; 5 [2]</t>
  </si>
  <si>
    <t>Albrecht [1]</t>
  </si>
  <si>
    <t>Zang [2]</t>
  </si>
  <si>
    <t>https://www.sciencedirect.com/science/article/pii/S0360544212006792</t>
  </si>
  <si>
    <t>[3]</t>
  </si>
  <si>
    <t>Liquefaction</t>
  </si>
  <si>
    <t>Becker [3]</t>
  </si>
  <si>
    <t>Becker, table 5,6,7 and Fig 12 [3]</t>
  </si>
  <si>
    <t>Schmitd DAC [4]</t>
  </si>
  <si>
    <t>Schmidt DAC (2050) [4]</t>
  </si>
  <si>
    <t>Schmidt, table 2 [4]</t>
  </si>
  <si>
    <t>https://onlinelibrary.wiley.com/doi/abs/10.1002/cite.201700129</t>
  </si>
  <si>
    <t>[4]</t>
  </si>
  <si>
    <t>[5]</t>
  </si>
  <si>
    <t>https://www.sciencedirect.com/science/article/pii/S0306261921001872</t>
  </si>
  <si>
    <t>herz, table 11 [5]</t>
  </si>
  <si>
    <t>Herz PEMEL 2050 [5]</t>
  </si>
  <si>
    <t>Herz SOEL 2050 [5]</t>
  </si>
  <si>
    <t>Summary: In author's money</t>
  </si>
  <si>
    <t>Summary: in € 2020</t>
  </si>
  <si>
    <t>Some pathways include hydrogen production (co-electrolysis) or even Co2 capture. Only MFSP can be directly compared.</t>
  </si>
  <si>
    <t>Capex study for fuel synthesis only</t>
  </si>
  <si>
    <t>https://www.agora-verkehrswende.de/fileadmin/Projekte/2017/Die_Kosten_synthetischer_Brenn-_und_Kraftstoffe_bis_2050/Agora_SynKost_Study_EN_WEB.pdf#133_SynKost_EN_gesamt.indd%3AAnker%20154%3A1377</t>
  </si>
  <si>
    <t>[6]</t>
  </si>
  <si>
    <t>Agora, table 8 [6]</t>
  </si>
  <si>
    <t xml:space="preserve">NB: MFSP caculated for each author energy prices hypothesis </t>
  </si>
  <si>
    <t>Litt Review [2]</t>
  </si>
  <si>
    <t xml:space="preserve">High </t>
  </si>
  <si>
    <t>Hydrogen production</t>
  </si>
  <si>
    <t>[2]</t>
  </si>
  <si>
    <t xml:space="preserve"> https://h2.pik-potsdam.de/H2Dash/#section-visualisations</t>
  </si>
  <si>
    <t>INFLATION: European Consumer Price idex</t>
  </si>
  <si>
    <t>Pathway</t>
  </si>
  <si>
    <t>PV</t>
  </si>
  <si>
    <t>Wind</t>
  </si>
  <si>
    <t>Inshore wind</t>
  </si>
  <si>
    <t>Offshore wind</t>
  </si>
  <si>
    <t>Hydropower</t>
  </si>
  <si>
    <t>Nuclear</t>
  </si>
  <si>
    <t>2050-pessimistic</t>
  </si>
  <si>
    <t>2050 -optimistic</t>
  </si>
  <si>
    <t>https://assets.rte-france.com/prod/2022-06/Futurs%20%C3%A9nerg%C3%A9tiques%202050%20_%20rapport%20complet.zip</t>
  </si>
  <si>
    <t xml:space="preserve">Source </t>
  </si>
  <si>
    <t>Electricity LCOE</t>
  </si>
  <si>
    <t>Eolien terrestre</t>
  </si>
  <si>
    <t>RTE - bas</t>
  </si>
  <si>
    <t>RTE - haut</t>
  </si>
  <si>
    <t>ADEME 2019 - Trajectoire basse</t>
  </si>
  <si>
    <t>ADEME 2019 - Trajectoire haute</t>
  </si>
  <si>
    <t>AIE 2021 - Net Zero by 2050</t>
  </si>
  <si>
    <t>JRC 2018 - Trajectoire basse</t>
  </si>
  <si>
    <t>JRC 2018 - Trajectoire haute</t>
  </si>
  <si>
    <t>Moyenne des appels d'offres en France entre 2018 et 2020</t>
  </si>
  <si>
    <t>IRENA 2021 - Renewable Power Generation Costs 2020</t>
  </si>
  <si>
    <t>Eolien en mer posé</t>
  </si>
  <si>
    <t>AIE 2021 - Net Zero by 2050 (Europe)</t>
  </si>
  <si>
    <t>Eolien en mer flottant</t>
  </si>
  <si>
    <t>Photovoltaïque au sol</t>
  </si>
  <si>
    <t>Moyenne des appels d'offres en France entre 2016 et 2021</t>
  </si>
  <si>
    <t>Photovoltaïque sur grandes toitures</t>
  </si>
  <si>
    <t>€2020/MWh</t>
  </si>
  <si>
    <t xml:space="preserve"> Source</t>
  </si>
  <si>
    <t>Nouveau Nucleaire</t>
  </si>
  <si>
    <t>RTE - Tres Bas</t>
  </si>
  <si>
    <t>RTE - Moyen</t>
  </si>
  <si>
    <t>RTE - Tres Haut</t>
  </si>
  <si>
    <t>PV-rooftop</t>
  </si>
  <si>
    <t>PV-utility</t>
  </si>
  <si>
    <t>Inshore Wind</t>
  </si>
  <si>
    <t>Offshore Wind</t>
  </si>
  <si>
    <t>Med</t>
  </si>
  <si>
    <t>Total generation</t>
  </si>
  <si>
    <t>Renewables</t>
  </si>
  <si>
    <t>Solar PV</t>
  </si>
  <si>
    <t>Hydro</t>
  </si>
  <si>
    <t>Bioenergy</t>
  </si>
  <si>
    <t xml:space="preserve">   of which BECCS</t>
  </si>
  <si>
    <t>CSP</t>
  </si>
  <si>
    <t>Geothermal</t>
  </si>
  <si>
    <t>Marine</t>
  </si>
  <si>
    <t>Hydrogen-based</t>
  </si>
  <si>
    <t>Fossil fuels with CCUS</t>
  </si>
  <si>
    <t>Coal with CCUS</t>
  </si>
  <si>
    <t>Natural gas with CCUS</t>
  </si>
  <si>
    <t>Unabated fossil fuels</t>
  </si>
  <si>
    <t>Coal</t>
  </si>
  <si>
    <t>Natural gas</t>
  </si>
  <si>
    <t>Oil</t>
  </si>
  <si>
    <t>Electricity Generation (TWh)</t>
  </si>
  <si>
    <t>-</t>
  </si>
  <si>
    <t>Electricity generation in NZE 2050 [3]</t>
  </si>
  <si>
    <t xml:space="preserve">Nuclear </t>
  </si>
  <si>
    <t>Solar Pv</t>
  </si>
  <si>
    <t>Wind onshore</t>
  </si>
  <si>
    <t>Wind offshore</t>
  </si>
  <si>
    <t>https://iea.blob.core.windows.net/assets/deebef5d-0c34-4539-9d0c-10b13d840027/NetZeroby2050-ARoadmapfortheGlobalEnergySector_CORR.pdf</t>
  </si>
  <si>
    <t>Ref</t>
  </si>
  <si>
    <t>Summary Table</t>
  </si>
  <si>
    <t>Data expolitation</t>
  </si>
  <si>
    <t>Renewables emission factors linear extrapolation [1]</t>
  </si>
  <si>
    <t>2030-Optim</t>
  </si>
  <si>
    <t>2030-Pessim</t>
  </si>
  <si>
    <t>2040-Optim</t>
  </si>
  <si>
    <t>2040-Pessim</t>
  </si>
  <si>
    <t>2050-Optim</t>
  </si>
  <si>
    <t>2050-Pessim</t>
  </si>
  <si>
    <t>Average emission factor - Pessim</t>
  </si>
  <si>
    <t>Average emission factor (REN only) - Pessim</t>
  </si>
  <si>
    <t>Average emission factor - Optim</t>
  </si>
  <si>
    <t>Average emission factor (REN only) - Optim</t>
  </si>
  <si>
    <t xml:space="preserve">https://www.ipcc.ch/site/assets/uploads/2018/02/ipcc_wg3_ar5_annex-iii.pdf </t>
  </si>
  <si>
    <t>Eolien Mediane</t>
  </si>
  <si>
    <t>Photovoltaique mediane</t>
  </si>
  <si>
    <t>Nouveau Nucleaire - Mediane</t>
  </si>
  <si>
    <t>[2] - Median of central hypothesis</t>
  </si>
  <si>
    <t>[1], fig 11.33, as a percentage</t>
  </si>
  <si>
    <t>Around 35% of electricity cost</t>
  </si>
  <si>
    <t xml:space="preserve">Transport and Distribution Cost </t>
  </si>
  <si>
    <t>Average LCOE</t>
  </si>
  <si>
    <t>Average LCOE (REN only)</t>
  </si>
  <si>
    <t>LCOE €2020</t>
  </si>
  <si>
    <t>Emission factor scenario</t>
  </si>
  <si>
    <t>Photovoltaic</t>
  </si>
  <si>
    <t xml:space="preserve">Wind </t>
  </si>
  <si>
    <t>REN</t>
  </si>
  <si>
    <t>BC</t>
  </si>
  <si>
    <t>Load Factor [3] B.1</t>
  </si>
  <si>
    <t>RTE 2050</t>
  </si>
  <si>
    <t>Scenario</t>
  </si>
  <si>
    <t>Final consumption (Twh)</t>
  </si>
  <si>
    <t>Unitary cost (€2020/MWh)</t>
  </si>
  <si>
    <t>Electricity emisison factors (LC) (gO2e/kWh)</t>
  </si>
  <si>
    <t>Low carbon "mix" emission factors (gCO2e/kWh)</t>
  </si>
  <si>
    <r>
      <t>Low carbon "mix" LCOE</t>
    </r>
    <r>
      <rPr>
        <i/>
        <sz val="11"/>
        <color theme="1"/>
        <rFont val="Calibri"/>
        <family val="2"/>
        <scheme val="minor"/>
      </rPr>
      <t xml:space="preserve"> (=&gt; Inludes a network cost)</t>
    </r>
    <r>
      <rPr>
        <sz val="11"/>
        <color theme="1"/>
        <rFont val="Calibri"/>
        <family val="2"/>
        <scheme val="minor"/>
      </rPr>
      <t xml:space="preserve"> (€2020/MWh)</t>
    </r>
  </si>
  <si>
    <t>M0</t>
  </si>
  <si>
    <t>M1</t>
  </si>
  <si>
    <t>M23</t>
  </si>
  <si>
    <t>N1</t>
  </si>
  <si>
    <t>N2</t>
  </si>
  <si>
    <t>N03</t>
  </si>
  <si>
    <t>Total LCA emissions (central) -2050 (MT)</t>
  </si>
  <si>
    <t>Total LCA emissions (Pessimistic)-2050 (MT)</t>
  </si>
  <si>
    <t>Total annual cost (Md€/an)</t>
  </si>
  <si>
    <t>Emission factor (gCO2e/kWh)</t>
  </si>
  <si>
    <t>Emission factor (central) (gCO2e/kWh)</t>
  </si>
  <si>
    <t>Emission factor (pessimistic) (gCO2e/kWh)</t>
  </si>
  <si>
    <t xml:space="preserve">Lf très complexes à determiner avec ces scénarios maison: pas de prise en compte de backup par ex ==&gt; Scénarios RTE plus intéressant </t>
  </si>
  <si>
    <t>https://ec.europa.eu/eurostat/databrowser/view/nrg_pc_205/default/line?lang=en</t>
  </si>
  <si>
    <t>https://www.eea.europa.eu/ims/greenhouse-gas-emission-intensity-of-1</t>
  </si>
  <si>
    <t>USA</t>
  </si>
  <si>
    <t>https://www.statista.com/statistics/190680/us-industrial-consumer-price-estimates-for-retail-electricity-since-1970/</t>
  </si>
  <si>
    <t>NB: these prices include ETS… and market adjusmetn to the LCOE, they shoul be used as an indication only.</t>
  </si>
  <si>
    <t>[7]</t>
  </si>
  <si>
    <t>https://ourworldindata.org/grapher/carbon-intensity-electricity?time=2019</t>
  </si>
  <si>
    <t>Add a base year EF and LCOE + linear /sigmoid/exponential? A discuter</t>
  </si>
  <si>
    <t>Availability in IEA NZE (TWh)</t>
  </si>
  <si>
    <t>https://www.gov.uk/government/publications/hydrogen-production-costs-2021</t>
  </si>
  <si>
    <t>Technical and cost assumptions (2020 real prices) [4]</t>
  </si>
  <si>
    <t>Target scenario</t>
  </si>
  <si>
    <t>Base scenario</t>
  </si>
  <si>
    <t>Electricity generation</t>
  </si>
  <si>
    <t>NB: Rewables are included to be used as dedicated renewables: no network cost included in LCOE</t>
  </si>
  <si>
    <t xml:space="preserve">NB: RTE scenarios include all the systems costs, including </t>
  </si>
  <si>
    <t>They can be used only with low load factors</t>
  </si>
  <si>
    <t>Maximal Load factor</t>
  </si>
  <si>
    <t>Load factors (LF) are for europe, Wind LF is an average of offshore and onshore LF</t>
  </si>
  <si>
    <t>Specific power</t>
  </si>
  <si>
    <t>€/(kg H2/day)</t>
  </si>
  <si>
    <t>€/(kg H2/day) /year</t>
  </si>
  <si>
    <t>Liquefaction CAPEX (EUR2020/ (kgLH2/day))</t>
  </si>
  <si>
    <t>Stats (Q1,2,3)</t>
  </si>
  <si>
    <t>Hydrogen Liquefaction</t>
  </si>
  <si>
    <t>€/kg jet fuel @0.9 LF</t>
  </si>
  <si>
    <t>Total Opex *</t>
  </si>
  <si>
    <t>Total Opex* brings all OPEX to variable opex to allow comparison of the various pathways. A lod factor of 0.9 is used.</t>
  </si>
  <si>
    <t>Statistics</t>
  </si>
  <si>
    <t>Q2</t>
  </si>
  <si>
    <t>Opex</t>
  </si>
  <si>
    <t>https://www.mdpi.com/2076-3298/5/2/24</t>
  </si>
  <si>
    <t>From [4] we assume all hydrogen Co2 emissions comes from the electricity used during its production. The same is applied to liquefaction.</t>
  </si>
  <si>
    <t>Specific CO2 (kg/kg jet fuel)</t>
  </si>
  <si>
    <t>Specific electricity (KWh/kg jet fuel)</t>
  </si>
  <si>
    <t>CAPEX (€/(kg/day) jet fuel)</t>
  </si>
  <si>
    <t>Opex (€/kg jet fuel @0.9 LF)</t>
  </si>
  <si>
    <t>Cost Scenario</t>
  </si>
  <si>
    <t>PtL production</t>
  </si>
  <si>
    <t>DAC (€/kg Co2))</t>
  </si>
  <si>
    <t>Availability in IEA NZE in 2050 (TWh)</t>
  </si>
  <si>
    <t>€/kg H2</t>
  </si>
  <si>
    <t>Item</t>
  </si>
  <si>
    <t>Alkaline</t>
  </si>
  <si>
    <t>PEM</t>
  </si>
  <si>
    <t>SMR + CCUS</t>
  </si>
  <si>
    <t>MAX LF</t>
  </si>
  <si>
    <t xml:space="preserve">Europe </t>
  </si>
  <si>
    <t>([4] + [5])</t>
  </si>
  <si>
    <t xml:space="preserve">Germany </t>
  </si>
  <si>
    <t>LCOE €2020/MWh</t>
  </si>
  <si>
    <t>France</t>
  </si>
  <si>
    <t>Reference year =2014</t>
  </si>
  <si>
    <t>NB: accounting for technology progress through Q1 -Q3 sweep might be relevant</t>
  </si>
  <si>
    <t>Potential and risks of hydrogen-based e-fuels in climate change mitigation | Nature Climate Change</t>
  </si>
  <si>
    <t>Ueckertdt [7]</t>
  </si>
  <si>
    <t>CAPEX [€/(kg/d)]</t>
  </si>
  <si>
    <t>CAPEX [€/kW] -electrolysis</t>
  </si>
  <si>
    <t>CAPEX [€/(kg/d)]-electrolysis</t>
  </si>
  <si>
    <t>CAPEX [€/kW]-synthesis</t>
  </si>
  <si>
    <t>CAPEX [€/(kg/d)]-synthesis</t>
  </si>
  <si>
    <t>Ueckerdt [7] - 2020</t>
  </si>
  <si>
    <t>Ueckerdt [7] - 2030</t>
  </si>
  <si>
    <t>Ueckerdt [7] - 2050</t>
  </si>
  <si>
    <t>DAC[€/t]*</t>
  </si>
  <si>
    <t xml:space="preserve">For the statistics, only relevant entries are considered ofr a plant that do not include CO2 DAC and include hydrogen production. </t>
  </si>
  <si>
    <t>It erroneously include marginally Opex for DAC for instance in the case of Schmidt.</t>
  </si>
  <si>
    <t>All ref from https://www.sciencedirect.com/science/article/pii/S0360319921043184</t>
  </si>
  <si>
    <t>DAC</t>
  </si>
  <si>
    <t>https://www.sciencedirect.com/science/article/pii/S2590332223003007#sec3</t>
  </si>
  <si>
    <t>[1] (multiple)</t>
  </si>
  <si>
    <t>https://www.sciencedirect.com/science/article/abs/pii/S2542435124000606?via%3Dihub</t>
  </si>
  <si>
    <t>https://www.iea.org/reports/direct-air-capture-2022/executive-summary</t>
  </si>
  <si>
    <t>https://iopscience.iop.org/article/10.1088/1748-9326/aabf9f/meta</t>
  </si>
  <si>
    <t xml:space="preserve">2020 values for first plants, 2050 values for more expereience. </t>
  </si>
  <si>
    <t>2030/2050 values capped at 2030 value</t>
  </si>
  <si>
    <t>Central estimate of cheapest technology</t>
  </si>
  <si>
    <t>First value =0.9 on climeworks reference, 2050 based on littérature estimate</t>
  </si>
  <si>
    <t>[5]LO</t>
  </si>
  <si>
    <t>[5]HI</t>
  </si>
  <si>
    <t xml:space="preserve">2021 values for first plants, 2050 values for more expereience. </t>
  </si>
  <si>
    <t>All values converted using 2020 eur/usd exchnage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</si>
</sst>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%;\-0%;\-"/>
    <numFmt numFmtId="166" formatCode="0.0000"/>
    <numFmt numFmtId="167" formatCode="0.0%"/>
    <numFmt numFmtId="168" formatCode="_-* #,##0.00\ _€_-;\-* #,##0.00\ _€_-;_-* &quot;-&quot;??\ _€_-;_-@_-"/>
    <numFmt numFmtId="169" formatCode="[$€-2]\ #,##0;[Red]\-[$€-2]\ #,##0"/>
    <numFmt numFmtId="170" formatCode="#,##0.##########"/>
    <numFmt numFmtId="171" formatCode="&quot; &quot;#,##0.00&quot;   &quot;;&quot;-&quot;#,##0.00&quot;   &quot;;&quot; -&quot;00&quot;   &quot;;&quot; &quot;@&quot; &quot;"/>
    <numFmt numFmtId="172" formatCode="&quot;$&quot;#,##0\ ;\(&quot;$&quot;#,##0\)"/>
    <numFmt numFmtId="173" formatCode="0.000"/>
    <numFmt numFmtId="174" formatCode="_-* #,##0_-;\-* #,##0_-;_-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9"/>
      <name val="Arial"/>
    </font>
    <font>
      <b/>
      <sz val="9"/>
      <name val="Arial"/>
    </font>
    <font>
      <sz val="9"/>
      <name val="Arial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Courier New"/>
      <family val="3"/>
    </font>
    <font>
      <sz val="10"/>
      <name val="Calibri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rgb="FFC4E7F4"/>
      <name val="Calibri"/>
      <family val="2"/>
    </font>
    <font>
      <b/>
      <sz val="11"/>
      <color rgb="FF3EC3E2"/>
      <name val="Calibri"/>
      <family val="2"/>
    </font>
    <font>
      <b/>
      <sz val="11"/>
      <color rgb="FF1673BC"/>
      <name val="Calibri"/>
      <family val="2"/>
    </font>
    <font>
      <b/>
      <sz val="11"/>
      <color rgb="FF429EA3"/>
      <name val="Calibri"/>
      <family val="2"/>
    </font>
    <font>
      <b/>
      <sz val="11"/>
      <color rgb="FF385F59"/>
      <name val="Calibri"/>
      <family val="2"/>
    </font>
    <font>
      <b/>
      <sz val="11"/>
      <color rgb="FF53807B"/>
      <name val="Calibri"/>
      <family val="2"/>
    </font>
    <font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7FC"/>
        <bgColor rgb="FFF2F7FC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5" tint="-0.249977111117893"/>
      </left>
      <right style="hair">
        <color indexed="64"/>
      </right>
      <top style="medium">
        <color theme="5" tint="-0.249977111117893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5" tint="-0.249977111117893"/>
      </top>
      <bottom style="hair">
        <color indexed="64"/>
      </bottom>
      <diagonal/>
    </border>
    <border>
      <left style="medium">
        <color theme="5" tint="-0.249977111117893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5" tint="-0.249977111117893"/>
      </left>
      <right style="hair">
        <color indexed="64"/>
      </right>
      <top style="hair">
        <color indexed="64"/>
      </top>
      <bottom style="medium">
        <color theme="5" tint="-0.24997711111789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5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</borders>
  <cellStyleXfs count="6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6" fillId="0" borderId="0"/>
    <xf numFmtId="171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Border="0" applyProtection="0"/>
    <xf numFmtId="0" fontId="18" fillId="0" borderId="0" applyNumberFormat="0" applyBorder="0" applyProtection="0"/>
    <xf numFmtId="9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173" fontId="7" fillId="0" borderId="0"/>
    <xf numFmtId="0" fontId="7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5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0" fontId="2" fillId="0" borderId="0" xfId="0" applyFont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3" borderId="25" xfId="0" applyFont="1" applyFill="1" applyBorder="1"/>
    <xf numFmtId="0" fontId="4" fillId="3" borderId="2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1" fontId="5" fillId="2" borderId="27" xfId="0" applyNumberFormat="1" applyFont="1" applyFill="1" applyBorder="1" applyAlignment="1">
      <alignment horizontal="center"/>
    </xf>
    <xf numFmtId="1" fontId="5" fillId="2" borderId="25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center"/>
    </xf>
    <xf numFmtId="9" fontId="4" fillId="3" borderId="25" xfId="0" applyNumberFormat="1" applyFont="1" applyFill="1" applyBorder="1"/>
    <xf numFmtId="9" fontId="4" fillId="3" borderId="26" xfId="0" applyNumberFormat="1" applyFont="1" applyFill="1" applyBorder="1" applyAlignment="1">
      <alignment horizontal="center" vertical="center"/>
    </xf>
    <xf numFmtId="9" fontId="4" fillId="3" borderId="7" xfId="0" applyNumberFormat="1" applyFont="1" applyFill="1" applyBorder="1" applyAlignment="1">
      <alignment horizontal="center" vertical="center"/>
    </xf>
    <xf numFmtId="9" fontId="5" fillId="2" borderId="25" xfId="2" applyFont="1" applyFill="1" applyBorder="1" applyAlignment="1">
      <alignment horizontal="center" vertical="center"/>
    </xf>
    <xf numFmtId="9" fontId="5" fillId="2" borderId="26" xfId="2" applyFont="1" applyFill="1" applyBorder="1" applyAlignment="1">
      <alignment horizontal="center" vertical="center"/>
    </xf>
    <xf numFmtId="9" fontId="5" fillId="2" borderId="27" xfId="2" applyFont="1" applyFill="1" applyBorder="1" applyAlignment="1">
      <alignment horizontal="center" vertical="center"/>
    </xf>
    <xf numFmtId="9" fontId="5" fillId="2" borderId="8" xfId="2" applyFont="1" applyFill="1" applyBorder="1" applyAlignment="1">
      <alignment horizontal="center" vertical="center"/>
    </xf>
    <xf numFmtId="9" fontId="5" fillId="2" borderId="7" xfId="2" applyFont="1" applyFill="1" applyBorder="1" applyAlignment="1">
      <alignment horizontal="center" vertical="center"/>
    </xf>
    <xf numFmtId="9" fontId="5" fillId="2" borderId="25" xfId="2" applyFont="1" applyFill="1" applyBorder="1" applyAlignment="1">
      <alignment horizontal="center"/>
    </xf>
    <xf numFmtId="9" fontId="5" fillId="2" borderId="26" xfId="2" applyFont="1" applyFill="1" applyBorder="1" applyAlignment="1">
      <alignment horizontal="center"/>
    </xf>
    <xf numFmtId="9" fontId="5" fillId="2" borderId="7" xfId="2" applyFont="1" applyFill="1" applyBorder="1" applyAlignment="1">
      <alignment horizontal="center"/>
    </xf>
    <xf numFmtId="9" fontId="5" fillId="2" borderId="27" xfId="2" applyFont="1" applyFill="1" applyBorder="1" applyAlignment="1">
      <alignment horizontal="center"/>
    </xf>
    <xf numFmtId="9" fontId="7" fillId="2" borderId="8" xfId="2" applyFont="1" applyFill="1" applyBorder="1" applyAlignment="1">
      <alignment horizontal="center" wrapText="1"/>
    </xf>
    <xf numFmtId="9" fontId="7" fillId="2" borderId="26" xfId="2" applyFont="1" applyFill="1" applyBorder="1" applyAlignment="1">
      <alignment horizontal="center" wrapText="1"/>
    </xf>
    <xf numFmtId="9" fontId="7" fillId="2" borderId="27" xfId="2" applyFont="1" applyFill="1" applyBorder="1" applyAlignment="1">
      <alignment horizontal="center" wrapText="1"/>
    </xf>
    <xf numFmtId="9" fontId="5" fillId="2" borderId="0" xfId="0" applyNumberFormat="1" applyFont="1" applyFill="1" applyAlignment="1">
      <alignment horizontal="center"/>
    </xf>
    <xf numFmtId="9" fontId="5" fillId="2" borderId="0" xfId="2" applyFont="1" applyFill="1" applyBorder="1" applyAlignment="1">
      <alignment horizontal="center"/>
    </xf>
    <xf numFmtId="43" fontId="5" fillId="2" borderId="25" xfId="2" applyNumberFormat="1" applyFont="1" applyFill="1" applyBorder="1" applyAlignment="1">
      <alignment horizontal="center"/>
    </xf>
    <xf numFmtId="43" fontId="5" fillId="2" borderId="26" xfId="2" applyNumberFormat="1" applyFont="1" applyFill="1" applyBorder="1" applyAlignment="1">
      <alignment horizontal="center"/>
    </xf>
    <xf numFmtId="43" fontId="5" fillId="2" borderId="27" xfId="2" applyNumberFormat="1" applyFont="1" applyFill="1" applyBorder="1" applyAlignment="1">
      <alignment horizontal="center"/>
    </xf>
    <xf numFmtId="43" fontId="5" fillId="2" borderId="8" xfId="1" applyFont="1" applyFill="1" applyBorder="1" applyAlignment="1">
      <alignment horizontal="center" vertical="center"/>
    </xf>
    <xf numFmtId="43" fontId="5" fillId="2" borderId="26" xfId="1" applyFont="1" applyFill="1" applyBorder="1" applyAlignment="1">
      <alignment horizontal="center" vertical="center"/>
    </xf>
    <xf numFmtId="43" fontId="5" fillId="2" borderId="7" xfId="1" applyFont="1" applyFill="1" applyBorder="1" applyAlignment="1">
      <alignment horizontal="center" vertical="center"/>
    </xf>
    <xf numFmtId="164" fontId="7" fillId="2" borderId="25" xfId="1" applyNumberFormat="1" applyFont="1" applyFill="1" applyBorder="1" applyAlignment="1">
      <alignment horizontal="center" vertical="center" wrapText="1"/>
    </xf>
    <xf numFmtId="164" fontId="7" fillId="2" borderId="26" xfId="1" applyNumberFormat="1" applyFont="1" applyFill="1" applyBorder="1" applyAlignment="1">
      <alignment horizontal="center" vertical="center" wrapText="1"/>
    </xf>
    <xf numFmtId="164" fontId="7" fillId="2" borderId="27" xfId="1" applyNumberFormat="1" applyFont="1" applyFill="1" applyBorder="1" applyAlignment="1">
      <alignment horizontal="center" vertical="center" wrapText="1"/>
    </xf>
    <xf numFmtId="43" fontId="5" fillId="2" borderId="25" xfId="1" applyFont="1" applyFill="1" applyBorder="1" applyAlignment="1">
      <alignment horizontal="center"/>
    </xf>
    <xf numFmtId="43" fontId="5" fillId="2" borderId="26" xfId="1" applyFont="1" applyFill="1" applyBorder="1" applyAlignment="1">
      <alignment horizontal="center"/>
    </xf>
    <xf numFmtId="43" fontId="5" fillId="2" borderId="7" xfId="1" applyFont="1" applyFill="1" applyBorder="1" applyAlignment="1">
      <alignment horizontal="center"/>
    </xf>
    <xf numFmtId="43" fontId="5" fillId="2" borderId="27" xfId="1" applyFont="1" applyFill="1" applyBorder="1" applyAlignment="1">
      <alignment horizontal="center"/>
    </xf>
    <xf numFmtId="43" fontId="7" fillId="2" borderId="25" xfId="1" applyFont="1" applyFill="1" applyBorder="1" applyAlignment="1">
      <alignment horizontal="center" wrapText="1"/>
    </xf>
    <xf numFmtId="43" fontId="7" fillId="2" borderId="26" xfId="1" applyFont="1" applyFill="1" applyBorder="1" applyAlignment="1">
      <alignment horizontal="center" wrapText="1"/>
    </xf>
    <xf numFmtId="43" fontId="7" fillId="2" borderId="27" xfId="1" applyFont="1" applyFill="1" applyBorder="1" applyAlignment="1">
      <alignment horizontal="center" wrapText="1"/>
    </xf>
    <xf numFmtId="43" fontId="7" fillId="2" borderId="8" xfId="1" applyFont="1" applyFill="1" applyBorder="1" applyAlignment="1">
      <alignment horizontal="center" wrapText="1"/>
    </xf>
    <xf numFmtId="43" fontId="5" fillId="2" borderId="25" xfId="0" applyNumberFormat="1" applyFont="1" applyFill="1" applyBorder="1" applyAlignment="1">
      <alignment horizontal="center"/>
    </xf>
    <xf numFmtId="43" fontId="5" fillId="2" borderId="26" xfId="0" applyNumberFormat="1" applyFont="1" applyFill="1" applyBorder="1" applyAlignment="1">
      <alignment horizontal="center"/>
    </xf>
    <xf numFmtId="43" fontId="5" fillId="2" borderId="27" xfId="0" applyNumberFormat="1" applyFont="1" applyFill="1" applyBorder="1" applyAlignment="1">
      <alignment horizontal="center"/>
    </xf>
    <xf numFmtId="164" fontId="5" fillId="2" borderId="25" xfId="1" applyNumberFormat="1" applyFont="1" applyFill="1" applyBorder="1" applyAlignment="1">
      <alignment horizontal="center" vertical="center"/>
    </xf>
    <xf numFmtId="164" fontId="5" fillId="2" borderId="26" xfId="1" applyNumberFormat="1" applyFont="1" applyFill="1" applyBorder="1" applyAlignment="1">
      <alignment horizontal="center" vertical="center"/>
    </xf>
    <xf numFmtId="164" fontId="5" fillId="2" borderId="27" xfId="1" applyNumberFormat="1" applyFont="1" applyFill="1" applyBorder="1" applyAlignment="1">
      <alignment horizontal="center" vertical="center"/>
    </xf>
    <xf numFmtId="164" fontId="5" fillId="2" borderId="25" xfId="1" applyNumberFormat="1" applyFont="1" applyFill="1" applyBorder="1" applyAlignment="1">
      <alignment horizontal="center"/>
    </xf>
    <xf numFmtId="164" fontId="5" fillId="2" borderId="26" xfId="1" applyNumberFormat="1" applyFont="1" applyFill="1" applyBorder="1" applyAlignment="1">
      <alignment horizontal="center"/>
    </xf>
    <xf numFmtId="164" fontId="5" fillId="2" borderId="7" xfId="1" applyNumberFormat="1" applyFont="1" applyFill="1" applyBorder="1" applyAlignment="1">
      <alignment horizontal="center"/>
    </xf>
    <xf numFmtId="164" fontId="5" fillId="2" borderId="27" xfId="1" applyNumberFormat="1" applyFont="1" applyFill="1" applyBorder="1" applyAlignment="1">
      <alignment horizontal="center"/>
    </xf>
    <xf numFmtId="164" fontId="7" fillId="2" borderId="25" xfId="1" applyNumberFormat="1" applyFont="1" applyFill="1" applyBorder="1" applyAlignment="1">
      <alignment horizontal="center" wrapText="1"/>
    </xf>
    <xf numFmtId="164" fontId="7" fillId="2" borderId="26" xfId="1" applyNumberFormat="1" applyFont="1" applyFill="1" applyBorder="1" applyAlignment="1">
      <alignment horizontal="center" wrapText="1"/>
    </xf>
    <xf numFmtId="164" fontId="7" fillId="2" borderId="27" xfId="1" applyNumberFormat="1" applyFont="1" applyFill="1" applyBorder="1" applyAlignment="1">
      <alignment horizontal="center" wrapText="1"/>
    </xf>
    <xf numFmtId="2" fontId="7" fillId="2" borderId="8" xfId="1" applyNumberFormat="1" applyFont="1" applyFill="1" applyBorder="1" applyAlignment="1">
      <alignment horizontal="center" wrapText="1"/>
    </xf>
    <xf numFmtId="2" fontId="7" fillId="2" borderId="26" xfId="1" applyNumberFormat="1" applyFont="1" applyFill="1" applyBorder="1" applyAlignment="1">
      <alignment horizontal="center" wrapText="1"/>
    </xf>
    <xf numFmtId="2" fontId="7" fillId="2" borderId="27" xfId="1" applyNumberFormat="1" applyFont="1" applyFill="1" applyBorder="1" applyAlignment="1">
      <alignment horizontal="center" wrapText="1"/>
    </xf>
    <xf numFmtId="164" fontId="7" fillId="2" borderId="8" xfId="1" applyNumberFormat="1" applyFont="1" applyFill="1" applyBorder="1" applyAlignment="1">
      <alignment horizontal="center" wrapText="1"/>
    </xf>
    <xf numFmtId="164" fontId="5" fillId="2" borderId="8" xfId="1" applyNumberFormat="1" applyFont="1" applyFill="1" applyBorder="1" applyAlignment="1">
      <alignment horizontal="center"/>
    </xf>
    <xf numFmtId="43" fontId="5" fillId="2" borderId="7" xfId="0" applyNumberFormat="1" applyFont="1" applyFill="1" applyBorder="1" applyAlignment="1">
      <alignment horizontal="center"/>
    </xf>
    <xf numFmtId="43" fontId="7" fillId="2" borderId="25" xfId="2" applyNumberFormat="1" applyFont="1" applyFill="1" applyBorder="1" applyAlignment="1">
      <alignment horizontal="center" wrapText="1"/>
    </xf>
    <xf numFmtId="43" fontId="7" fillId="2" borderId="26" xfId="2" applyNumberFormat="1" applyFont="1" applyFill="1" applyBorder="1" applyAlignment="1">
      <alignment horizontal="center" wrapText="1"/>
    </xf>
    <xf numFmtId="43" fontId="7" fillId="2" borderId="27" xfId="2" applyNumberFormat="1" applyFont="1" applyFill="1" applyBorder="1" applyAlignment="1">
      <alignment horizontal="center" wrapText="1"/>
    </xf>
    <xf numFmtId="43" fontId="8" fillId="2" borderId="8" xfId="2" applyNumberFormat="1" applyFont="1" applyFill="1" applyBorder="1" applyAlignment="1">
      <alignment horizontal="center" wrapText="1"/>
    </xf>
    <xf numFmtId="43" fontId="8" fillId="2" borderId="26" xfId="2" applyNumberFormat="1" applyFont="1" applyFill="1" applyBorder="1" applyAlignment="1">
      <alignment horizontal="center" wrapText="1"/>
    </xf>
    <xf numFmtId="43" fontId="8" fillId="2" borderId="27" xfId="2" applyNumberFormat="1" applyFont="1" applyFill="1" applyBorder="1" applyAlignment="1">
      <alignment horizontal="center" wrapText="1"/>
    </xf>
    <xf numFmtId="1" fontId="5" fillId="2" borderId="25" xfId="0" applyNumberFormat="1" applyFont="1" applyFill="1" applyBorder="1" applyAlignment="1">
      <alignment horizontal="center" vertical="center"/>
    </xf>
    <xf numFmtId="1" fontId="5" fillId="2" borderId="26" xfId="0" applyNumberFormat="1" applyFont="1" applyFill="1" applyBorder="1" applyAlignment="1">
      <alignment horizontal="center" vertical="center"/>
    </xf>
    <xf numFmtId="1" fontId="5" fillId="2" borderId="27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25" xfId="2" applyNumberFormat="1" applyFont="1" applyFill="1" applyBorder="1" applyAlignment="1">
      <alignment horizontal="center" vertical="center" wrapText="1"/>
    </xf>
    <xf numFmtId="1" fontId="5" fillId="2" borderId="26" xfId="2" applyNumberFormat="1" applyFont="1" applyFill="1" applyBorder="1" applyAlignment="1">
      <alignment horizontal="center" vertical="center" wrapText="1"/>
    </xf>
    <xf numFmtId="1" fontId="5" fillId="2" borderId="27" xfId="2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0" fontId="5" fillId="2" borderId="0" xfId="2" applyNumberFormat="1" applyFont="1" applyFill="1" applyBorder="1" applyAlignment="1">
      <alignment horizontal="center"/>
    </xf>
    <xf numFmtId="1" fontId="5" fillId="2" borderId="28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5" fillId="0" borderId="25" xfId="0" applyNumberFormat="1" applyFont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" fontId="5" fillId="2" borderId="26" xfId="2" applyNumberFormat="1" applyFont="1" applyFill="1" applyBorder="1" applyAlignment="1">
      <alignment horizontal="center"/>
    </xf>
    <xf numFmtId="1" fontId="5" fillId="2" borderId="25" xfId="2" applyNumberFormat="1" applyFont="1" applyFill="1" applyBorder="1" applyAlignment="1">
      <alignment horizontal="center"/>
    </xf>
    <xf numFmtId="1" fontId="5" fillId="2" borderId="0" xfId="2" applyNumberFormat="1" applyFont="1" applyFill="1" applyBorder="1" applyAlignment="1">
      <alignment horizontal="center"/>
    </xf>
    <xf numFmtId="165" fontId="5" fillId="2" borderId="25" xfId="2" applyNumberFormat="1" applyFont="1" applyFill="1" applyBorder="1" applyAlignment="1">
      <alignment horizontal="center"/>
    </xf>
    <xf numFmtId="165" fontId="5" fillId="2" borderId="26" xfId="2" applyNumberFormat="1" applyFont="1" applyFill="1" applyBorder="1" applyAlignment="1">
      <alignment horizontal="center"/>
    </xf>
    <xf numFmtId="165" fontId="5" fillId="2" borderId="27" xfId="2" applyNumberFormat="1" applyFont="1" applyFill="1" applyBorder="1" applyAlignment="1">
      <alignment horizontal="center"/>
    </xf>
    <xf numFmtId="165" fontId="5" fillId="2" borderId="8" xfId="2" applyNumberFormat="1" applyFon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/>
    </xf>
    <xf numFmtId="165" fontId="5" fillId="2" borderId="0" xfId="2" applyNumberFormat="1" applyFont="1" applyFill="1" applyBorder="1" applyAlignment="1">
      <alignment horizontal="center"/>
    </xf>
    <xf numFmtId="0" fontId="7" fillId="2" borderId="26" xfId="2" applyNumberFormat="1" applyFont="1" applyFill="1" applyBorder="1" applyAlignment="1">
      <alignment horizontal="center" wrapText="1"/>
    </xf>
    <xf numFmtId="1" fontId="5" fillId="2" borderId="0" xfId="0" applyNumberFormat="1" applyFont="1" applyFill="1"/>
    <xf numFmtId="0" fontId="5" fillId="0" borderId="8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5" xfId="0" applyFont="1" applyBorder="1"/>
    <xf numFmtId="0" fontId="5" fillId="0" borderId="27" xfId="0" applyFont="1" applyBorder="1" applyAlignment="1">
      <alignment horizontal="center"/>
    </xf>
    <xf numFmtId="1" fontId="5" fillId="2" borderId="25" xfId="1" applyNumberFormat="1" applyFont="1" applyFill="1" applyBorder="1" applyAlignment="1">
      <alignment horizontal="center"/>
    </xf>
    <xf numFmtId="1" fontId="5" fillId="2" borderId="26" xfId="1" applyNumberFormat="1" applyFont="1" applyFill="1" applyBorder="1" applyAlignment="1">
      <alignment horizontal="center"/>
    </xf>
    <xf numFmtId="1" fontId="5" fillId="2" borderId="27" xfId="1" applyNumberFormat="1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166" fontId="5" fillId="2" borderId="25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27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left" indent="1"/>
    </xf>
    <xf numFmtId="0" fontId="5" fillId="0" borderId="26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5" fillId="2" borderId="12" xfId="0" applyFont="1" applyFill="1" applyBorder="1" applyAlignment="1">
      <alignment horizontal="center"/>
    </xf>
    <xf numFmtId="166" fontId="5" fillId="0" borderId="26" xfId="0" applyNumberFormat="1" applyFont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0" fontId="4" fillId="3" borderId="29" xfId="0" applyFont="1" applyFill="1" applyBorder="1" applyAlignment="1">
      <alignment wrapText="1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9" fontId="5" fillId="2" borderId="29" xfId="0" applyNumberFormat="1" applyFont="1" applyFill="1" applyBorder="1" applyAlignment="1">
      <alignment horizontal="center"/>
    </xf>
    <xf numFmtId="9" fontId="5" fillId="2" borderId="30" xfId="0" applyNumberFormat="1" applyFont="1" applyFill="1" applyBorder="1" applyAlignment="1">
      <alignment horizontal="center"/>
    </xf>
    <xf numFmtId="9" fontId="5" fillId="2" borderId="32" xfId="0" applyNumberFormat="1" applyFont="1" applyFill="1" applyBorder="1" applyAlignment="1">
      <alignment horizontal="center"/>
    </xf>
    <xf numFmtId="9" fontId="5" fillId="2" borderId="33" xfId="0" applyNumberFormat="1" applyFont="1" applyFill="1" applyBorder="1" applyAlignment="1">
      <alignment horizontal="center"/>
    </xf>
    <xf numFmtId="9" fontId="5" fillId="2" borderId="31" xfId="0" applyNumberFormat="1" applyFont="1" applyFill="1" applyBorder="1" applyAlignment="1">
      <alignment horizontal="center"/>
    </xf>
    <xf numFmtId="167" fontId="5" fillId="2" borderId="0" xfId="2" applyNumberFormat="1" applyFont="1" applyFill="1" applyBorder="1" applyAlignment="1">
      <alignment horizontal="center"/>
    </xf>
    <xf numFmtId="43" fontId="5" fillId="2" borderId="0" xfId="0" applyNumberFormat="1" applyFont="1" applyFill="1" applyAlignment="1">
      <alignment horizontal="center"/>
    </xf>
    <xf numFmtId="0" fontId="4" fillId="3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vertical="center" wrapText="1"/>
    </xf>
    <xf numFmtId="0" fontId="4" fillId="3" borderId="21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9" fontId="7" fillId="2" borderId="0" xfId="2" applyFont="1" applyFill="1" applyBorder="1" applyAlignment="1">
      <alignment horizontal="center" wrapText="1"/>
    </xf>
    <xf numFmtId="43" fontId="5" fillId="2" borderId="0" xfId="1" applyFont="1" applyFill="1" applyBorder="1" applyAlignment="1">
      <alignment horizontal="center"/>
    </xf>
    <xf numFmtId="43" fontId="7" fillId="2" borderId="0" xfId="1" applyFont="1" applyFill="1" applyBorder="1" applyAlignment="1">
      <alignment horizontal="center" wrapText="1"/>
    </xf>
    <xf numFmtId="164" fontId="5" fillId="2" borderId="0" xfId="1" applyNumberFormat="1" applyFont="1" applyFill="1" applyBorder="1" applyAlignment="1">
      <alignment horizontal="center"/>
    </xf>
    <xf numFmtId="164" fontId="7" fillId="2" borderId="0" xfId="1" applyNumberFormat="1" applyFont="1" applyFill="1" applyBorder="1" applyAlignment="1">
      <alignment horizontal="center" wrapText="1"/>
    </xf>
    <xf numFmtId="2" fontId="7" fillId="2" borderId="0" xfId="1" applyNumberFormat="1" applyFont="1" applyFill="1" applyBorder="1" applyAlignment="1">
      <alignment horizontal="center" wrapText="1"/>
    </xf>
    <xf numFmtId="43" fontId="7" fillId="2" borderId="0" xfId="2" applyNumberFormat="1" applyFont="1" applyFill="1" applyBorder="1" applyAlignment="1">
      <alignment horizontal="center" wrapText="1"/>
    </xf>
    <xf numFmtId="43" fontId="5" fillId="2" borderId="0" xfId="2" applyNumberFormat="1" applyFont="1" applyFill="1" applyBorder="1" applyAlignment="1">
      <alignment horizontal="center"/>
    </xf>
    <xf numFmtId="43" fontId="8" fillId="2" borderId="0" xfId="2" applyNumberFormat="1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" fontId="5" fillId="2" borderId="0" xfId="1" applyNumberFormat="1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indent="1"/>
    </xf>
    <xf numFmtId="9" fontId="5" fillId="2" borderId="0" xfId="0" applyNumberFormat="1" applyFont="1" applyFill="1" applyBorder="1" applyAlignment="1">
      <alignment horizontal="center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/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9" fontId="5" fillId="0" borderId="25" xfId="2" applyFont="1" applyFill="1" applyBorder="1" applyAlignment="1">
      <alignment horizontal="center" vertical="center"/>
    </xf>
    <xf numFmtId="9" fontId="5" fillId="0" borderId="26" xfId="2" applyFont="1" applyFill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64" fontId="7" fillId="0" borderId="25" xfId="1" applyNumberFormat="1" applyFont="1" applyFill="1" applyBorder="1" applyAlignment="1">
      <alignment horizontal="center" vertical="center" wrapText="1"/>
    </xf>
    <xf numFmtId="1" fontId="5" fillId="0" borderId="25" xfId="2" applyNumberFormat="1" applyFont="1" applyFill="1" applyBorder="1" applyAlignment="1">
      <alignment horizontal="center" vertical="center" wrapText="1"/>
    </xf>
    <xf numFmtId="1" fontId="5" fillId="0" borderId="26" xfId="2" applyNumberFormat="1" applyFont="1" applyFill="1" applyBorder="1" applyAlignment="1">
      <alignment horizontal="center" vertical="center" wrapText="1"/>
    </xf>
    <xf numFmtId="1" fontId="5" fillId="0" borderId="27" xfId="2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/>
    </xf>
    <xf numFmtId="1" fontId="5" fillId="0" borderId="25" xfId="2" applyNumberFormat="1" applyFont="1" applyFill="1" applyBorder="1" applyAlignment="1">
      <alignment horizontal="center"/>
    </xf>
    <xf numFmtId="1" fontId="5" fillId="0" borderId="26" xfId="2" applyNumberFormat="1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165" fontId="5" fillId="0" borderId="25" xfId="2" applyNumberFormat="1" applyFont="1" applyFill="1" applyBorder="1" applyAlignment="1">
      <alignment horizontal="center"/>
    </xf>
    <xf numFmtId="165" fontId="5" fillId="0" borderId="26" xfId="2" applyNumberFormat="1" applyFont="1" applyFill="1" applyBorder="1" applyAlignment="1">
      <alignment horizontal="center"/>
    </xf>
    <xf numFmtId="165" fontId="5" fillId="0" borderId="27" xfId="2" applyNumberFormat="1" applyFont="1" applyFill="1" applyBorder="1" applyAlignment="1">
      <alignment horizontal="center"/>
    </xf>
    <xf numFmtId="165" fontId="5" fillId="0" borderId="8" xfId="2" applyNumberFormat="1" applyFont="1" applyFill="1" applyBorder="1" applyAlignment="1">
      <alignment horizontal="center"/>
    </xf>
    <xf numFmtId="166" fontId="5" fillId="0" borderId="25" xfId="0" applyNumberFormat="1" applyFont="1" applyFill="1" applyBorder="1" applyAlignment="1">
      <alignment horizontal="center"/>
    </xf>
    <xf numFmtId="9" fontId="5" fillId="0" borderId="33" xfId="0" applyNumberFormat="1" applyFont="1" applyFill="1" applyBorder="1" applyAlignment="1">
      <alignment horizontal="center"/>
    </xf>
    <xf numFmtId="9" fontId="5" fillId="0" borderId="30" xfId="0" applyNumberFormat="1" applyFont="1" applyFill="1" applyBorder="1" applyAlignment="1">
      <alignment horizontal="center"/>
    </xf>
    <xf numFmtId="9" fontId="5" fillId="0" borderId="32" xfId="0" applyNumberFormat="1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3" borderId="39" xfId="0" applyFont="1" applyFill="1" applyBorder="1" applyAlignment="1">
      <alignment vertical="center" wrapText="1"/>
    </xf>
    <xf numFmtId="0" fontId="4" fillId="3" borderId="40" xfId="0" applyFont="1" applyFill="1" applyBorder="1" applyAlignment="1">
      <alignment vertical="center" wrapText="1"/>
    </xf>
    <xf numFmtId="0" fontId="4" fillId="0" borderId="39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34" xfId="0" applyFont="1" applyFill="1" applyBorder="1" applyAlignment="1">
      <alignment vertical="center"/>
    </xf>
    <xf numFmtId="1" fontId="5" fillId="2" borderId="36" xfId="0" applyNumberFormat="1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" fontId="5" fillId="2" borderId="29" xfId="0" applyNumberFormat="1" applyFont="1" applyFill="1" applyBorder="1" applyAlignment="1">
      <alignment horizontal="center" vertical="center"/>
    </xf>
    <xf numFmtId="1" fontId="5" fillId="2" borderId="21" xfId="0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1" fontId="5" fillId="2" borderId="35" xfId="0" applyNumberFormat="1" applyFont="1" applyFill="1" applyBorder="1" applyAlignment="1">
      <alignment horizontal="center" vertical="center"/>
    </xf>
    <xf numFmtId="1" fontId="5" fillId="2" borderId="43" xfId="0" applyNumberFormat="1" applyFont="1" applyFill="1" applyBorder="1" applyAlignment="1">
      <alignment horizontal="center" vertical="center"/>
    </xf>
    <xf numFmtId="1" fontId="5" fillId="2" borderId="44" xfId="0" applyNumberFormat="1" applyFont="1" applyFill="1" applyBorder="1" applyAlignment="1">
      <alignment horizontal="center" vertical="center"/>
    </xf>
    <xf numFmtId="1" fontId="5" fillId="2" borderId="4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46" xfId="0" applyNumberFormat="1" applyFont="1" applyFill="1" applyBorder="1" applyAlignment="1">
      <alignment horizontal="center" vertical="center"/>
    </xf>
    <xf numFmtId="3" fontId="0" fillId="0" borderId="0" xfId="0" applyNumberFormat="1" applyBorder="1"/>
    <xf numFmtId="9" fontId="0" fillId="0" borderId="0" xfId="2" applyFont="1" applyBorder="1"/>
    <xf numFmtId="0" fontId="0" fillId="0" borderId="34" xfId="0" applyBorder="1"/>
    <xf numFmtId="43" fontId="0" fillId="0" borderId="0" xfId="1" applyFont="1" applyBorder="1"/>
    <xf numFmtId="43" fontId="0" fillId="0" borderId="10" xfId="1" applyFont="1" applyBorder="1"/>
    <xf numFmtId="0" fontId="0" fillId="0" borderId="0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8" fontId="0" fillId="0" borderId="0" xfId="0" applyNumberFormat="1" applyBorder="1"/>
    <xf numFmtId="3" fontId="0" fillId="0" borderId="52" xfId="0" applyNumberFormat="1" applyBorder="1"/>
    <xf numFmtId="0" fontId="10" fillId="0" borderId="0" xfId="3"/>
    <xf numFmtId="0" fontId="0" fillId="0" borderId="57" xfId="0" applyFill="1" applyBorder="1"/>
    <xf numFmtId="169" fontId="0" fillId="0" borderId="53" xfId="0" applyNumberFormat="1" applyBorder="1"/>
    <xf numFmtId="169" fontId="0" fillId="0" borderId="11" xfId="0" applyNumberFormat="1" applyBorder="1"/>
    <xf numFmtId="0" fontId="11" fillId="4" borderId="59" xfId="0" applyFont="1" applyFill="1" applyBorder="1" applyAlignment="1">
      <alignment horizontal="left" vertical="center"/>
    </xf>
    <xf numFmtId="0" fontId="11" fillId="4" borderId="59" xfId="0" applyFont="1" applyFill="1" applyBorder="1" applyAlignment="1">
      <alignment horizontal="right" vertical="center"/>
    </xf>
    <xf numFmtId="170" fontId="13" fillId="0" borderId="0" xfId="0" applyNumberFormat="1" applyFont="1" applyAlignment="1">
      <alignment horizontal="right" vertical="center" shrinkToFit="1"/>
    </xf>
    <xf numFmtId="0" fontId="12" fillId="5" borderId="59" xfId="0" applyFont="1" applyFill="1" applyBorder="1" applyAlignment="1">
      <alignment horizontal="left" vertical="center"/>
    </xf>
    <xf numFmtId="4" fontId="13" fillId="0" borderId="0" xfId="0" applyNumberFormat="1" applyFont="1" applyAlignment="1">
      <alignment horizontal="right" vertical="center" shrinkToFit="1"/>
    </xf>
    <xf numFmtId="0" fontId="7" fillId="0" borderId="0" xfId="4" applyNumberFormat="1" applyFont="1" applyFill="1" applyBorder="1" applyAlignment="1" applyProtection="1">
      <alignment horizontal="left" vertical="center"/>
    </xf>
    <xf numFmtId="4" fontId="7" fillId="0" borderId="0" xfId="4" applyNumberFormat="1" applyFont="1" applyFill="1" applyBorder="1" applyAlignment="1" applyProtection="1">
      <alignment horizontal="right" vertical="center"/>
    </xf>
    <xf numFmtId="0" fontId="9" fillId="0" borderId="0" xfId="0" applyFont="1" applyBorder="1"/>
    <xf numFmtId="169" fontId="0" fillId="0" borderId="0" xfId="0" applyNumberFormat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169" fontId="0" fillId="0" borderId="13" xfId="0" applyNumberFormat="1" applyBorder="1"/>
    <xf numFmtId="0" fontId="0" fillId="0" borderId="13" xfId="0" applyFill="1" applyBorder="1"/>
    <xf numFmtId="168" fontId="0" fillId="0" borderId="13" xfId="0" applyNumberFormat="1" applyBorder="1"/>
    <xf numFmtId="0" fontId="0" fillId="0" borderId="16" xfId="0" applyFill="1" applyBorder="1"/>
    <xf numFmtId="0" fontId="0" fillId="8" borderId="60" xfId="0" applyFill="1" applyBorder="1"/>
    <xf numFmtId="0" fontId="0" fillId="8" borderId="61" xfId="0" applyFill="1" applyBorder="1"/>
    <xf numFmtId="0" fontId="0" fillId="8" borderId="62" xfId="0" applyFill="1" applyBorder="1"/>
    <xf numFmtId="169" fontId="0" fillId="8" borderId="62" xfId="0" applyNumberFormat="1" applyFill="1" applyBorder="1"/>
    <xf numFmtId="0" fontId="0" fillId="8" borderId="63" xfId="0" applyFill="1" applyBorder="1"/>
    <xf numFmtId="0" fontId="0" fillId="8" borderId="64" xfId="0" applyFill="1" applyBorder="1"/>
    <xf numFmtId="0" fontId="0" fillId="8" borderId="65" xfId="0" applyFill="1" applyBorder="1"/>
    <xf numFmtId="3" fontId="0" fillId="0" borderId="10" xfId="0" applyNumberFormat="1" applyBorder="1"/>
    <xf numFmtId="0" fontId="0" fillId="0" borderId="66" xfId="0" applyBorder="1"/>
    <xf numFmtId="0" fontId="0" fillId="0" borderId="67" xfId="0" applyBorder="1"/>
    <xf numFmtId="0" fontId="9" fillId="0" borderId="0" xfId="0" applyFont="1" applyFill="1" applyBorder="1"/>
    <xf numFmtId="0" fontId="10" fillId="0" borderId="12" xfId="3" applyBorder="1"/>
    <xf numFmtId="0" fontId="0" fillId="0" borderId="68" xfId="0" applyBorder="1" applyAlignment="1">
      <alignment wrapText="1"/>
    </xf>
    <xf numFmtId="0" fontId="15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68" xfId="0" applyBorder="1"/>
    <xf numFmtId="1" fontId="16" fillId="0" borderId="0" xfId="10" applyNumberFormat="1" applyFill="1" applyBorder="1" applyAlignment="1">
      <alignment horizontal="center" vertical="center"/>
    </xf>
    <xf numFmtId="0" fontId="16" fillId="10" borderId="0" xfId="10" applyFill="1" applyBorder="1"/>
    <xf numFmtId="3" fontId="0" fillId="0" borderId="13" xfId="0" applyNumberFormat="1" applyBorder="1"/>
    <xf numFmtId="0" fontId="16" fillId="10" borderId="67" xfId="10" applyFill="1" applyBorder="1"/>
    <xf numFmtId="164" fontId="0" fillId="0" borderId="0" xfId="0" applyNumberFormat="1" applyBorder="1"/>
    <xf numFmtId="164" fontId="0" fillId="0" borderId="15" xfId="0" applyNumberFormat="1" applyBorder="1"/>
    <xf numFmtId="0" fontId="19" fillId="10" borderId="69" xfId="10" applyFont="1" applyFill="1" applyBorder="1" applyAlignment="1">
      <alignment horizontal="center" vertical="center"/>
    </xf>
    <xf numFmtId="0" fontId="19" fillId="10" borderId="70" xfId="10" applyFont="1" applyFill="1" applyBorder="1" applyAlignment="1">
      <alignment horizontal="center" vertical="center"/>
    </xf>
    <xf numFmtId="0" fontId="19" fillId="10" borderId="71" xfId="10" applyFont="1" applyFill="1" applyBorder="1" applyAlignment="1">
      <alignment horizontal="center" vertical="center"/>
    </xf>
    <xf numFmtId="0" fontId="16" fillId="10" borderId="26" xfId="10" applyFill="1" applyBorder="1"/>
    <xf numFmtId="1" fontId="16" fillId="10" borderId="26" xfId="10" applyNumberFormat="1" applyFill="1" applyBorder="1" applyAlignment="1">
      <alignment horizontal="center"/>
    </xf>
    <xf numFmtId="0" fontId="16" fillId="10" borderId="18" xfId="10" applyFill="1" applyBorder="1"/>
    <xf numFmtId="1" fontId="16" fillId="10" borderId="18" xfId="10" applyNumberFormat="1" applyFill="1" applyBorder="1" applyAlignment="1">
      <alignment horizontal="center"/>
    </xf>
    <xf numFmtId="1" fontId="16" fillId="10" borderId="20" xfId="10" applyNumberFormat="1" applyFill="1" applyBorder="1" applyAlignment="1">
      <alignment horizontal="center"/>
    </xf>
    <xf numFmtId="1" fontId="16" fillId="10" borderId="27" xfId="10" applyNumberFormat="1" applyFill="1" applyBorder="1" applyAlignment="1">
      <alignment horizontal="center"/>
    </xf>
    <xf numFmtId="0" fontId="16" fillId="10" borderId="30" xfId="10" applyFill="1" applyBorder="1"/>
    <xf numFmtId="1" fontId="16" fillId="10" borderId="30" xfId="10" applyNumberFormat="1" applyFill="1" applyBorder="1" applyAlignment="1">
      <alignment horizontal="center"/>
    </xf>
    <xf numFmtId="1" fontId="16" fillId="10" borderId="32" xfId="10" applyNumberFormat="1" applyFill="1" applyBorder="1" applyAlignment="1">
      <alignment horizontal="center"/>
    </xf>
    <xf numFmtId="0" fontId="16" fillId="10" borderId="17" xfId="10" applyFont="1" applyFill="1" applyBorder="1" applyAlignment="1">
      <alignment vertical="center" wrapText="1"/>
    </xf>
    <xf numFmtId="0" fontId="16" fillId="10" borderId="25" xfId="10" applyFont="1" applyFill="1" applyBorder="1" applyAlignment="1">
      <alignment vertical="center" wrapText="1"/>
    </xf>
    <xf numFmtId="0" fontId="16" fillId="10" borderId="29" xfId="10" applyFont="1" applyFill="1" applyBorder="1" applyAlignment="1">
      <alignment vertical="center" wrapText="1"/>
    </xf>
    <xf numFmtId="0" fontId="16" fillId="10" borderId="47" xfId="10" applyFont="1" applyFill="1" applyBorder="1" applyAlignment="1">
      <alignment vertical="center" wrapText="1"/>
    </xf>
    <xf numFmtId="0" fontId="16" fillId="10" borderId="49" xfId="10" applyFill="1" applyBorder="1"/>
    <xf numFmtId="1" fontId="16" fillId="10" borderId="49" xfId="10" applyNumberFormat="1" applyFill="1" applyBorder="1" applyAlignment="1">
      <alignment horizontal="center"/>
    </xf>
    <xf numFmtId="1" fontId="16" fillId="10" borderId="72" xfId="10" applyNumberFormat="1" applyFill="1" applyBorder="1" applyAlignment="1">
      <alignment horizontal="center"/>
    </xf>
    <xf numFmtId="0" fontId="16" fillId="10" borderId="36" xfId="10" applyFont="1" applyFill="1" applyBorder="1" applyAlignment="1">
      <alignment vertical="center" wrapText="1"/>
    </xf>
    <xf numFmtId="0" fontId="16" fillId="10" borderId="37" xfId="10" applyFill="1" applyBorder="1"/>
    <xf numFmtId="1" fontId="16" fillId="10" borderId="37" xfId="10" applyNumberFormat="1" applyFill="1" applyBorder="1" applyAlignment="1">
      <alignment horizontal="center"/>
    </xf>
    <xf numFmtId="1" fontId="16" fillId="10" borderId="38" xfId="10" applyNumberFormat="1" applyFill="1" applyBorder="1" applyAlignment="1">
      <alignment horizontal="center"/>
    </xf>
    <xf numFmtId="0" fontId="16" fillId="10" borderId="26" xfId="10" applyFill="1" applyBorder="1" applyAlignment="1">
      <alignment horizontal="center"/>
    </xf>
    <xf numFmtId="0" fontId="16" fillId="11" borderId="39" xfId="10" applyFont="1" applyFill="1" applyBorder="1" applyAlignment="1">
      <alignment vertical="center" wrapText="1"/>
    </xf>
    <xf numFmtId="0" fontId="16" fillId="11" borderId="41" xfId="10" applyFill="1" applyBorder="1"/>
    <xf numFmtId="1" fontId="16" fillId="11" borderId="41" xfId="10" applyNumberFormat="1" applyFill="1" applyBorder="1" applyAlignment="1">
      <alignment horizontal="center"/>
    </xf>
    <xf numFmtId="1" fontId="16" fillId="11" borderId="42" xfId="10" applyNumberFormat="1" applyFill="1" applyBorder="1" applyAlignment="1">
      <alignment horizontal="center"/>
    </xf>
    <xf numFmtId="0" fontId="16" fillId="10" borderId="27" xfId="10" applyFill="1" applyBorder="1" applyAlignment="1">
      <alignment horizontal="center"/>
    </xf>
    <xf numFmtId="0" fontId="16" fillId="10" borderId="30" xfId="10" applyFill="1" applyBorder="1" applyAlignment="1">
      <alignment horizontal="center"/>
    </xf>
    <xf numFmtId="0" fontId="16" fillId="10" borderId="32" xfId="10" applyFill="1" applyBorder="1" applyAlignment="1">
      <alignment horizontal="center"/>
    </xf>
    <xf numFmtId="0" fontId="16" fillId="12" borderId="39" xfId="10" applyFill="1" applyBorder="1" applyAlignment="1">
      <alignment horizontal="center" vertical="center" wrapText="1"/>
    </xf>
    <xf numFmtId="1" fontId="16" fillId="12" borderId="41" xfId="10" applyNumberFormat="1" applyFill="1" applyBorder="1" applyAlignment="1">
      <alignment horizontal="center" vertical="center"/>
    </xf>
    <xf numFmtId="1" fontId="16" fillId="12" borderId="42" xfId="10" applyNumberFormat="1" applyFill="1" applyBorder="1" applyAlignment="1">
      <alignment horizontal="center" vertical="center"/>
    </xf>
    <xf numFmtId="0" fontId="16" fillId="12" borderId="66" xfId="10" applyFill="1" applyBorder="1" applyAlignment="1">
      <alignment horizontal="center" vertical="center" wrapText="1"/>
    </xf>
    <xf numFmtId="1" fontId="16" fillId="12" borderId="67" xfId="10" applyNumberFormat="1" applyFill="1" applyBorder="1" applyAlignment="1">
      <alignment horizontal="center" vertical="center"/>
    </xf>
    <xf numFmtId="1" fontId="16" fillId="12" borderId="68" xfId="10" applyNumberFormat="1" applyFill="1" applyBorder="1" applyAlignment="1">
      <alignment horizontal="center" vertical="center"/>
    </xf>
    <xf numFmtId="174" fontId="0" fillId="0" borderId="0" xfId="1" applyNumberFormat="1" applyFont="1" applyBorder="1"/>
    <xf numFmtId="174" fontId="0" fillId="0" borderId="0" xfId="0" applyNumberFormat="1" applyBorder="1"/>
    <xf numFmtId="174" fontId="0" fillId="0" borderId="13" xfId="0" applyNumberFormat="1" applyBorder="1"/>
    <xf numFmtId="9" fontId="0" fillId="0" borderId="15" xfId="2" applyFont="1" applyBorder="1"/>
    <xf numFmtId="174" fontId="0" fillId="0" borderId="15" xfId="1" applyNumberFormat="1" applyFont="1" applyBorder="1"/>
    <xf numFmtId="174" fontId="0" fillId="0" borderId="15" xfId="0" applyNumberFormat="1" applyBorder="1"/>
    <xf numFmtId="174" fontId="0" fillId="0" borderId="16" xfId="0" applyNumberFormat="1" applyBorder="1"/>
    <xf numFmtId="9" fontId="0" fillId="0" borderId="0" xfId="0" applyNumberFormat="1" applyBorder="1"/>
    <xf numFmtId="43" fontId="0" fillId="0" borderId="13" xfId="1" applyFont="1" applyBorder="1"/>
    <xf numFmtId="9" fontId="0" fillId="0" borderId="15" xfId="0" applyNumberFormat="1" applyBorder="1"/>
    <xf numFmtId="43" fontId="0" fillId="0" borderId="15" xfId="1" applyFont="1" applyBorder="1"/>
    <xf numFmtId="43" fontId="0" fillId="0" borderId="16" xfId="1" applyFont="1" applyBorder="1"/>
    <xf numFmtId="1" fontId="0" fillId="0" borderId="0" xfId="0" applyNumberFormat="1" applyBorder="1"/>
    <xf numFmtId="1" fontId="0" fillId="0" borderId="15" xfId="0" applyNumberFormat="1" applyBorder="1"/>
    <xf numFmtId="2" fontId="16" fillId="0" borderId="0" xfId="68" applyNumberFormat="1" applyFill="1" applyBorder="1"/>
    <xf numFmtId="2" fontId="16" fillId="13" borderId="73" xfId="68" applyNumberFormat="1" applyFill="1" applyBorder="1"/>
    <xf numFmtId="2" fontId="16" fillId="13" borderId="74" xfId="68" applyNumberFormat="1" applyFill="1" applyBorder="1"/>
    <xf numFmtId="0" fontId="0" fillId="0" borderId="24" xfId="0" applyBorder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26" fillId="0" borderId="75" xfId="68" applyFont="1" applyFill="1" applyBorder="1" applyAlignment="1">
      <alignment horizontal="center" vertical="top" wrapText="1" readingOrder="1"/>
    </xf>
    <xf numFmtId="164" fontId="0" fillId="0" borderId="13" xfId="0" applyNumberFormat="1" applyBorder="1"/>
    <xf numFmtId="0" fontId="27" fillId="0" borderId="76" xfId="68" applyFont="1" applyFill="1" applyBorder="1" applyAlignment="1">
      <alignment horizontal="center" vertical="top" wrapText="1" readingOrder="1"/>
    </xf>
    <xf numFmtId="0" fontId="28" fillId="0" borderId="75" xfId="68" applyFont="1" applyFill="1" applyBorder="1" applyAlignment="1">
      <alignment horizontal="center" vertical="top" wrapText="1" readingOrder="1"/>
    </xf>
    <xf numFmtId="0" fontId="29" fillId="0" borderId="76" xfId="68" applyFont="1" applyFill="1" applyBorder="1" applyAlignment="1">
      <alignment horizontal="center" vertical="top" wrapText="1" readingOrder="1"/>
    </xf>
    <xf numFmtId="0" fontId="30" fillId="0" borderId="75" xfId="68" applyFont="1" applyFill="1" applyBorder="1" applyAlignment="1">
      <alignment horizontal="center" vertical="top" wrapText="1" readingOrder="1"/>
    </xf>
    <xf numFmtId="0" fontId="31" fillId="0" borderId="77" xfId="68" applyFont="1" applyFill="1" applyBorder="1" applyAlignment="1">
      <alignment horizontal="center" vertical="top" wrapText="1" readingOrder="1"/>
    </xf>
    <xf numFmtId="2" fontId="16" fillId="13" borderId="78" xfId="68" applyNumberFormat="1" applyFill="1" applyBorder="1"/>
    <xf numFmtId="164" fontId="0" fillId="0" borderId="16" xfId="0" applyNumberFormat="1" applyBorder="1"/>
    <xf numFmtId="0" fontId="0" fillId="0" borderId="10" xfId="0" applyFill="1" applyBorder="1"/>
    <xf numFmtId="1" fontId="0" fillId="0" borderId="10" xfId="0" applyNumberFormat="1" applyFill="1" applyBorder="1"/>
    <xf numFmtId="1" fontId="0" fillId="0" borderId="0" xfId="0" applyNumberFormat="1" applyFill="1" applyBorder="1"/>
    <xf numFmtId="0" fontId="0" fillId="0" borderId="11" xfId="0" applyFill="1" applyBorder="1"/>
    <xf numFmtId="1" fontId="0" fillId="0" borderId="15" xfId="0" applyNumberFormat="1" applyFill="1" applyBorder="1"/>
    <xf numFmtId="0" fontId="32" fillId="0" borderId="0" xfId="0" applyFont="1" applyFill="1" applyBorder="1"/>
    <xf numFmtId="1" fontId="32" fillId="0" borderId="0" xfId="0" applyNumberFormat="1" applyFont="1" applyFill="1" applyBorder="1"/>
    <xf numFmtId="0" fontId="32" fillId="0" borderId="10" xfId="0" applyFont="1" applyFill="1" applyBorder="1"/>
    <xf numFmtId="1" fontId="32" fillId="0" borderId="10" xfId="0" applyNumberFormat="1" applyFont="1" applyFill="1" applyBorder="1"/>
    <xf numFmtId="0" fontId="32" fillId="0" borderId="15" xfId="0" applyFont="1" applyFill="1" applyBorder="1"/>
    <xf numFmtId="0" fontId="32" fillId="0" borderId="9" xfId="0" applyFont="1" applyFill="1" applyBorder="1" applyAlignment="1">
      <alignment horizontal="center"/>
    </xf>
    <xf numFmtId="0" fontId="32" fillId="0" borderId="11" xfId="0" applyFont="1" applyFill="1" applyBorder="1"/>
    <xf numFmtId="0" fontId="32" fillId="0" borderId="12" xfId="0" applyFont="1" applyFill="1" applyBorder="1" applyAlignment="1">
      <alignment horizontal="center"/>
    </xf>
    <xf numFmtId="0" fontId="32" fillId="0" borderId="13" xfId="0" applyFont="1" applyFill="1" applyBorder="1"/>
    <xf numFmtId="0" fontId="32" fillId="0" borderId="14" xfId="0" applyFont="1" applyFill="1" applyBorder="1" applyAlignment="1">
      <alignment horizontal="center"/>
    </xf>
    <xf numFmtId="1" fontId="32" fillId="0" borderId="15" xfId="0" applyNumberFormat="1" applyFont="1" applyFill="1" applyBorder="1"/>
    <xf numFmtId="0" fontId="32" fillId="0" borderId="16" xfId="0" applyFont="1" applyFill="1" applyBorder="1"/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26" fillId="0" borderId="12" xfId="68" applyFont="1" applyFill="1" applyBorder="1" applyAlignment="1">
      <alignment horizontal="center" vertical="top" wrapText="1" readingOrder="1"/>
    </xf>
    <xf numFmtId="0" fontId="27" fillId="0" borderId="12" xfId="68" applyFont="1" applyFill="1" applyBorder="1" applyAlignment="1">
      <alignment horizontal="center" vertical="top" wrapText="1" readingOrder="1"/>
    </xf>
    <xf numFmtId="0" fontId="28" fillId="0" borderId="12" xfId="68" applyFont="1" applyFill="1" applyBorder="1" applyAlignment="1">
      <alignment horizontal="center" vertical="top" wrapText="1" readingOrder="1"/>
    </xf>
    <xf numFmtId="0" fontId="29" fillId="0" borderId="12" xfId="68" applyFont="1" applyFill="1" applyBorder="1" applyAlignment="1">
      <alignment horizontal="center" vertical="top" wrapText="1" readingOrder="1"/>
    </xf>
    <xf numFmtId="0" fontId="30" fillId="0" borderId="12" xfId="68" applyFont="1" applyFill="1" applyBorder="1" applyAlignment="1">
      <alignment horizontal="center" vertical="top" wrapText="1" readingOrder="1"/>
    </xf>
    <xf numFmtId="0" fontId="31" fillId="0" borderId="12" xfId="68" applyFont="1" applyFill="1" applyBorder="1" applyAlignment="1">
      <alignment horizontal="center" vertical="top" wrapText="1" readingOrder="1"/>
    </xf>
    <xf numFmtId="0" fontId="31" fillId="0" borderId="14" xfId="68" applyFont="1" applyFill="1" applyBorder="1" applyAlignment="1">
      <alignment horizontal="center" vertical="top" wrapText="1" readingOrder="1"/>
    </xf>
    <xf numFmtId="0" fontId="26" fillId="0" borderId="9" xfId="68" applyFont="1" applyFill="1" applyBorder="1" applyAlignment="1">
      <alignment horizontal="center" vertical="top" wrapText="1" readingOrder="1"/>
    </xf>
    <xf numFmtId="0" fontId="0" fillId="0" borderId="66" xfId="0" applyFont="1" applyFill="1" applyBorder="1" applyAlignment="1">
      <alignment horizontal="center"/>
    </xf>
    <xf numFmtId="0" fontId="0" fillId="0" borderId="67" xfId="0" applyFill="1" applyBorder="1"/>
    <xf numFmtId="0" fontId="0" fillId="0" borderId="67" xfId="0" applyFill="1" applyBorder="1" applyAlignment="1">
      <alignment wrapText="1"/>
    </xf>
    <xf numFmtId="0" fontId="0" fillId="0" borderId="68" xfId="0" applyFill="1" applyBorder="1"/>
    <xf numFmtId="0" fontId="2" fillId="0" borderId="9" xfId="0" applyFont="1" applyBorder="1"/>
    <xf numFmtId="0" fontId="2" fillId="0" borderId="12" xfId="0" applyFont="1" applyBorder="1"/>
    <xf numFmtId="0" fontId="33" fillId="0" borderId="1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Font="1" applyBorder="1"/>
    <xf numFmtId="9" fontId="4" fillId="3" borderId="25" xfId="0" applyNumberFormat="1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11" xfId="0" applyFont="1" applyBorder="1"/>
    <xf numFmtId="2" fontId="0" fillId="0" borderId="0" xfId="0" applyNumberFormat="1" applyBorder="1"/>
    <xf numFmtId="2" fontId="0" fillId="0" borderId="15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0" fontId="34" fillId="2" borderId="0" xfId="0" applyFont="1" applyFill="1"/>
    <xf numFmtId="0" fontId="4" fillId="3" borderId="25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169" fontId="0" fillId="0" borderId="11" xfId="0" applyNumberFormat="1" applyFill="1" applyBorder="1"/>
    <xf numFmtId="0" fontId="4" fillId="3" borderId="24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0" fillId="0" borderId="13" xfId="0" applyFont="1" applyBorder="1"/>
    <xf numFmtId="0" fontId="4" fillId="3" borderId="8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vertical="center"/>
    </xf>
    <xf numFmtId="0" fontId="4" fillId="3" borderId="8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4" xfId="0" applyFont="1" applyFill="1" applyBorder="1" applyAlignment="1">
      <alignment horizontal="center" vertical="center"/>
    </xf>
    <xf numFmtId="9" fontId="4" fillId="3" borderId="36" xfId="0" applyNumberFormat="1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/>
    </xf>
    <xf numFmtId="9" fontId="4" fillId="3" borderId="17" xfId="0" applyNumberFormat="1" applyFont="1" applyFill="1" applyBorder="1"/>
    <xf numFmtId="9" fontId="4" fillId="3" borderId="17" xfId="0" applyNumberFormat="1" applyFont="1" applyFill="1" applyBorder="1" applyAlignment="1">
      <alignment horizontal="center" vertical="center"/>
    </xf>
    <xf numFmtId="9" fontId="4" fillId="3" borderId="19" xfId="0" applyNumberFormat="1" applyFont="1" applyFill="1" applyBorder="1" applyAlignment="1">
      <alignment horizontal="center" vertical="center"/>
    </xf>
    <xf numFmtId="49" fontId="0" fillId="0" borderId="10" xfId="0" applyNumberFormat="1" applyFont="1" applyBorder="1" applyAlignment="1">
      <alignment vertical="center"/>
    </xf>
    <xf numFmtId="49" fontId="0" fillId="0" borderId="10" xfId="0" applyNumberFormat="1" applyFont="1" applyBorder="1"/>
    <xf numFmtId="49" fontId="0" fillId="0" borderId="11" xfId="0" applyNumberFormat="1" applyFont="1" applyBorder="1"/>
    <xf numFmtId="1" fontId="0" fillId="0" borderId="0" xfId="0" applyNumberFormat="1"/>
    <xf numFmtId="0" fontId="0" fillId="8" borderId="85" xfId="0" applyFill="1" applyBorder="1"/>
    <xf numFmtId="0" fontId="0" fillId="8" borderId="86" xfId="0" applyFill="1" applyBorder="1"/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5" fillId="0" borderId="79" xfId="0" applyFont="1" applyFill="1" applyBorder="1" applyAlignment="1">
      <alignment horizontal="center" vertical="center"/>
    </xf>
    <xf numFmtId="0" fontId="25" fillId="0" borderId="80" xfId="0" applyFont="1" applyFill="1" applyBorder="1" applyAlignment="1">
      <alignment horizontal="center" vertical="center"/>
    </xf>
    <xf numFmtId="0" fontId="25" fillId="0" borderId="8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9" xfId="10" applyFill="1" applyBorder="1" applyAlignment="1">
      <alignment horizontal="center" vertical="center"/>
    </xf>
    <xf numFmtId="0" fontId="16" fillId="0" borderId="11" xfId="1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3" borderId="25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2" fillId="14" borderId="66" xfId="0" applyFont="1" applyFill="1" applyBorder="1" applyAlignment="1">
      <alignment horizontal="center"/>
    </xf>
    <xf numFmtId="0" fontId="2" fillId="14" borderId="67" xfId="0" applyFont="1" applyFill="1" applyBorder="1" applyAlignment="1">
      <alignment horizontal="center"/>
    </xf>
    <xf numFmtId="0" fontId="2" fillId="14" borderId="68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0" fillId="0" borderId="0" xfId="3" applyAlignment="1">
      <alignment horizontal="center"/>
    </xf>
    <xf numFmtId="0" fontId="0" fillId="0" borderId="0" xfId="0" applyAlignment="1">
      <alignment horizontal="center"/>
    </xf>
    <xf numFmtId="0" fontId="14" fillId="9" borderId="87" xfId="0" applyFont="1" applyFill="1" applyBorder="1" applyAlignment="1">
      <alignment horizontal="center"/>
    </xf>
    <xf numFmtId="0" fontId="14" fillId="9" borderId="88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</cellXfs>
  <cellStyles count="69">
    <cellStyle name="Comma" xfId="8" xr:uid="{B1BAFA18-809C-4884-A413-D551260DC175}"/>
    <cellStyle name="Comma [0]" xfId="9" xr:uid="{75C0E192-8D39-47D6-A81C-4A1E1870F4AF}"/>
    <cellStyle name="Comma 2" xfId="18" xr:uid="{3F2FFC95-788D-44B6-88F0-EE6688468AAA}"/>
    <cellStyle name="Comma 3" xfId="19" xr:uid="{3AB58E83-C8FB-4376-949F-5C05B2B14903}"/>
    <cellStyle name="Comma 4" xfId="20" xr:uid="{B6038425-C36F-4484-BB69-31244298F155}"/>
    <cellStyle name="Comma 5" xfId="21" xr:uid="{3A3B7BE6-57CB-4C05-894F-B096717AF40E}"/>
    <cellStyle name="Comma0" xfId="22" xr:uid="{3EF34BEB-1B9D-4109-A36F-53250DC83B71}"/>
    <cellStyle name="Currency" xfId="6" xr:uid="{E6249420-3388-4AB9-870A-2472A0522FB2}"/>
    <cellStyle name="Currency [0]" xfId="7" xr:uid="{7B7069F9-07E9-4B79-AE34-78D6A8FBC658}"/>
    <cellStyle name="Currency0" xfId="23" xr:uid="{CAC2988B-1307-4ED6-9F87-D290EFB60C6D}"/>
    <cellStyle name="Date" xfId="24" xr:uid="{CD061B73-5950-4029-8ECE-9E1BFCB21A46}"/>
    <cellStyle name="Fixed" xfId="25" xr:uid="{803E0334-DE7D-456E-B63E-93F6EE86A3D1}"/>
    <cellStyle name="Lien hypertexte" xfId="3" builtinId="8"/>
    <cellStyle name="Lien hypertexte 2" xfId="13" xr:uid="{42D949D6-139D-4B9E-8471-F03D78EE1629}"/>
    <cellStyle name="Lien hypertexte 3" xfId="67" xr:uid="{476489D3-44DE-40F8-9CBB-1FB985A272DC}"/>
    <cellStyle name="Milliers" xfId="1" builtinId="3"/>
    <cellStyle name="Milliers 2" xfId="11" xr:uid="{D8C28171-2E40-4002-BCFB-1FCA4923AA6D}"/>
    <cellStyle name="Normal" xfId="0" builtinId="0"/>
    <cellStyle name="Normal 10" xfId="26" xr:uid="{A6608E88-3241-44D2-AD19-7FD07A472023}"/>
    <cellStyle name="Normal 11" xfId="27" xr:uid="{00B8406D-A7FD-41A0-A863-B1FBEE06B241}"/>
    <cellStyle name="Normal 12" xfId="28" xr:uid="{B32A2585-4BA9-454E-9C4E-0D5073C7A5A0}"/>
    <cellStyle name="Normal 13" xfId="29" xr:uid="{A33B7560-F6F3-40FB-B09A-E5F6EC9E2644}"/>
    <cellStyle name="Normal 13 2" xfId="60" xr:uid="{BCB5C1F3-DCF8-4277-BD2C-B57A9266AAA8}"/>
    <cellStyle name="Normal 14" xfId="63" xr:uid="{9617F7AB-357C-4978-A42E-A8B0EF0B505C}"/>
    <cellStyle name="Normal 15" xfId="64" xr:uid="{ADD0A642-79D8-46AF-B9F8-FB9A68AA37DA}"/>
    <cellStyle name="Normal 16" xfId="65" xr:uid="{953278DE-6B32-4385-8B9A-1631B319FD25}"/>
    <cellStyle name="Normal 17" xfId="66" xr:uid="{48097DBD-27C7-440A-93CF-307FD36F3668}"/>
    <cellStyle name="Normal 18" xfId="68" xr:uid="{8CBBB67D-F57D-4F06-A869-A2BA03F797C0}"/>
    <cellStyle name="Normal 2" xfId="4" xr:uid="{14CC82CC-9D82-4E38-8017-9DCE1837663E}"/>
    <cellStyle name="Normal 2 2" xfId="14" xr:uid="{57F5DF07-16DE-499A-AD5B-1988E75E8900}"/>
    <cellStyle name="Normal 2 2 2" xfId="30" xr:uid="{82FF166F-A1DE-4144-8B48-B312B4E5697B}"/>
    <cellStyle name="Normal 2 3" xfId="31" xr:uid="{CFDC24D5-1151-4BC5-8DF5-D06C4317FB8B}"/>
    <cellStyle name="Normal 2 4" xfId="32" xr:uid="{03F6C742-812F-4A0B-B0C6-CC9A9964646F}"/>
    <cellStyle name="Normal 2 5" xfId="33" xr:uid="{0CE53D66-768F-411B-976C-1649466922D9}"/>
    <cellStyle name="Normal 2 6" xfId="34" xr:uid="{12047701-A84F-4ADC-836D-81B1598ECF07}"/>
    <cellStyle name="Normal 2 6 2" xfId="35" xr:uid="{EF32635C-4999-4C53-B68E-90D1470423F1}"/>
    <cellStyle name="Normal 2_Co2 table for 450" xfId="36" xr:uid="{9E27C52A-B0DB-49C7-B09A-2505F95B63FE}"/>
    <cellStyle name="Normal 3" xfId="10" xr:uid="{657DEB8E-B70E-488F-B981-0C073ABCB2F1}"/>
    <cellStyle name="Normal 3 2" xfId="37" xr:uid="{BC258B5A-533F-482E-83E1-44F630F22796}"/>
    <cellStyle name="Normal 3 3" xfId="38" xr:uid="{0BFA65E0-2A5E-45F5-A5FF-2FA27CA18E24}"/>
    <cellStyle name="Normal 3 4" xfId="39" xr:uid="{3731DACF-6865-450E-8C3F-6F6184233877}"/>
    <cellStyle name="Normal 3 5" xfId="40" xr:uid="{5057122F-D7DA-47CA-9E65-77E25537DE73}"/>
    <cellStyle name="Normal 3 6" xfId="59" xr:uid="{34E8F161-D6A2-4878-8493-870536D811CC}"/>
    <cellStyle name="Normal 3 7" xfId="62" xr:uid="{1D3B6253-30EA-425F-B655-C337AFB3E433}"/>
    <cellStyle name="Normal 3 8" xfId="17" xr:uid="{D49DCEB6-2CBE-45CE-9472-0ADB7DDF0DEF}"/>
    <cellStyle name="Normal 3_Support file - Capital stock_final" xfId="41" xr:uid="{976239CD-6C27-4511-9825-28C1700749E6}"/>
    <cellStyle name="Normal 4" xfId="42" xr:uid="{DA0A2018-895A-470D-A8A3-89E04E35396E}"/>
    <cellStyle name="Normal 5" xfId="43" xr:uid="{B97D1CD6-D599-4B16-BF7F-2D3211F2E30C}"/>
    <cellStyle name="Normal 6" xfId="44" xr:uid="{9AF2D69C-6DFD-4ED6-8627-D7198ECD30CB}"/>
    <cellStyle name="Normal 7" xfId="45" xr:uid="{24488358-E597-4CB9-825A-318BCB485198}"/>
    <cellStyle name="Normal 8" xfId="46" xr:uid="{2D79EF4B-9B85-4C72-BE7E-CAA0F7DD20B6}"/>
    <cellStyle name="Normal 9" xfId="47" xr:uid="{EE969933-6605-4DDF-AD01-0423D0A722A3}"/>
    <cellStyle name="Percent" xfId="5" xr:uid="{5A8494B6-0F9D-4FCF-A89A-8762EECA7DB8}"/>
    <cellStyle name="Percent 2" xfId="48" xr:uid="{A5040ED0-CC0C-4A89-88B3-5B36EA858AF1}"/>
    <cellStyle name="Percent 2 2" xfId="49" xr:uid="{C24600EE-22AD-4807-8BA9-D6416A4E18E9}"/>
    <cellStyle name="Percent 2 3" xfId="50" xr:uid="{9309604A-2B61-4CCD-B2A0-8CEAEBB93153}"/>
    <cellStyle name="Percent 3" xfId="51" xr:uid="{7AFB8D99-F298-4D3B-8C33-C93B0F4F5835}"/>
    <cellStyle name="Percent 4" xfId="52" xr:uid="{70B15D1A-34B9-41DA-8FDC-965DB306FC70}"/>
    <cellStyle name="Percent 5" xfId="53" xr:uid="{18C4B4E1-90DC-4A45-9F5E-487DE1901214}"/>
    <cellStyle name="Percent 6" xfId="54" xr:uid="{24BA5F0B-E969-4AC8-A1BA-DACE20451BB2}"/>
    <cellStyle name="Percent 7" xfId="55" xr:uid="{B7563AE3-A586-4428-A76A-D04F0D035175}"/>
    <cellStyle name="Percent 8" xfId="56" xr:uid="{543AA3C9-F90C-4C37-9020-105FDBBE643A}"/>
    <cellStyle name="Percent 9" xfId="57" xr:uid="{E028F391-56FA-415D-825D-D3267A193EF8}"/>
    <cellStyle name="Percent 9 2" xfId="61" xr:uid="{739D413C-192C-48DC-B1CF-B21831323009}"/>
    <cellStyle name="Pourcentage" xfId="2" builtinId="5"/>
    <cellStyle name="Pourcentage 2" xfId="12" xr:uid="{3763D225-41B8-4D59-953B-AEF1A012B995}"/>
    <cellStyle name="Pourcentage 3" xfId="16" xr:uid="{59E17B5A-64C6-42E2-946B-D32317D39EF9}"/>
    <cellStyle name="Standard_WEO 2008 - RE Technology Cost (status 27-03-2008)-ext" xfId="58" xr:uid="{4B0AB4F7-1492-4765-A003-5A743287A157}"/>
    <cellStyle name="Texte explicatif 2" xfId="15" xr:uid="{CFD0E435-3A7B-4B16-AE95-9B03376D3489}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Renewables average emission factor [1]</a:t>
            </a:r>
            <a:r>
              <a:rPr lang="en-US" baseline="0"/>
              <a:t> +[3]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Electricity!$F$71</c:f>
              <c:strCache>
                <c:ptCount val="1"/>
                <c:pt idx="0">
                  <c:v>Average emission factor - Pessim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Electricity!$A$72:$A$75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Electricity!$F$72:$F$75</c:f>
              <c:numCache>
                <c:formatCode>_-* #\ ##0_-;\-* #\ ##0_-;_-* "-"??_-;_-@_-</c:formatCode>
                <c:ptCount val="4"/>
                <c:pt idx="0">
                  <c:v>10.974603840906706</c:v>
                </c:pt>
                <c:pt idx="1">
                  <c:v>17.815499153976315</c:v>
                </c:pt>
                <c:pt idx="2">
                  <c:v>17.583434029809265</c:v>
                </c:pt>
                <c:pt idx="3">
                  <c:v>16.88890406995435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6-4DDA-80FD-F1EA175C8D16}"/>
            </c:ext>
          </c:extLst>
        </c:ser>
        <c:ser>
          <c:idx val="1"/>
          <c:order val="1"/>
          <c:tx>
            <c:strRef>
              <c:f>Electricity!$G$71</c:f>
              <c:strCache>
                <c:ptCount val="1"/>
                <c:pt idx="0">
                  <c:v>Average emission factor (REN only) - Pessim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Electricity!$A$72:$A$75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Electricity!$G$72:$G$75</c:f>
              <c:numCache>
                <c:formatCode>_-* #\ ##0_-;\-* #\ ##0_-;_-* "-"??_-;_-@_-</c:formatCode>
                <c:ptCount val="4"/>
                <c:pt idx="0">
                  <c:v>12.544429805299371</c:v>
                </c:pt>
                <c:pt idx="1">
                  <c:v>19.835315937579942</c:v>
                </c:pt>
                <c:pt idx="2">
                  <c:v>20.320353581394002</c:v>
                </c:pt>
                <c:pt idx="3">
                  <c:v>17.944291633606625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6-4DDA-80FD-F1EA175C8D16}"/>
            </c:ext>
          </c:extLst>
        </c:ser>
        <c:ser>
          <c:idx val="2"/>
          <c:order val="2"/>
          <c:tx>
            <c:strRef>
              <c:f>Electricity!$H$71</c:f>
              <c:strCache>
                <c:ptCount val="1"/>
                <c:pt idx="0">
                  <c:v>Average emission factor - Optim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Electricity!$A$72:$A$75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Electricity!$H$72:$H$75</c:f>
              <c:numCache>
                <c:formatCode>_-* #\ ##0_-;\-* #\ ##0_-;_-* "-"??_-;_-@_-</c:formatCode>
                <c:ptCount val="4"/>
                <c:pt idx="0">
                  <c:v>10.974603840906706</c:v>
                </c:pt>
                <c:pt idx="1">
                  <c:v>16.22362098138748</c:v>
                </c:pt>
                <c:pt idx="2">
                  <c:v>15.120870334576775</c:v>
                </c:pt>
                <c:pt idx="3">
                  <c:v>10.611521892882401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6-4DDA-80FD-F1EA175C8D16}"/>
            </c:ext>
          </c:extLst>
        </c:ser>
        <c:ser>
          <c:idx val="3"/>
          <c:order val="3"/>
          <c:tx>
            <c:strRef>
              <c:f>Electricity!$I$71</c:f>
              <c:strCache>
                <c:ptCount val="1"/>
                <c:pt idx="0">
                  <c:v>Average emission factor (REN only) - Optim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Electricity!$A$72:$A$75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Electricity!$I$72:$I$75</c:f>
              <c:numCache>
                <c:formatCode>_-* #\ ##0_-;\-* #\ ##0_-;_-* "-"??_-;_-@_-</c:formatCode>
                <c:ptCount val="4"/>
                <c:pt idx="0">
                  <c:v>12.544429805299371</c:v>
                </c:pt>
                <c:pt idx="1">
                  <c:v>17.843598106932717</c:v>
                </c:pt>
                <c:pt idx="2">
                  <c:v>17.873060183554756</c:v>
                </c:pt>
                <c:pt idx="3">
                  <c:v>11.058485409503657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6-4DDA-80FD-F1EA175C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03279"/>
        <c:axId val="1228903695"/>
      </c:scatterChart>
      <c:valAx>
        <c:axId val="122890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03695"/>
        <c:crosses val="autoZero"/>
        <c:crossBetween val="midCat"/>
      </c:valAx>
      <c:valAx>
        <c:axId val="12289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0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Electrolyzer</a:t>
            </a:r>
            <a:r>
              <a:rPr lang="en-US" baseline="0"/>
              <a:t> CAPEX Trajectory: Alkaline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'Electrolysis Validation UK'!$A$5:$C$5</c:f>
              <c:strCache>
                <c:ptCount val="3"/>
                <c:pt idx="0">
                  <c:v>CAPEX AEC</c:v>
                </c:pt>
                <c:pt idx="1">
                  <c:v>€/kW H2 HHV</c:v>
                </c:pt>
                <c:pt idx="2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'Electrolysis Validation UK'!$D$4:$J$4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'Electrolysis Validation UK'!$D$5:$J$5</c:f>
              <c:numCache>
                <c:formatCode>0</c:formatCode>
                <c:ptCount val="7"/>
                <c:pt idx="0">
                  <c:v>819.87186692143428</c:v>
                </c:pt>
                <c:pt idx="1">
                  <c:v>651.60166348207258</c:v>
                </c:pt>
                <c:pt idx="2">
                  <c:v>554.84994942115327</c:v>
                </c:pt>
                <c:pt idx="3">
                  <c:v>525.81769135663706</c:v>
                </c:pt>
                <c:pt idx="4">
                  <c:v>497.06642688546702</c:v>
                </c:pt>
                <c:pt idx="5">
                  <c:v>489.64819602113073</c:v>
                </c:pt>
                <c:pt idx="6">
                  <c:v>482.22996515679444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E-4B2D-9A66-68F10BDB8289}"/>
            </c:ext>
          </c:extLst>
        </c:ser>
        <c:ser>
          <c:idx val="1"/>
          <c:order val="1"/>
          <c:tx>
            <c:strRef>
              <c:f>'Electrolysis Validation UK'!$A$6:$C$6</c:f>
              <c:strCache>
                <c:ptCount val="3"/>
                <c:pt idx="0">
                  <c:v>CAPEX AEC</c:v>
                </c:pt>
                <c:pt idx="1">
                  <c:v>€/kW H2 HHV</c:v>
                </c:pt>
                <c:pt idx="2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'Electrolysis Validation UK'!$D$4:$J$4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'Electrolysis Validation UK'!$D$6:$J$6</c:f>
              <c:numCache>
                <c:formatCode>0</c:formatCode>
                <c:ptCount val="7"/>
                <c:pt idx="0">
                  <c:v>966.04473418006069</c:v>
                </c:pt>
                <c:pt idx="1">
                  <c:v>836.60784534112622</c:v>
                </c:pt>
                <c:pt idx="2">
                  <c:v>754.09688659098572</c:v>
                </c:pt>
                <c:pt idx="3">
                  <c:v>732.92120939642587</c:v>
                </c:pt>
                <c:pt idx="4">
                  <c:v>711.98156682027661</c:v>
                </c:pt>
                <c:pt idx="5">
                  <c:v>700.69686411149826</c:v>
                </c:pt>
                <c:pt idx="6">
                  <c:v>689.49083960885696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E-4B2D-9A66-68F10BDB8289}"/>
            </c:ext>
          </c:extLst>
        </c:ser>
        <c:ser>
          <c:idx val="2"/>
          <c:order val="2"/>
          <c:tx>
            <c:strRef>
              <c:f>'Electrolysis Validation UK'!$A$7:$C$7</c:f>
              <c:strCache>
                <c:ptCount val="3"/>
                <c:pt idx="0">
                  <c:v>CAPEX AEC</c:v>
                </c:pt>
                <c:pt idx="1">
                  <c:v>€/kW H2 HHV</c:v>
                </c:pt>
                <c:pt idx="2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'Electrolysis Validation UK'!$D$4:$J$4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'Electrolysis Validation UK'!$D$7:$J$7</c:f>
              <c:numCache>
                <c:formatCode>0</c:formatCode>
                <c:ptCount val="7"/>
                <c:pt idx="0">
                  <c:v>1325.9413285377095</c:v>
                </c:pt>
                <c:pt idx="1">
                  <c:v>1161.7848713049343</c:v>
                </c:pt>
                <c:pt idx="2">
                  <c:v>1096.1110486680905</c:v>
                </c:pt>
                <c:pt idx="3">
                  <c:v>1059.1772507586827</c:v>
                </c:pt>
                <c:pt idx="4">
                  <c:v>1022.8728784983704</c:v>
                </c:pt>
                <c:pt idx="5">
                  <c:v>1004.9567269866247</c:v>
                </c:pt>
                <c:pt idx="6">
                  <c:v>987.197931887153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E-4B2D-9A66-68F10BDB8289}"/>
            </c:ext>
          </c:extLst>
        </c:ser>
        <c:ser>
          <c:idx val="3"/>
          <c:order val="3"/>
          <c:tx>
            <c:strRef>
              <c:f>'Electrolysis Validation UK'!$A$8:$C$8</c:f>
              <c:strCache>
                <c:ptCount val="3"/>
                <c:pt idx="0">
                  <c:v>CAPEX AEC</c:v>
                </c:pt>
                <c:pt idx="1">
                  <c:v>€/kW H2 HHV</c:v>
                </c:pt>
                <c:pt idx="2">
                  <c:v>Litt. Rev.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'Electrolysis Validation UK'!$D$4:$J$4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'Electrolysis Validation UK'!$D$8:$J$8</c:f>
              <c:numCache>
                <c:formatCode>0</c:formatCode>
                <c:ptCount val="7"/>
                <c:pt idx="0">
                  <c:v>875.32494821841317</c:v>
                </c:pt>
                <c:pt idx="1">
                  <c:v>706.17431633296303</c:v>
                </c:pt>
                <c:pt idx="2">
                  <c:v>583.15567496172662</c:v>
                </c:pt>
                <c:pt idx="3">
                  <c:v>484.9773361750668</c:v>
                </c:pt>
                <c:pt idx="4">
                  <c:v>428.19950169603459</c:v>
                </c:pt>
                <c:pt idx="5">
                  <c:v>383.2503827334674</c:v>
                </c:pt>
                <c:pt idx="6">
                  <c:v>344.21562152913276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E-4B2D-9A66-68F10BDB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59951"/>
        <c:axId val="834552879"/>
      </c:scatterChart>
      <c:valAx>
        <c:axId val="8345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52879"/>
        <c:crosses val="autoZero"/>
        <c:crossBetween val="midCat"/>
      </c:valAx>
      <c:valAx>
        <c:axId val="8345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5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Electrolyzer CAPEX Trajectory:</a:t>
            </a:r>
            <a:r>
              <a:rPr lang="en-US" baseline="0"/>
              <a:t> PEM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'Electrolysis Validation UK'!$A$9:$C$9</c:f>
              <c:strCache>
                <c:ptCount val="3"/>
                <c:pt idx="0">
                  <c:v>CAPEX PEMEC</c:v>
                </c:pt>
                <c:pt idx="1">
                  <c:v>€/kW H2 HHV</c:v>
                </c:pt>
                <c:pt idx="2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'Electrolysis Validation UK'!$D$4:$J$4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'Electrolysis Validation UK'!$D$9:$J$9</c:f>
              <c:numCache>
                <c:formatCode>0</c:formatCode>
                <c:ptCount val="7"/>
                <c:pt idx="0">
                  <c:v>1071.8107227155222</c:v>
                </c:pt>
                <c:pt idx="1">
                  <c:v>674.81173429245814</c:v>
                </c:pt>
                <c:pt idx="2">
                  <c:v>487.051815218613</c:v>
                </c:pt>
                <c:pt idx="3">
                  <c:v>440.49679667303587</c:v>
                </c:pt>
                <c:pt idx="4">
                  <c:v>403.69787568843435</c:v>
                </c:pt>
                <c:pt idx="5">
                  <c:v>385.7030459705519</c:v>
                </c:pt>
                <c:pt idx="6">
                  <c:v>376.47521636506684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F-4123-BB99-43A556CF897A}"/>
            </c:ext>
          </c:extLst>
        </c:ser>
        <c:ser>
          <c:idx val="1"/>
          <c:order val="1"/>
          <c:tx>
            <c:strRef>
              <c:f>'Electrolysis Validation UK'!$A$10:$C$10</c:f>
              <c:strCache>
                <c:ptCount val="3"/>
                <c:pt idx="0">
                  <c:v>CAPEX PEMEC</c:v>
                </c:pt>
                <c:pt idx="1">
                  <c:v>€/kW H2 HHV</c:v>
                </c:pt>
                <c:pt idx="2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'Electrolysis Validation UK'!$D$4:$J$4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'Electrolysis Validation UK'!$D$10:$J$10</c:f>
              <c:numCache>
                <c:formatCode>0</c:formatCode>
                <c:ptCount val="7"/>
                <c:pt idx="0">
                  <c:v>1302.2704282342363</c:v>
                </c:pt>
                <c:pt idx="1">
                  <c:v>820.82724513881078</c:v>
                </c:pt>
                <c:pt idx="2">
                  <c:v>631.403843992357</c:v>
                </c:pt>
                <c:pt idx="3">
                  <c:v>583.06170619309876</c:v>
                </c:pt>
                <c:pt idx="4">
                  <c:v>535.8997414858942</c:v>
                </c:pt>
                <c:pt idx="5">
                  <c:v>525.52545801955716</c:v>
                </c:pt>
                <c:pt idx="6">
                  <c:v>515.22985275935719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BF-4123-BB99-43A556CF897A}"/>
            </c:ext>
          </c:extLst>
        </c:ser>
        <c:ser>
          <c:idx val="2"/>
          <c:order val="2"/>
          <c:tx>
            <c:strRef>
              <c:f>'Electrolysis Validation UK'!$A$11:$C$11</c:f>
              <c:strCache>
                <c:ptCount val="3"/>
                <c:pt idx="0">
                  <c:v>CAPEX PEMEC</c:v>
                </c:pt>
                <c:pt idx="1">
                  <c:v>€/kW H2 HHV</c:v>
                </c:pt>
                <c:pt idx="2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'Electrolysis Validation UK'!$D$4:$J$4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'Electrolysis Validation UK'!$D$11:$J$11</c:f>
              <c:numCache>
                <c:formatCode>0</c:formatCode>
                <c:ptCount val="7"/>
                <c:pt idx="0">
                  <c:v>2121.512869506575</c:v>
                </c:pt>
                <c:pt idx="1">
                  <c:v>1639.125547937507</c:v>
                </c:pt>
                <c:pt idx="2">
                  <c:v>1366.674159829156</c:v>
                </c:pt>
                <c:pt idx="3">
                  <c:v>1227.4474541980442</c:v>
                </c:pt>
                <c:pt idx="4">
                  <c:v>1093.9080588962572</c:v>
                </c:pt>
                <c:pt idx="5">
                  <c:v>1050.6575250084297</c:v>
                </c:pt>
                <c:pt idx="6">
                  <c:v>1008.0364167696977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BF-4123-BB99-43A556CF897A}"/>
            </c:ext>
          </c:extLst>
        </c:ser>
        <c:ser>
          <c:idx val="3"/>
          <c:order val="3"/>
          <c:tx>
            <c:strRef>
              <c:f>'Electrolysis Validation UK'!$A$12:$C$12</c:f>
              <c:strCache>
                <c:ptCount val="3"/>
                <c:pt idx="0">
                  <c:v>CAPEX PEMEC</c:v>
                </c:pt>
                <c:pt idx="1">
                  <c:v>€/kW H2 HHV</c:v>
                </c:pt>
                <c:pt idx="2">
                  <c:v>Litt. Rev.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'Electrolysis Validation UK'!$D$4:$J$4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'Electrolysis Validation UK'!$D$12:$J$12</c:f>
              <c:numCache>
                <c:formatCode>0</c:formatCode>
                <c:ptCount val="7"/>
                <c:pt idx="0">
                  <c:v>1398.154174046168</c:v>
                </c:pt>
                <c:pt idx="1">
                  <c:v>1035.0126076906913</c:v>
                </c:pt>
                <c:pt idx="2">
                  <c:v>822.09572839432053</c:v>
                </c:pt>
                <c:pt idx="3">
                  <c:v>671.8710413352145</c:v>
                </c:pt>
                <c:pt idx="4">
                  <c:v>574.87557410020111</c:v>
                </c:pt>
                <c:pt idx="5">
                  <c:v>507.4518956563503</c:v>
                </c:pt>
                <c:pt idx="6">
                  <c:v>450.67406117731815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BF-4123-BB99-43A556CF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29711"/>
        <c:axId val="232424719"/>
      </c:scatterChart>
      <c:valAx>
        <c:axId val="23242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24719"/>
        <c:crosses val="autoZero"/>
        <c:crossBetween val="midCat"/>
      </c:valAx>
      <c:valAx>
        <c:axId val="2324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2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Simplified</a:t>
            </a:r>
            <a:r>
              <a:rPr lang="en-US" baseline="0"/>
              <a:t> MFSP Calculation and Author's MFSP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PtL!$K$29:$L$29</c:f>
              <c:strCache>
                <c:ptCount val="2"/>
                <c:pt idx="0">
                  <c:v>Reference MFSP</c:v>
                </c:pt>
                <c:pt idx="1">
                  <c:v>€/kg jet fuel (energy allocation)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PtL!$M$21:$S$21</c:f>
              <c:strCache>
                <c:ptCount val="7"/>
                <c:pt idx="0">
                  <c:v>Albrecht [1]</c:v>
                </c:pt>
                <c:pt idx="1">
                  <c:v>Zang [2]</c:v>
                </c:pt>
                <c:pt idx="2">
                  <c:v>Becker [3]</c:v>
                </c:pt>
                <c:pt idx="3">
                  <c:v>Schmitd DAC [4]</c:v>
                </c:pt>
                <c:pt idx="4">
                  <c:v>Schmidt DAC (2050) [4]</c:v>
                </c:pt>
                <c:pt idx="5">
                  <c:v>Herz PEMEL 2050 [5]</c:v>
                </c:pt>
                <c:pt idx="6">
                  <c:v>Herz SOEL 2050 [5]</c:v>
                </c:pt>
              </c:strCache>
            </c:strRef>
          </c:cat>
          <c:val>
            <c:numRef>
              <c:f>PtL!$M$29:$S$29</c:f>
              <c:numCache>
                <c:formatCode>General</c:formatCode>
                <c:ptCount val="7"/>
                <c:pt idx="0">
                  <c:v>3.763243243243243</c:v>
                </c:pt>
                <c:pt idx="1">
                  <c:v>1.7178674934285907</c:v>
                </c:pt>
                <c:pt idx="2">
                  <c:v>1.9395874029253422</c:v>
                </c:pt>
                <c:pt idx="3">
                  <c:v>4.2933872365001449</c:v>
                </c:pt>
                <c:pt idx="4">
                  <c:v>1.8809125036095873</c:v>
                </c:pt>
                <c:pt idx="5">
                  <c:v>3.1</c:v>
                </c:pt>
                <c:pt idx="6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6-4177-BB20-98F141352E76}"/>
            </c:ext>
          </c:extLst>
        </c:ser>
        <c:ser>
          <c:idx val="1"/>
          <c:order val="1"/>
          <c:tx>
            <c:strRef>
              <c:f>PtL!$K$30:$L$30</c:f>
              <c:strCache>
                <c:ptCount val="2"/>
                <c:pt idx="0">
                  <c:v>Calculated MFSP</c:v>
                </c:pt>
                <c:pt idx="1">
                  <c:v>€/kg jet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PtL!$M$21:$S$21</c:f>
              <c:strCache>
                <c:ptCount val="7"/>
                <c:pt idx="0">
                  <c:v>Albrecht [1]</c:v>
                </c:pt>
                <c:pt idx="1">
                  <c:v>Zang [2]</c:v>
                </c:pt>
                <c:pt idx="2">
                  <c:v>Becker [3]</c:v>
                </c:pt>
                <c:pt idx="3">
                  <c:v>Schmitd DAC [4]</c:v>
                </c:pt>
                <c:pt idx="4">
                  <c:v>Schmidt DAC (2050) [4]</c:v>
                </c:pt>
                <c:pt idx="5">
                  <c:v>Herz PEMEL 2050 [5]</c:v>
                </c:pt>
                <c:pt idx="6">
                  <c:v>Herz SOEL 2050 [5]</c:v>
                </c:pt>
              </c:strCache>
            </c:strRef>
          </c:cat>
          <c:val>
            <c:numRef>
              <c:f>PtL!$M$30:$S$30</c:f>
              <c:numCache>
                <c:formatCode>General</c:formatCode>
                <c:ptCount val="7"/>
                <c:pt idx="0">
                  <c:v>3.7419819819819815</c:v>
                </c:pt>
                <c:pt idx="1">
                  <c:v>1.7655860349127179</c:v>
                </c:pt>
                <c:pt idx="2">
                  <c:v>1.9733193577588262</c:v>
                </c:pt>
                <c:pt idx="3">
                  <c:v>4.4467224949465773</c:v>
                </c:pt>
                <c:pt idx="4">
                  <c:v>1.6764654923476754</c:v>
                </c:pt>
                <c:pt idx="5">
                  <c:v>3.21</c:v>
                </c:pt>
                <c:pt idx="6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6-4177-BB20-98F14135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916927"/>
        <c:axId val="852917759"/>
      </c:barChart>
      <c:catAx>
        <c:axId val="85291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17759"/>
        <c:crosses val="autoZero"/>
        <c:auto val="1"/>
        <c:lblAlgn val="ctr"/>
        <c:lblOffset val="100"/>
        <c:noMultiLvlLbl val="0"/>
      </c:catAx>
      <c:valAx>
        <c:axId val="8529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MFSP</a:t>
                </a:r>
                <a:r>
                  <a:rPr lang="en-US" baseline="0"/>
                  <a:t> €2020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1819275</xdr:colOff>
      <xdr:row>65</xdr:row>
      <xdr:rowOff>185737</xdr:rowOff>
    </xdr:from>
    <xdr:to>
      <xdr:col>16</xdr:col>
      <xdr:colOff>657225</xdr:colOff>
      <xdr:row>81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41F8AD8-C7A2-48FB-97D3-6276685B0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14</xdr:row>
      <xdr:rowOff>33336</xdr:rowOff>
    </xdr:from>
    <xdr:to>
      <xdr:col>7</xdr:col>
      <xdr:colOff>647700</xdr:colOff>
      <xdr:row>30</xdr:row>
      <xdr:rowOff>114299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B79252-17B5-46A2-A197-42925F3BE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271461</xdr:colOff>
      <xdr:row>14</xdr:row>
      <xdr:rowOff>33337</xdr:rowOff>
    </xdr:from>
    <xdr:to>
      <xdr:col>15</xdr:col>
      <xdr:colOff>457200</xdr:colOff>
      <xdr:row>30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B5A7E1-876E-41B8-A6FB-20279899C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624413</xdr:colOff>
      <xdr:row>38</xdr:row>
      <xdr:rowOff>171662</xdr:rowOff>
    </xdr:from>
    <xdr:to>
      <xdr:col>11</xdr:col>
      <xdr:colOff>1402279</xdr:colOff>
      <xdr:row>61</xdr:row>
      <xdr:rowOff>139121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A289C9-7811-44DB-A385-AEC903382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81164</xdr:colOff>
      <xdr:row>68</xdr:row>
      <xdr:rowOff>143483</xdr:rowOff>
    </xdr:from>
    <xdr:to>
      <xdr:col>18</xdr:col>
      <xdr:colOff>985531</xdr:colOff>
      <xdr:row>99</xdr:row>
      <xdr:rowOff>45390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8D8B289-D364-4FE6-8326-B9C458EED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2597" y="13510590"/>
          <a:ext cx="11082204" cy="5948676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68</xdr:row>
      <xdr:rowOff>66122</xdr:rowOff>
    </xdr:from>
    <xdr:to>
      <xdr:col>10</xdr:col>
      <xdr:colOff>804154</xdr:colOff>
      <xdr:row>81</xdr:row>
      <xdr:rowOff>7829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B43DBE4-3F05-0DF9-50F9-A47313FF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0460" y="12722942"/>
          <a:ext cx="6557254" cy="232676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oine SALGAS" id="{AD29041F-1597-4985-B92F-551663E66356}" userId="Antoine SALGAS" providerId="Non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3" dT="2022-10-06T08:26:01.35" personId="{AD29041F-1597-4985-B92F-551663E66356}" id="{C53536DD-BE17-4571-B498-BFD06BDF95D5}">
    <text>Hypothèse OPEX=0.05 CAPEx (maintenance)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abs/10.1002/cite.201700129" TargetMode="External"/><Relationship Id="rId13" Type="http://schemas.openxmlformats.org/officeDocument/2006/relationships/hyperlink" Target="https://www.gov.uk/government/publications/hydrogen-production-costs-2021" TargetMode="External"/><Relationship Id="rId18" Type="http://schemas.openxmlformats.org/officeDocument/2006/relationships/printerSettings" Target="../printerSettings/printerSettings9.bin"/><Relationship Id="rId3" Type="http://schemas.openxmlformats.org/officeDocument/2006/relationships/hyperlink" Target="https://www.ipcc.ch/site/assets/uploads/2018/02/ipcc_wg3_ar5_annex-iii.pdf" TargetMode="External"/><Relationship Id="rId7" Type="http://schemas.openxmlformats.org/officeDocument/2006/relationships/hyperlink" Target="https://www.sciencedirect.com/science/article/pii/S0360544212006792" TargetMode="External"/><Relationship Id="rId12" Type="http://schemas.openxmlformats.org/officeDocument/2006/relationships/hyperlink" Target="https://www.nature.com/articles/s41558-021-01032-7" TargetMode="External"/><Relationship Id="rId17" Type="http://schemas.openxmlformats.org/officeDocument/2006/relationships/hyperlink" Target="https://www.iea.org/reports/direct-air-capture-2022/executive-summary" TargetMode="External"/><Relationship Id="rId2" Type="http://schemas.openxmlformats.org/officeDocument/2006/relationships/hyperlink" Target="https://assets.rte-france.com/prod/2022-06/Futurs%20%C3%A9nerg%C3%A9tiques%202050%20_%20rapport%20complet.zip" TargetMode="External"/><Relationship Id="rId16" Type="http://schemas.openxmlformats.org/officeDocument/2006/relationships/hyperlink" Target="https://www.sciencedirect.com/science/article/pii/S2590332223003007" TargetMode="External"/><Relationship Id="rId1" Type="http://schemas.openxmlformats.org/officeDocument/2006/relationships/hyperlink" Target="https://iea.blob.core.windows.net/assets/deebef5d-0c34-4539-9d0c-10b13d840027/NetZeroby2050-ARoadmapfortheGlobalEnergySector_CORR.pdf" TargetMode="External"/><Relationship Id="rId6" Type="http://schemas.openxmlformats.org/officeDocument/2006/relationships/hyperlink" Target="https://www.mdpi.com/2076-3298/5/2/24" TargetMode="External"/><Relationship Id="rId11" Type="http://schemas.openxmlformats.org/officeDocument/2006/relationships/hyperlink" Target="https://www.sciencedirect.com/science/article/pii/S0016236116312248" TargetMode="External"/><Relationship Id="rId5" Type="http://schemas.openxmlformats.org/officeDocument/2006/relationships/hyperlink" Target="https://www.eea.europa.eu/ims/greenhouse-gas-emission-intensity-of-1" TargetMode="External"/><Relationship Id="rId15" Type="http://schemas.openxmlformats.org/officeDocument/2006/relationships/hyperlink" Target="https://www.nature.com/articles/s41558-021-01032-7" TargetMode="External"/><Relationship Id="rId10" Type="http://schemas.openxmlformats.org/officeDocument/2006/relationships/hyperlink" Target="https://www.agora-verkehrswende.de/fileadmin/Projekte/2017/Die_Kosten_synthetischer_Brenn-_und_Kraftstoffe_bis_2050/Agora_SynKost_Study_EN_WEB.pdf" TargetMode="External"/><Relationship Id="rId4" Type="http://schemas.openxmlformats.org/officeDocument/2006/relationships/hyperlink" Target="https://ec.europa.eu/eurostat/databrowser/view/nrg_pc_205/default/line?lang=en" TargetMode="External"/><Relationship Id="rId9" Type="http://schemas.openxmlformats.org/officeDocument/2006/relationships/hyperlink" Target="https://www.sciencedirect.com/science/article/pii/S0306261921001872" TargetMode="External"/><Relationship Id="rId14" Type="http://schemas.openxmlformats.org/officeDocument/2006/relationships/hyperlink" Target="https://www.idealhy.eu/uploads/documents/IDEALHY_XX_Energie-Symposium_2013_web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iea.blob.core.windows.net/assets/78633715-15c0-44e1-81df-41123c556d57/DirectAirCapture_Akeytechnologyfornetzero.pdf" TargetMode="External"/><Relationship Id="rId1" Type="http://schemas.openxmlformats.org/officeDocument/2006/relationships/hyperlink" Target="https://pubs.rsc.org/en/content/articlepdf/2020/se/c9se00479c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263F-88C8-4DC0-B67F-8931A330B398}">
  <sheetPr>
    <tabColor rgb="FFFFC000"/>
  </sheetPr>
  <dimension ref="A4:O163"/>
  <sheetViews>
    <sheetView topLeftCell="A139" workbookViewId="0">
      <selection activeCell="G152" sqref="G152"/>
    </sheetView>
  </sheetViews>
  <sheetFormatPr baseColWidth="10" defaultRowHeight="15"/>
  <cols>
    <col min="1" max="1" width="34.42578125" customWidth="1"/>
    <col min="2" max="2" width="23.140625" bestFit="1" customWidth="1"/>
    <col min="3" max="3" width="22.5703125" bestFit="1" customWidth="1"/>
    <col min="4" max="4" width="21.7109375" customWidth="1"/>
    <col min="5" max="5" width="15" bestFit="1" customWidth="1"/>
    <col min="6" max="6" width="35.28515625" customWidth="1"/>
    <col min="7" max="7" width="40.5703125" bestFit="1" customWidth="1"/>
    <col min="8" max="8" width="29.85546875" bestFit="1" customWidth="1"/>
    <col min="9" max="9" width="14.5703125" bestFit="1" customWidth="1"/>
    <col min="10" max="10" width="53.140625" bestFit="1" customWidth="1"/>
  </cols>
  <sheetData>
    <row r="4" spans="1:14" ht="30">
      <c r="A4" s="326" t="s">
        <v>343</v>
      </c>
    </row>
    <row r="5" spans="1:14" ht="15.75" thickBot="1">
      <c r="A5" s="20"/>
      <c r="B5" s="20"/>
      <c r="H5" s="20"/>
      <c r="I5" t="s">
        <v>255</v>
      </c>
      <c r="J5" s="20" t="s">
        <v>273</v>
      </c>
      <c r="K5" t="s">
        <v>6</v>
      </c>
    </row>
    <row r="6" spans="1:14" ht="15.75" thickBot="1">
      <c r="A6" s="22" t="s">
        <v>254</v>
      </c>
      <c r="B6" s="24" t="s">
        <v>6</v>
      </c>
      <c r="C6" s="17">
        <v>2020</v>
      </c>
      <c r="D6" s="17" t="s">
        <v>251</v>
      </c>
      <c r="E6" s="18" t="s">
        <v>252</v>
      </c>
      <c r="H6" s="280"/>
      <c r="I6" s="481" t="s">
        <v>272</v>
      </c>
      <c r="J6" s="482"/>
      <c r="K6" s="334">
        <v>2020</v>
      </c>
      <c r="L6" s="335">
        <v>2030</v>
      </c>
      <c r="M6" s="335">
        <v>2040</v>
      </c>
      <c r="N6" s="336">
        <v>2050</v>
      </c>
    </row>
    <row r="7" spans="1:14" ht="15.75" customHeight="1">
      <c r="A7" s="479" t="s">
        <v>244</v>
      </c>
      <c r="B7" s="20" t="s">
        <v>245</v>
      </c>
      <c r="C7" s="20">
        <v>43</v>
      </c>
      <c r="D7" s="20">
        <v>28</v>
      </c>
      <c r="E7" s="21">
        <v>14</v>
      </c>
      <c r="I7" s="346" t="s">
        <v>256</v>
      </c>
      <c r="J7" s="339" t="s">
        <v>257</v>
      </c>
      <c r="K7" s="340">
        <v>61</v>
      </c>
      <c r="L7" s="340">
        <v>31</v>
      </c>
      <c r="M7" s="340">
        <v>27</v>
      </c>
      <c r="N7" s="341">
        <v>23</v>
      </c>
    </row>
    <row r="8" spans="1:14">
      <c r="A8" s="479"/>
      <c r="B8" s="20" t="s">
        <v>247</v>
      </c>
      <c r="C8" s="20">
        <v>16</v>
      </c>
      <c r="D8" s="20">
        <v>15</v>
      </c>
      <c r="E8" s="21">
        <v>13</v>
      </c>
      <c r="I8" s="347"/>
      <c r="J8" s="337" t="s">
        <v>258</v>
      </c>
      <c r="K8" s="338">
        <v>61</v>
      </c>
      <c r="L8" s="338">
        <v>57</v>
      </c>
      <c r="M8" s="338">
        <v>57</v>
      </c>
      <c r="N8" s="342">
        <v>57</v>
      </c>
    </row>
    <row r="9" spans="1:14">
      <c r="A9" s="479"/>
      <c r="B9" s="20" t="s">
        <v>248</v>
      </c>
      <c r="C9" s="20">
        <v>14</v>
      </c>
      <c r="D9" s="20">
        <v>10</v>
      </c>
      <c r="E9" s="21">
        <v>7</v>
      </c>
      <c r="I9" s="347"/>
      <c r="J9" s="337" t="s">
        <v>259</v>
      </c>
      <c r="K9" s="338">
        <v>50</v>
      </c>
      <c r="L9" s="338">
        <v>32</v>
      </c>
      <c r="M9" s="338">
        <v>28</v>
      </c>
      <c r="N9" s="342">
        <v>24</v>
      </c>
    </row>
    <row r="10" spans="1:14">
      <c r="A10" s="479"/>
      <c r="B10" s="20" t="s">
        <v>249</v>
      </c>
      <c r="C10" s="20">
        <v>6</v>
      </c>
      <c r="D10" s="20">
        <v>6</v>
      </c>
      <c r="E10" s="21">
        <v>6</v>
      </c>
      <c r="I10" s="347"/>
      <c r="J10" s="337" t="s">
        <v>260</v>
      </c>
      <c r="K10" s="338">
        <v>71</v>
      </c>
      <c r="L10" s="338">
        <v>58</v>
      </c>
      <c r="M10" s="338">
        <v>52</v>
      </c>
      <c r="N10" s="342">
        <v>46</v>
      </c>
    </row>
    <row r="11" spans="1:14" ht="15.75" thickBot="1">
      <c r="A11" s="480"/>
      <c r="B11" s="23" t="s">
        <v>250</v>
      </c>
      <c r="C11" s="23">
        <v>7</v>
      </c>
      <c r="D11" s="23">
        <v>6</v>
      </c>
      <c r="E11" s="24">
        <v>6</v>
      </c>
      <c r="I11" s="347"/>
      <c r="J11" s="337" t="s">
        <v>261</v>
      </c>
      <c r="K11" s="338">
        <v>49</v>
      </c>
      <c r="L11" s="338">
        <v>40</v>
      </c>
      <c r="M11" s="338">
        <v>38</v>
      </c>
      <c r="N11" s="342">
        <v>36</v>
      </c>
    </row>
    <row r="12" spans="1:14">
      <c r="I12" s="347"/>
      <c r="J12" s="337" t="s">
        <v>262</v>
      </c>
      <c r="K12" s="338">
        <v>29</v>
      </c>
      <c r="L12" s="338">
        <v>28</v>
      </c>
      <c r="M12" s="338">
        <v>26</v>
      </c>
      <c r="N12" s="342">
        <v>25</v>
      </c>
    </row>
    <row r="13" spans="1:14" ht="15.75" thickBot="1">
      <c r="I13" s="347"/>
      <c r="J13" s="337" t="s">
        <v>263</v>
      </c>
      <c r="K13" s="338">
        <v>102</v>
      </c>
      <c r="L13" s="338">
        <v>97</v>
      </c>
      <c r="M13" s="338">
        <v>93</v>
      </c>
      <c r="N13" s="342">
        <v>88</v>
      </c>
    </row>
    <row r="14" spans="1:14">
      <c r="A14" s="16" t="s">
        <v>254</v>
      </c>
      <c r="B14" s="17" t="s">
        <v>241</v>
      </c>
      <c r="C14" s="17" t="s">
        <v>51</v>
      </c>
      <c r="D14" s="17" t="s">
        <v>282</v>
      </c>
      <c r="E14" s="18" t="s">
        <v>53</v>
      </c>
      <c r="I14" s="347"/>
      <c r="J14" s="337" t="s">
        <v>264</v>
      </c>
      <c r="K14" s="338">
        <v>61</v>
      </c>
      <c r="L14" s="338"/>
      <c r="M14" s="338"/>
      <c r="N14" s="342"/>
    </row>
    <row r="15" spans="1:14" ht="15.75" thickBot="1">
      <c r="A15" s="479" t="s">
        <v>244</v>
      </c>
      <c r="B15" s="20" t="s">
        <v>278</v>
      </c>
      <c r="C15" s="20">
        <v>26</v>
      </c>
      <c r="D15" s="20">
        <v>41</v>
      </c>
      <c r="E15" s="21">
        <v>60</v>
      </c>
      <c r="I15" s="348"/>
      <c r="J15" s="343" t="s">
        <v>265</v>
      </c>
      <c r="K15" s="344">
        <v>45</v>
      </c>
      <c r="L15" s="344"/>
      <c r="M15" s="344"/>
      <c r="N15" s="345"/>
    </row>
    <row r="16" spans="1:14" ht="15.75" customHeight="1">
      <c r="A16" s="479"/>
      <c r="B16" s="20" t="s">
        <v>279</v>
      </c>
      <c r="C16" s="20">
        <v>18</v>
      </c>
      <c r="D16" s="20">
        <v>48</v>
      </c>
      <c r="E16" s="21">
        <v>180</v>
      </c>
      <c r="I16" s="346" t="s">
        <v>266</v>
      </c>
      <c r="J16" s="339" t="s">
        <v>257</v>
      </c>
      <c r="K16" s="340"/>
      <c r="L16" s="340">
        <v>41</v>
      </c>
      <c r="M16" s="340">
        <v>29</v>
      </c>
      <c r="N16" s="341">
        <v>19</v>
      </c>
    </row>
    <row r="17" spans="1:14">
      <c r="A17" s="479"/>
      <c r="B17" s="20" t="s">
        <v>280</v>
      </c>
      <c r="C17" s="20">
        <v>7</v>
      </c>
      <c r="D17" s="20">
        <v>11</v>
      </c>
      <c r="E17" s="21">
        <v>56</v>
      </c>
      <c r="I17" s="347"/>
      <c r="J17" s="337" t="s">
        <v>258</v>
      </c>
      <c r="K17" s="338"/>
      <c r="L17" s="338">
        <v>60</v>
      </c>
      <c r="M17" s="338">
        <v>53</v>
      </c>
      <c r="N17" s="342">
        <v>45</v>
      </c>
    </row>
    <row r="18" spans="1:14">
      <c r="A18" s="479"/>
      <c r="B18" s="20" t="s">
        <v>281</v>
      </c>
      <c r="C18" s="20">
        <v>8</v>
      </c>
      <c r="D18" s="20">
        <v>12</v>
      </c>
      <c r="E18" s="21">
        <v>35</v>
      </c>
      <c r="I18" s="347"/>
      <c r="J18" s="337" t="s">
        <v>259</v>
      </c>
      <c r="K18" s="338"/>
      <c r="L18" s="338">
        <v>56</v>
      </c>
      <c r="M18" s="338">
        <v>46</v>
      </c>
      <c r="N18" s="342">
        <v>35</v>
      </c>
    </row>
    <row r="19" spans="1:14">
      <c r="A19" s="479"/>
      <c r="B19" s="20" t="s">
        <v>249</v>
      </c>
      <c r="C19" s="20">
        <v>1</v>
      </c>
      <c r="D19" s="20">
        <v>24</v>
      </c>
      <c r="E19" s="21">
        <v>2200</v>
      </c>
      <c r="I19" s="347"/>
      <c r="J19" s="337" t="s">
        <v>260</v>
      </c>
      <c r="K19" s="338"/>
      <c r="L19" s="338">
        <v>88</v>
      </c>
      <c r="M19" s="338">
        <v>71</v>
      </c>
      <c r="N19" s="342">
        <v>54</v>
      </c>
    </row>
    <row r="20" spans="1:14" ht="15.75" thickBot="1">
      <c r="A20" s="480"/>
      <c r="B20" s="23" t="s">
        <v>250</v>
      </c>
      <c r="C20" s="23">
        <v>3.7</v>
      </c>
      <c r="D20" s="23">
        <v>12</v>
      </c>
      <c r="E20" s="24">
        <v>63</v>
      </c>
      <c r="I20" s="347"/>
      <c r="J20" s="337" t="s">
        <v>267</v>
      </c>
      <c r="K20" s="338"/>
      <c r="L20" s="338">
        <v>36</v>
      </c>
      <c r="M20" s="338">
        <v>30</v>
      </c>
      <c r="N20" s="342">
        <v>23</v>
      </c>
    </row>
    <row r="21" spans="1:14">
      <c r="I21" s="347"/>
      <c r="J21" s="337" t="s">
        <v>262</v>
      </c>
      <c r="K21" s="338"/>
      <c r="L21" s="338">
        <v>39</v>
      </c>
      <c r="M21" s="338">
        <v>36</v>
      </c>
      <c r="N21" s="342">
        <v>35</v>
      </c>
    </row>
    <row r="22" spans="1:14" ht="15.75" thickBot="1">
      <c r="I22" s="348"/>
      <c r="J22" s="343" t="s">
        <v>263</v>
      </c>
      <c r="K22" s="344"/>
      <c r="L22" s="344">
        <v>88</v>
      </c>
      <c r="M22" s="344">
        <v>82</v>
      </c>
      <c r="N22" s="345">
        <v>81</v>
      </c>
    </row>
    <row r="23" spans="1:14" ht="15.75" customHeight="1" thickBot="1">
      <c r="I23" s="346" t="s">
        <v>268</v>
      </c>
      <c r="J23" s="339" t="s">
        <v>257</v>
      </c>
      <c r="K23" s="340"/>
      <c r="L23" s="340">
        <v>63</v>
      </c>
      <c r="M23" s="340">
        <v>45</v>
      </c>
      <c r="N23" s="341">
        <v>32</v>
      </c>
    </row>
    <row r="24" spans="1:14" ht="15.75" thickBot="1">
      <c r="A24" s="277" t="s">
        <v>302</v>
      </c>
      <c r="I24" s="347"/>
      <c r="J24" s="337" t="s">
        <v>258</v>
      </c>
      <c r="K24" s="338"/>
      <c r="L24" s="338">
        <v>83</v>
      </c>
      <c r="M24" s="338">
        <v>71</v>
      </c>
      <c r="N24" s="342">
        <v>59</v>
      </c>
    </row>
    <row r="25" spans="1:14">
      <c r="A25" s="16"/>
      <c r="B25" s="483" t="s">
        <v>300</v>
      </c>
      <c r="C25" s="483"/>
      <c r="D25" s="483"/>
      <c r="E25" s="483"/>
      <c r="F25" s="484"/>
      <c r="I25" s="347"/>
      <c r="J25" s="337" t="s">
        <v>259</v>
      </c>
      <c r="K25" s="338"/>
      <c r="L25" s="338">
        <v>77</v>
      </c>
      <c r="M25" s="338">
        <v>68</v>
      </c>
      <c r="N25" s="342">
        <v>58</v>
      </c>
    </row>
    <row r="26" spans="1:14">
      <c r="A26" s="19"/>
      <c r="B26" s="20">
        <v>2019</v>
      </c>
      <c r="C26" s="20">
        <v>2020</v>
      </c>
      <c r="D26" s="20">
        <v>2030</v>
      </c>
      <c r="E26" s="20">
        <v>2040</v>
      </c>
      <c r="F26" s="21">
        <v>2050</v>
      </c>
      <c r="I26" s="347"/>
      <c r="J26" s="337" t="s">
        <v>260</v>
      </c>
      <c r="K26" s="338"/>
      <c r="L26" s="338">
        <v>97</v>
      </c>
      <c r="M26" s="338">
        <v>84</v>
      </c>
      <c r="N26" s="342">
        <v>71</v>
      </c>
    </row>
    <row r="27" spans="1:14">
      <c r="A27" s="19" t="s">
        <v>283</v>
      </c>
      <c r="B27" s="275">
        <v>26922</v>
      </c>
      <c r="C27" s="275">
        <v>26778</v>
      </c>
      <c r="D27" s="275">
        <v>37316</v>
      </c>
      <c r="E27" s="275">
        <v>56553</v>
      </c>
      <c r="F27" s="330">
        <v>71164</v>
      </c>
      <c r="I27" s="347"/>
      <c r="J27" s="337" t="s">
        <v>262</v>
      </c>
      <c r="K27" s="338"/>
      <c r="L27" s="338">
        <v>53</v>
      </c>
      <c r="M27" s="338">
        <v>52</v>
      </c>
      <c r="N27" s="342">
        <v>50</v>
      </c>
    </row>
    <row r="28" spans="1:14" ht="15.75" thickBot="1">
      <c r="A28" s="19" t="s">
        <v>284</v>
      </c>
      <c r="B28" s="275">
        <v>7153</v>
      </c>
      <c r="C28" s="275">
        <v>7660</v>
      </c>
      <c r="D28" s="275">
        <v>22817</v>
      </c>
      <c r="E28" s="275">
        <v>47521</v>
      </c>
      <c r="F28" s="330">
        <v>62333</v>
      </c>
      <c r="I28" s="348"/>
      <c r="J28" s="343" t="s">
        <v>263</v>
      </c>
      <c r="K28" s="344"/>
      <c r="L28" s="344">
        <v>127</v>
      </c>
      <c r="M28" s="344">
        <v>120</v>
      </c>
      <c r="N28" s="345">
        <v>117</v>
      </c>
    </row>
    <row r="29" spans="1:14" ht="15.75" customHeight="1" thickBot="1">
      <c r="A29" s="19" t="s">
        <v>285</v>
      </c>
      <c r="B29" s="20">
        <v>665</v>
      </c>
      <c r="C29" s="20">
        <v>821</v>
      </c>
      <c r="D29" s="275">
        <v>6970</v>
      </c>
      <c r="E29" s="275">
        <v>17031</v>
      </c>
      <c r="F29" s="330">
        <v>23469</v>
      </c>
      <c r="I29" s="358" t="s">
        <v>323</v>
      </c>
      <c r="J29" s="359"/>
      <c r="K29" s="360">
        <f>MEDIAN(K7:K28)</f>
        <v>61</v>
      </c>
      <c r="L29" s="360">
        <f t="shared" ref="L29:N29" si="0">MEDIAN(L7:L28)</f>
        <v>57.5</v>
      </c>
      <c r="M29" s="360">
        <f t="shared" si="0"/>
        <v>52</v>
      </c>
      <c r="N29" s="361">
        <f t="shared" si="0"/>
        <v>45.5</v>
      </c>
    </row>
    <row r="30" spans="1:14" ht="30">
      <c r="A30" s="19" t="s">
        <v>246</v>
      </c>
      <c r="B30" s="275">
        <v>1423</v>
      </c>
      <c r="C30" s="275">
        <v>1592</v>
      </c>
      <c r="D30" s="275">
        <v>8008</v>
      </c>
      <c r="E30" s="275">
        <v>18787</v>
      </c>
      <c r="F30" s="330">
        <v>24785</v>
      </c>
      <c r="I30" s="346" t="s">
        <v>269</v>
      </c>
      <c r="J30" s="339" t="s">
        <v>257</v>
      </c>
      <c r="K30" s="340">
        <v>48</v>
      </c>
      <c r="L30" s="340">
        <v>34</v>
      </c>
      <c r="M30" s="340">
        <v>30</v>
      </c>
      <c r="N30" s="341">
        <v>26</v>
      </c>
    </row>
    <row r="31" spans="1:14">
      <c r="A31" s="19" t="s">
        <v>286</v>
      </c>
      <c r="B31" s="275">
        <v>4294</v>
      </c>
      <c r="C31" s="275">
        <v>4418</v>
      </c>
      <c r="D31" s="275">
        <v>5870</v>
      </c>
      <c r="E31" s="275">
        <v>7445</v>
      </c>
      <c r="F31" s="330">
        <v>8461</v>
      </c>
      <c r="I31" s="347"/>
      <c r="J31" s="337" t="s">
        <v>258</v>
      </c>
      <c r="K31" s="338">
        <v>48</v>
      </c>
      <c r="L31" s="338">
        <v>37</v>
      </c>
      <c r="M31" s="338">
        <v>35</v>
      </c>
      <c r="N31" s="342">
        <v>32</v>
      </c>
    </row>
    <row r="32" spans="1:14">
      <c r="A32" s="19" t="s">
        <v>287</v>
      </c>
      <c r="B32" s="20">
        <v>665</v>
      </c>
      <c r="C32" s="20">
        <v>718</v>
      </c>
      <c r="D32" s="275">
        <v>1407</v>
      </c>
      <c r="E32" s="275">
        <v>2676</v>
      </c>
      <c r="F32" s="330">
        <v>3279</v>
      </c>
      <c r="I32" s="347"/>
      <c r="J32" s="337" t="s">
        <v>259</v>
      </c>
      <c r="K32" s="338">
        <v>45</v>
      </c>
      <c r="L32" s="338">
        <v>35</v>
      </c>
      <c r="M32" s="338">
        <v>29</v>
      </c>
      <c r="N32" s="342">
        <v>23</v>
      </c>
    </row>
    <row r="33" spans="1:14">
      <c r="A33" s="19" t="s">
        <v>288</v>
      </c>
      <c r="B33" s="20" t="s">
        <v>301</v>
      </c>
      <c r="C33" s="20" t="s">
        <v>301</v>
      </c>
      <c r="D33" s="20">
        <v>129</v>
      </c>
      <c r="E33" s="20">
        <v>673</v>
      </c>
      <c r="F33" s="21">
        <v>842</v>
      </c>
      <c r="I33" s="347"/>
      <c r="J33" s="337" t="s">
        <v>260</v>
      </c>
      <c r="K33" s="338">
        <v>81</v>
      </c>
      <c r="L33" s="338">
        <v>47</v>
      </c>
      <c r="M33" s="338">
        <v>40</v>
      </c>
      <c r="N33" s="342">
        <v>32</v>
      </c>
    </row>
    <row r="34" spans="1:14">
      <c r="A34" s="19" t="s">
        <v>289</v>
      </c>
      <c r="B34" s="20">
        <v>14</v>
      </c>
      <c r="C34" s="20">
        <v>14</v>
      </c>
      <c r="D34" s="20">
        <v>204</v>
      </c>
      <c r="E34" s="20">
        <v>880</v>
      </c>
      <c r="F34" s="330">
        <v>1386</v>
      </c>
      <c r="I34" s="347"/>
      <c r="J34" s="337" t="s">
        <v>267</v>
      </c>
      <c r="K34" s="338">
        <v>49</v>
      </c>
      <c r="L34" s="338">
        <v>31</v>
      </c>
      <c r="M34" s="338">
        <v>27</v>
      </c>
      <c r="N34" s="342">
        <v>22</v>
      </c>
    </row>
    <row r="35" spans="1:14">
      <c r="A35" s="19" t="s">
        <v>290</v>
      </c>
      <c r="B35" s="20">
        <v>92</v>
      </c>
      <c r="C35" s="20">
        <v>94</v>
      </c>
      <c r="D35" s="20">
        <v>330</v>
      </c>
      <c r="E35" s="20">
        <v>625</v>
      </c>
      <c r="F35" s="21">
        <v>821</v>
      </c>
      <c r="I35" s="347"/>
      <c r="J35" s="337" t="s">
        <v>262</v>
      </c>
      <c r="K35" s="338">
        <v>34</v>
      </c>
      <c r="L35" s="338">
        <v>19</v>
      </c>
      <c r="M35" s="338">
        <v>16</v>
      </c>
      <c r="N35" s="342">
        <v>14</v>
      </c>
    </row>
    <row r="36" spans="1:14">
      <c r="A36" s="19" t="s">
        <v>291</v>
      </c>
      <c r="B36" s="20">
        <v>1</v>
      </c>
      <c r="C36" s="20">
        <v>2</v>
      </c>
      <c r="D36" s="20">
        <v>27</v>
      </c>
      <c r="E36" s="20">
        <v>77</v>
      </c>
      <c r="F36" s="21">
        <v>132</v>
      </c>
      <c r="I36" s="347"/>
      <c r="J36" s="337" t="s">
        <v>263</v>
      </c>
      <c r="K36" s="338">
        <v>58</v>
      </c>
      <c r="L36" s="338">
        <v>36</v>
      </c>
      <c r="M36" s="338">
        <v>28</v>
      </c>
      <c r="N36" s="342">
        <v>25</v>
      </c>
    </row>
    <row r="37" spans="1:14">
      <c r="A37" s="19" t="s">
        <v>250</v>
      </c>
      <c r="B37" s="275">
        <v>2792</v>
      </c>
      <c r="C37" s="275">
        <v>2698</v>
      </c>
      <c r="D37" s="275">
        <v>3777</v>
      </c>
      <c r="E37" s="275">
        <v>4855</v>
      </c>
      <c r="F37" s="330">
        <v>5497</v>
      </c>
      <c r="I37" s="347"/>
      <c r="J37" s="337" t="s">
        <v>270</v>
      </c>
      <c r="K37" s="338">
        <v>51</v>
      </c>
      <c r="L37" s="338"/>
      <c r="M37" s="338"/>
      <c r="N37" s="342"/>
    </row>
    <row r="38" spans="1:14" ht="15.75" customHeight="1" thickBot="1">
      <c r="A38" s="19" t="s">
        <v>292</v>
      </c>
      <c r="B38" s="20" t="s">
        <v>301</v>
      </c>
      <c r="C38" s="20" t="s">
        <v>301</v>
      </c>
      <c r="D38" s="20">
        <v>875</v>
      </c>
      <c r="E38" s="275">
        <v>1857</v>
      </c>
      <c r="F38" s="330">
        <v>1713</v>
      </c>
      <c r="I38" s="348"/>
      <c r="J38" s="343" t="s">
        <v>265</v>
      </c>
      <c r="K38" s="344">
        <v>58</v>
      </c>
      <c r="L38" s="344"/>
      <c r="M38" s="344"/>
      <c r="N38" s="345"/>
    </row>
    <row r="39" spans="1:14" ht="45">
      <c r="A39" s="19" t="s">
        <v>293</v>
      </c>
      <c r="B39" s="20">
        <v>1</v>
      </c>
      <c r="C39" s="20">
        <v>4</v>
      </c>
      <c r="D39" s="20">
        <v>459</v>
      </c>
      <c r="E39" s="275">
        <v>1659</v>
      </c>
      <c r="F39" s="330">
        <v>1332</v>
      </c>
      <c r="I39" s="346" t="s">
        <v>271</v>
      </c>
      <c r="J39" s="339" t="s">
        <v>257</v>
      </c>
      <c r="K39" s="340">
        <v>72</v>
      </c>
      <c r="L39" s="340">
        <v>51</v>
      </c>
      <c r="M39" s="340">
        <v>45</v>
      </c>
      <c r="N39" s="341">
        <v>41</v>
      </c>
    </row>
    <row r="40" spans="1:14">
      <c r="A40" s="19" t="s">
        <v>294</v>
      </c>
      <c r="B40" s="20">
        <v>1</v>
      </c>
      <c r="C40" s="20">
        <v>4</v>
      </c>
      <c r="D40" s="20">
        <v>289</v>
      </c>
      <c r="E40" s="20">
        <v>966</v>
      </c>
      <c r="F40" s="21">
        <v>663</v>
      </c>
      <c r="I40" s="347"/>
      <c r="J40" s="337" t="s">
        <v>258</v>
      </c>
      <c r="K40" s="338">
        <v>72</v>
      </c>
      <c r="L40" s="338">
        <v>59</v>
      </c>
      <c r="M40" s="338">
        <v>55</v>
      </c>
      <c r="N40" s="342">
        <v>53</v>
      </c>
    </row>
    <row r="41" spans="1:14">
      <c r="A41" s="19" t="s">
        <v>295</v>
      </c>
      <c r="B41" s="20" t="s">
        <v>301</v>
      </c>
      <c r="C41" s="20" t="s">
        <v>301</v>
      </c>
      <c r="D41" s="20">
        <v>170</v>
      </c>
      <c r="E41" s="20">
        <v>694</v>
      </c>
      <c r="F41" s="21">
        <v>669</v>
      </c>
      <c r="I41" s="347"/>
      <c r="J41" s="337" t="s">
        <v>259</v>
      </c>
      <c r="K41" s="338">
        <v>61</v>
      </c>
      <c r="L41" s="338">
        <v>41</v>
      </c>
      <c r="M41" s="338">
        <v>33</v>
      </c>
      <c r="N41" s="342">
        <v>25</v>
      </c>
    </row>
    <row r="42" spans="1:14">
      <c r="A42" s="19" t="s">
        <v>296</v>
      </c>
      <c r="B42" s="275">
        <v>16941</v>
      </c>
      <c r="C42" s="275">
        <v>16382</v>
      </c>
      <c r="D42" s="275">
        <v>9358</v>
      </c>
      <c r="E42" s="20">
        <v>632</v>
      </c>
      <c r="F42" s="21">
        <v>259</v>
      </c>
      <c r="I42" s="347"/>
      <c r="J42" s="337" t="s">
        <v>260</v>
      </c>
      <c r="K42" s="338">
        <v>104</v>
      </c>
      <c r="L42" s="338">
        <v>62</v>
      </c>
      <c r="M42" s="338">
        <v>50</v>
      </c>
      <c r="N42" s="342">
        <v>38</v>
      </c>
    </row>
    <row r="43" spans="1:14">
      <c r="A43" s="19" t="s">
        <v>297</v>
      </c>
      <c r="B43" s="275">
        <v>9832</v>
      </c>
      <c r="C43" s="275">
        <v>9426</v>
      </c>
      <c r="D43" s="275">
        <v>2947</v>
      </c>
      <c r="E43" s="20">
        <v>0</v>
      </c>
      <c r="F43" s="21">
        <v>0</v>
      </c>
      <c r="I43" s="347"/>
      <c r="J43" s="337" t="s">
        <v>262</v>
      </c>
      <c r="K43" s="357">
        <v>43</v>
      </c>
      <c r="L43" s="357">
        <v>25</v>
      </c>
      <c r="M43" s="338">
        <v>20</v>
      </c>
      <c r="N43" s="362">
        <v>18</v>
      </c>
    </row>
    <row r="44" spans="1:14">
      <c r="A44" s="19" t="s">
        <v>298</v>
      </c>
      <c r="B44" s="275">
        <v>6314</v>
      </c>
      <c r="C44" s="275">
        <v>6200</v>
      </c>
      <c r="D44" s="275">
        <v>6222</v>
      </c>
      <c r="E44" s="20">
        <v>626</v>
      </c>
      <c r="F44" s="21">
        <v>253</v>
      </c>
      <c r="I44" s="347"/>
      <c r="J44" s="337" t="s">
        <v>263</v>
      </c>
      <c r="K44" s="357">
        <v>84</v>
      </c>
      <c r="L44" s="357">
        <v>52</v>
      </c>
      <c r="M44" s="338">
        <v>41</v>
      </c>
      <c r="N44" s="362">
        <v>36</v>
      </c>
    </row>
    <row r="45" spans="1:14" ht="15" customHeight="1" thickBot="1">
      <c r="A45" s="22" t="s">
        <v>299</v>
      </c>
      <c r="B45" s="23">
        <v>795</v>
      </c>
      <c r="C45" s="23">
        <v>756</v>
      </c>
      <c r="D45" s="23">
        <v>189</v>
      </c>
      <c r="E45" s="23">
        <v>6</v>
      </c>
      <c r="F45" s="24">
        <v>6</v>
      </c>
      <c r="I45" s="348"/>
      <c r="J45" s="343" t="s">
        <v>270</v>
      </c>
      <c r="K45" s="363">
        <v>77</v>
      </c>
      <c r="L45" s="363"/>
      <c r="M45" s="344"/>
      <c r="N45" s="364"/>
    </row>
    <row r="46" spans="1:14" ht="30.75" thickBot="1">
      <c r="I46" s="358" t="s">
        <v>324</v>
      </c>
      <c r="J46" s="359"/>
      <c r="K46" s="360">
        <f>MEDIAN(K30:K45)</f>
        <v>58</v>
      </c>
      <c r="L46" s="360">
        <f t="shared" ref="L46:N46" si="1">MEDIAN(L30:L45)</f>
        <v>37</v>
      </c>
      <c r="M46" s="360">
        <f t="shared" si="1"/>
        <v>33</v>
      </c>
      <c r="N46" s="361">
        <f t="shared" si="1"/>
        <v>26</v>
      </c>
    </row>
    <row r="47" spans="1:14" ht="30">
      <c r="I47" s="353" t="s">
        <v>274</v>
      </c>
      <c r="J47" s="354" t="s">
        <v>275</v>
      </c>
      <c r="K47" s="355">
        <v>44</v>
      </c>
      <c r="L47" s="355">
        <v>44</v>
      </c>
      <c r="M47" s="355">
        <v>44</v>
      </c>
      <c r="N47" s="356">
        <v>44</v>
      </c>
    </row>
    <row r="48" spans="1:14" ht="15.75" thickBot="1">
      <c r="I48" s="347"/>
      <c r="J48" s="337" t="s">
        <v>276</v>
      </c>
      <c r="K48" s="338">
        <v>70</v>
      </c>
      <c r="L48" s="338">
        <v>70</v>
      </c>
      <c r="M48" s="338">
        <v>70</v>
      </c>
      <c r="N48" s="342">
        <v>70</v>
      </c>
    </row>
    <row r="49" spans="1:15">
      <c r="A49" s="16" t="s">
        <v>338</v>
      </c>
      <c r="B49" s="17">
        <v>2020</v>
      </c>
      <c r="C49" s="17">
        <v>2030</v>
      </c>
      <c r="D49" s="18">
        <v>2050</v>
      </c>
      <c r="I49" s="347"/>
      <c r="J49" s="337" t="s">
        <v>277</v>
      </c>
      <c r="K49" s="338">
        <v>108</v>
      </c>
      <c r="L49" s="338">
        <v>108</v>
      </c>
      <c r="M49" s="338">
        <v>108</v>
      </c>
      <c r="N49" s="342">
        <v>108</v>
      </c>
      <c r="O49" s="328"/>
    </row>
    <row r="50" spans="1:15" ht="15.75" thickBot="1">
      <c r="A50" s="19" t="s">
        <v>303</v>
      </c>
      <c r="B50" s="20">
        <v>75</v>
      </c>
      <c r="C50" s="20">
        <v>75</v>
      </c>
      <c r="D50" s="21">
        <v>70</v>
      </c>
      <c r="I50" s="349"/>
      <c r="J50" s="350" t="s">
        <v>267</v>
      </c>
      <c r="K50" s="351">
        <f>150/Monetary!V4</f>
        <v>131.57894736842107</v>
      </c>
      <c r="L50" s="351">
        <f>120/Monetary!V4</f>
        <v>105.26315789473685</v>
      </c>
      <c r="M50" s="351">
        <v>103</v>
      </c>
      <c r="N50" s="352">
        <f>115/Monetary!V4</f>
        <v>100.87719298245615</v>
      </c>
    </row>
    <row r="51" spans="1:15" ht="45.75" thickBot="1">
      <c r="A51" s="19" t="s">
        <v>304</v>
      </c>
      <c r="B51" s="20">
        <v>13</v>
      </c>
      <c r="C51" s="20">
        <v>14</v>
      </c>
      <c r="D51" s="21">
        <v>14</v>
      </c>
      <c r="I51" s="365" t="s">
        <v>325</v>
      </c>
      <c r="J51" s="366"/>
      <c r="K51" s="366">
        <f>MEDIAN(K47:K50)</f>
        <v>89</v>
      </c>
      <c r="L51" s="366">
        <f t="shared" ref="L51:N51" si="2">MEDIAN(L47:L50)</f>
        <v>87.631578947368425</v>
      </c>
      <c r="M51" s="366">
        <f t="shared" si="2"/>
        <v>86.5</v>
      </c>
      <c r="N51" s="367">
        <f t="shared" si="2"/>
        <v>85.438596491228083</v>
      </c>
    </row>
    <row r="52" spans="1:15" ht="15.75" thickBot="1">
      <c r="A52" s="19" t="s">
        <v>305</v>
      </c>
      <c r="B52" s="20">
        <v>29</v>
      </c>
      <c r="C52" s="20">
        <v>30</v>
      </c>
      <c r="D52" s="21">
        <v>31</v>
      </c>
      <c r="I52" s="368" t="s">
        <v>249</v>
      </c>
      <c r="J52" s="369" t="s">
        <v>326</v>
      </c>
      <c r="K52" s="369">
        <v>30</v>
      </c>
      <c r="L52" s="369">
        <v>30</v>
      </c>
      <c r="M52" s="369">
        <v>30</v>
      </c>
      <c r="N52" s="370">
        <v>30</v>
      </c>
    </row>
    <row r="53" spans="1:15" ht="15.75" thickBot="1">
      <c r="A53" s="22" t="s">
        <v>306</v>
      </c>
      <c r="B53" s="23">
        <v>51</v>
      </c>
      <c r="C53" s="23">
        <v>56</v>
      </c>
      <c r="D53" s="24">
        <v>59</v>
      </c>
    </row>
    <row r="54" spans="1:15" ht="15.75" thickBot="1">
      <c r="I54" s="319" t="s">
        <v>329</v>
      </c>
      <c r="J54" s="331" t="s">
        <v>328</v>
      </c>
      <c r="K54" s="327">
        <v>0.3</v>
      </c>
    </row>
    <row r="55" spans="1:15">
      <c r="I55" t="s">
        <v>308</v>
      </c>
      <c r="J55" s="329" t="s">
        <v>327</v>
      </c>
    </row>
    <row r="57" spans="1:15">
      <c r="A57" s="474" t="s">
        <v>310</v>
      </c>
      <c r="B57" s="475"/>
      <c r="C57" s="475"/>
      <c r="D57" s="475"/>
      <c r="E57" s="475"/>
    </row>
    <row r="58" spans="1:15" ht="15.75" thickBot="1"/>
    <row r="59" spans="1:15">
      <c r="A59" s="16" t="s">
        <v>311</v>
      </c>
      <c r="B59" s="17"/>
      <c r="C59" s="17"/>
      <c r="D59" s="17"/>
      <c r="E59" s="17"/>
      <c r="F59" s="17"/>
      <c r="G59" s="17"/>
      <c r="H59" s="18"/>
    </row>
    <row r="60" spans="1:15">
      <c r="A60" s="19"/>
      <c r="B60" s="20">
        <v>2020</v>
      </c>
      <c r="C60" s="20" t="s">
        <v>313</v>
      </c>
      <c r="D60" s="20" t="s">
        <v>312</v>
      </c>
      <c r="E60" s="20" t="s">
        <v>315</v>
      </c>
      <c r="F60" s="20" t="s">
        <v>314</v>
      </c>
      <c r="G60" s="20" t="s">
        <v>317</v>
      </c>
      <c r="H60" s="21" t="s">
        <v>316</v>
      </c>
    </row>
    <row r="61" spans="1:15">
      <c r="A61" s="19" t="s">
        <v>245</v>
      </c>
      <c r="B61" s="20">
        <v>43</v>
      </c>
      <c r="C61" s="332">
        <f>B61+(G61-B61)/30*10</f>
        <v>38</v>
      </c>
      <c r="D61" s="332">
        <f>B61+(H61-B61)/30*10</f>
        <v>33.333333333333336</v>
      </c>
      <c r="E61" s="332">
        <f>B61+(G61-B61)/30*20</f>
        <v>33</v>
      </c>
      <c r="F61" s="332">
        <f>B61+(H61-C61)/30*20</f>
        <v>27</v>
      </c>
      <c r="G61" s="20">
        <v>28</v>
      </c>
      <c r="H61" s="21">
        <v>14</v>
      </c>
    </row>
    <row r="62" spans="1:15">
      <c r="A62" s="19" t="s">
        <v>247</v>
      </c>
      <c r="B62" s="20">
        <v>16</v>
      </c>
      <c r="C62" s="332">
        <f t="shared" ref="C62:C65" si="3">B62+(G62-B62)/30*10</f>
        <v>15.666666666666666</v>
      </c>
      <c r="D62" s="332">
        <f t="shared" ref="D62:D65" si="4">B62+(H62-B62)/30*10</f>
        <v>15</v>
      </c>
      <c r="E62" s="332">
        <f t="shared" ref="E62:E65" si="5">B62+(G62-B62)/30*20</f>
        <v>15.333333333333334</v>
      </c>
      <c r="F62" s="332">
        <f t="shared" ref="F62:F65" si="6">B62+(H62-C62)/30*20</f>
        <v>14.222222222222223</v>
      </c>
      <c r="G62" s="20">
        <v>15</v>
      </c>
      <c r="H62" s="21">
        <v>13</v>
      </c>
    </row>
    <row r="63" spans="1:15">
      <c r="A63" s="19" t="s">
        <v>248</v>
      </c>
      <c r="B63" s="20">
        <v>14</v>
      </c>
      <c r="C63" s="332">
        <f t="shared" si="3"/>
        <v>12.666666666666666</v>
      </c>
      <c r="D63" s="332">
        <f t="shared" si="4"/>
        <v>11.666666666666666</v>
      </c>
      <c r="E63" s="332">
        <f t="shared" si="5"/>
        <v>11.333333333333334</v>
      </c>
      <c r="F63" s="332">
        <f t="shared" si="6"/>
        <v>10.222222222222223</v>
      </c>
      <c r="G63" s="20">
        <v>10</v>
      </c>
      <c r="H63" s="21">
        <v>7</v>
      </c>
    </row>
    <row r="64" spans="1:15">
      <c r="A64" s="19" t="s">
        <v>249</v>
      </c>
      <c r="B64" s="20">
        <v>6</v>
      </c>
      <c r="C64" s="332">
        <f t="shared" si="3"/>
        <v>6</v>
      </c>
      <c r="D64" s="332">
        <f t="shared" si="4"/>
        <v>6</v>
      </c>
      <c r="E64" s="332">
        <f t="shared" si="5"/>
        <v>6</v>
      </c>
      <c r="F64" s="332">
        <f t="shared" si="6"/>
        <v>6</v>
      </c>
      <c r="G64" s="20">
        <v>6</v>
      </c>
      <c r="H64" s="21">
        <v>6</v>
      </c>
    </row>
    <row r="65" spans="1:9" ht="15.75" thickBot="1">
      <c r="A65" s="22" t="s">
        <v>250</v>
      </c>
      <c r="B65" s="23">
        <v>7</v>
      </c>
      <c r="C65" s="333">
        <f t="shared" si="3"/>
        <v>6.666666666666667</v>
      </c>
      <c r="D65" s="333">
        <f t="shared" si="4"/>
        <v>6.666666666666667</v>
      </c>
      <c r="E65" s="333">
        <f t="shared" si="5"/>
        <v>6.333333333333333</v>
      </c>
      <c r="F65" s="333">
        <f t="shared" si="6"/>
        <v>6.5555555555555554</v>
      </c>
      <c r="G65" s="23">
        <v>6</v>
      </c>
      <c r="H65" s="24">
        <v>6</v>
      </c>
    </row>
    <row r="69" spans="1:9" ht="15.75" thickBot="1"/>
    <row r="70" spans="1:9">
      <c r="A70" s="16" t="s">
        <v>344</v>
      </c>
      <c r="B70" s="17"/>
      <c r="C70" s="17"/>
      <c r="D70" s="17"/>
      <c r="E70" s="17"/>
      <c r="F70" s="17"/>
      <c r="G70" s="17"/>
      <c r="H70" s="17"/>
      <c r="I70" s="18"/>
    </row>
    <row r="71" spans="1:9">
      <c r="A71" s="19" t="s">
        <v>99</v>
      </c>
      <c r="B71" s="20" t="s">
        <v>245</v>
      </c>
      <c r="C71" s="20" t="s">
        <v>246</v>
      </c>
      <c r="D71" s="20" t="s">
        <v>249</v>
      </c>
      <c r="E71" s="20" t="s">
        <v>250</v>
      </c>
      <c r="F71" s="20" t="s">
        <v>318</v>
      </c>
      <c r="G71" s="20" t="s">
        <v>319</v>
      </c>
      <c r="H71" s="20" t="s">
        <v>320</v>
      </c>
      <c r="I71" s="21" t="s">
        <v>321</v>
      </c>
    </row>
    <row r="72" spans="1:9">
      <c r="A72" s="19">
        <v>2020</v>
      </c>
      <c r="B72" s="276">
        <f>C29/(C31+C30+C29+C37)</f>
        <v>8.6158043866092979E-2</v>
      </c>
      <c r="C72" s="276">
        <f>C30/(C31+C30+C29+C37)</f>
        <v>0.16706894742365411</v>
      </c>
      <c r="D72" s="276">
        <f>C31/(C31+C30+C29+C37)</f>
        <v>0.46363731766187427</v>
      </c>
      <c r="E72" s="276">
        <f>C37/(C31+C30+C29+C37)</f>
        <v>0.28313569104837866</v>
      </c>
      <c r="F72" s="371">
        <f>B72*B61+C72*(B62+B63)/2+D72*B64+E72*B65</f>
        <v>10.974603840906706</v>
      </c>
      <c r="G72" s="372">
        <f>(B72*B61+C72*(B62+B63)/2+D72*B64)/(B72+C72+D72)</f>
        <v>12.544429805299371</v>
      </c>
      <c r="H72" s="371">
        <f>B72*B61+C72*(B62+B63)/2+D72*B64+E72*B65</f>
        <v>10.974603840906706</v>
      </c>
      <c r="I72" s="373">
        <f>(B72*B61+C72*(B62+B63)/2+D72*B64)/(B72+D72+C72)</f>
        <v>12.544429805299371</v>
      </c>
    </row>
    <row r="73" spans="1:9">
      <c r="A73" s="19">
        <v>2030</v>
      </c>
      <c r="B73" s="276">
        <f>D29/(D31+D30+D29+D37)</f>
        <v>0.28304568527918783</v>
      </c>
      <c r="C73" s="276">
        <f>D30/(D31+D30+D29+D37)</f>
        <v>0.32519796954314723</v>
      </c>
      <c r="D73" s="276">
        <f>D31/(D31+D30+D29+D37)</f>
        <v>0.2383756345177665</v>
      </c>
      <c r="E73" s="276">
        <f>D37/(D31+D30+D29+D37)</f>
        <v>0.15338071065989847</v>
      </c>
      <c r="F73" s="371">
        <f>B73*C61+C73*(C62+C63)/2+D73*C64+E73*C65</f>
        <v>17.815499153976315</v>
      </c>
      <c r="G73" s="372">
        <f>(B73*C61+C73*(C62+C63)/2+D73*C64)/(B73+C73+D73)</f>
        <v>19.835315937579942</v>
      </c>
      <c r="H73" s="371">
        <f>B73*D61+C73*(D62+D63)/2+D73*D64+E73*D65</f>
        <v>16.22362098138748</v>
      </c>
      <c r="I73" s="373">
        <f>(B73*E61+C73*(E62+E63)/2+D73*E64)/(B73+C73+D73)</f>
        <v>17.843598106932717</v>
      </c>
    </row>
    <row r="74" spans="1:9">
      <c r="A74" s="19">
        <v>2040</v>
      </c>
      <c r="B74" s="276">
        <f>E29/(E31+E30+E29+E37)</f>
        <v>0.35394239162059937</v>
      </c>
      <c r="C74" s="276">
        <f>D30/(D31+D30+D29+D37)</f>
        <v>0.32519796954314723</v>
      </c>
      <c r="D74" s="276">
        <f>E31/(E31+E30+E29+E37)</f>
        <v>0.15472380398187788</v>
      </c>
      <c r="E74" s="276">
        <f>E37/(E31+E30+E29+E37)</f>
        <v>0.10089779292572426</v>
      </c>
      <c r="F74" s="371">
        <f>B74*E61+C74*(E62+E63)/2+D74*E64+E74*E65</f>
        <v>17.583434029809265</v>
      </c>
      <c r="G74" s="372">
        <f>(B74*E61+C74*(E62+E63)/2+D74*E64)/(B74+C74+D74)</f>
        <v>20.320353581394002</v>
      </c>
      <c r="H74" s="371">
        <f>B74*F61+C74*(F62+F63)/2+D74*F64+E74*F65</f>
        <v>15.120870334576775</v>
      </c>
      <c r="I74" s="373">
        <f>(B74*G61+C74*(G62+G63)/2+D74*G64)/(B74+C74+D74)</f>
        <v>17.873060183554756</v>
      </c>
    </row>
    <row r="75" spans="1:9" ht="15.75" thickBot="1">
      <c r="A75" s="22">
        <v>2050</v>
      </c>
      <c r="B75" s="374">
        <f>F29/(F31+F30+F29+F37)</f>
        <v>0.37724233266893847</v>
      </c>
      <c r="C75" s="374">
        <f>F30/(F31+F30+F29+F37)</f>
        <v>0.39839580788272361</v>
      </c>
      <c r="D75" s="374">
        <f>F31/(F31+F30+F29+F37)</f>
        <v>0.13600270044364432</v>
      </c>
      <c r="E75" s="374">
        <f>F37/(F31+F30+F29+F37)</f>
        <v>8.8359159004693627E-2</v>
      </c>
      <c r="F75" s="375">
        <f>B75*G61+C75*(G62+G63)/2+D75*G64+E75*G65</f>
        <v>16.88890406995435</v>
      </c>
      <c r="G75" s="376">
        <f>(B75*G61+C75*(G62+G63)/2+D75*G64)/(B75+C75+D75)</f>
        <v>17.944291633606625</v>
      </c>
      <c r="H75" s="375">
        <f>B75*H61+C75*(H62+H63)/2+D75*H64+E75*H65</f>
        <v>10.611521892882401</v>
      </c>
      <c r="I75" s="377">
        <f>(B75*H61+C75*(H62+H63)/2+D75*H64)/(B75+C75+D75)</f>
        <v>11.058485409503657</v>
      </c>
    </row>
    <row r="78" spans="1:9" ht="15.75" thickBot="1"/>
    <row r="79" spans="1:9">
      <c r="A79" s="16" t="s">
        <v>345</v>
      </c>
      <c r="B79" s="17"/>
      <c r="C79" s="17"/>
      <c r="D79" s="17"/>
      <c r="E79" s="17"/>
      <c r="F79" s="17"/>
      <c r="G79" s="18"/>
    </row>
    <row r="80" spans="1:9">
      <c r="A80" s="19" t="s">
        <v>99</v>
      </c>
      <c r="B80" s="20" t="s">
        <v>245</v>
      </c>
      <c r="C80" s="20" t="s">
        <v>246</v>
      </c>
      <c r="D80" s="20" t="s">
        <v>249</v>
      </c>
      <c r="E80" s="20" t="s">
        <v>250</v>
      </c>
      <c r="F80" s="20" t="s">
        <v>330</v>
      </c>
      <c r="G80" s="21" t="s">
        <v>331</v>
      </c>
    </row>
    <row r="81" spans="1:8">
      <c r="A81" s="19">
        <v>2020</v>
      </c>
      <c r="B81" s="378">
        <f t="shared" ref="B81:E84" si="7">B72</f>
        <v>8.6158043866092979E-2</v>
      </c>
      <c r="C81" s="378">
        <f t="shared" si="7"/>
        <v>0.16706894742365411</v>
      </c>
      <c r="D81" s="378">
        <f t="shared" si="7"/>
        <v>0.46363731766187427</v>
      </c>
      <c r="E81" s="378">
        <f t="shared" si="7"/>
        <v>0.28313569104837866</v>
      </c>
      <c r="F81" s="278">
        <f>(1+$K$54)*(B81*K46+C81*K29+D81*K52+E81*K51)</f>
        <v>70.585538881309688</v>
      </c>
      <c r="G81" s="379">
        <f>(1+$K$54)*(B81*K46+C81*K29+D81*K52)/(B81+C81+D81)</f>
        <v>52.76694481042307</v>
      </c>
    </row>
    <row r="82" spans="1:8">
      <c r="A82" s="19">
        <v>2030</v>
      </c>
      <c r="B82" s="378">
        <f t="shared" si="7"/>
        <v>0.28304568527918783</v>
      </c>
      <c r="C82" s="378">
        <f t="shared" si="7"/>
        <v>0.32519796954314723</v>
      </c>
      <c r="D82" s="378">
        <f t="shared" si="7"/>
        <v>0.2383756345177665</v>
      </c>
      <c r="E82" s="378">
        <f t="shared" si="7"/>
        <v>0.15338071065989847</v>
      </c>
      <c r="F82" s="278">
        <f>(1+$K$54)*(B82*L46+C82*L29+D82*L52+E82*L51)</f>
        <v>64.692987443227366</v>
      </c>
      <c r="G82" s="379">
        <f>(1+$K$54)*(B82*L46+C82*L29+D82*L52)/(B82+C82+D82)</f>
        <v>55.77441481197237</v>
      </c>
    </row>
    <row r="83" spans="1:8">
      <c r="A83" s="19">
        <v>2040</v>
      </c>
      <c r="B83" s="378">
        <f t="shared" si="7"/>
        <v>0.35394239162059937</v>
      </c>
      <c r="C83" s="378">
        <f t="shared" si="7"/>
        <v>0.32519796954314723</v>
      </c>
      <c r="D83" s="378">
        <f t="shared" si="7"/>
        <v>0.15472380398187788</v>
      </c>
      <c r="E83" s="378">
        <f t="shared" si="7"/>
        <v>0.10089779292572426</v>
      </c>
      <c r="F83" s="278">
        <f>(1+$K$54)*(B83*M46+C83*M29+D83*M52+E83*M51)</f>
        <v>54.547696511431404</v>
      </c>
      <c r="G83" s="379">
        <f>(1+$K$54)*(B83*M46+C83*M29+D83*M52)/(B83+C83+D83)</f>
        <v>51.80908534352119</v>
      </c>
    </row>
    <row r="84" spans="1:8" ht="15.75" thickBot="1">
      <c r="A84" s="22">
        <v>2050</v>
      </c>
      <c r="B84" s="380">
        <f t="shared" si="7"/>
        <v>0.37724233266893847</v>
      </c>
      <c r="C84" s="380">
        <f t="shared" si="7"/>
        <v>0.39839580788272361</v>
      </c>
      <c r="D84" s="380">
        <f t="shared" si="7"/>
        <v>0.13600270044364432</v>
      </c>
      <c r="E84" s="380">
        <f t="shared" si="7"/>
        <v>8.8359159004693627E-2</v>
      </c>
      <c r="F84" s="381">
        <f>(1+$K$54)*(B84*N46+C84*N29+D84*N52+E84*N51)</f>
        <v>51.434075490033521</v>
      </c>
      <c r="G84" s="382">
        <f>(1+$K$54)*(B84*N46+C84*N29+D84*N52)/(B84+D84+C84)</f>
        <v>45.653953098827472</v>
      </c>
    </row>
    <row r="86" spans="1:8" ht="15.75" thickBot="1"/>
    <row r="87" spans="1:8" ht="15.75" thickBot="1">
      <c r="A87" s="277" t="s">
        <v>339</v>
      </c>
    </row>
    <row r="88" spans="1:8" ht="30">
      <c r="A88" s="388" t="s">
        <v>340</v>
      </c>
      <c r="B88" s="389" t="s">
        <v>352</v>
      </c>
      <c r="C88" s="389" t="s">
        <v>353</v>
      </c>
      <c r="D88" s="389" t="s">
        <v>341</v>
      </c>
      <c r="E88" s="390" t="s">
        <v>354</v>
      </c>
      <c r="F88" s="390" t="s">
        <v>356</v>
      </c>
      <c r="G88" s="390" t="s">
        <v>357</v>
      </c>
      <c r="H88" s="391" t="s">
        <v>342</v>
      </c>
    </row>
    <row r="89" spans="1:8">
      <c r="A89" s="392" t="s">
        <v>346</v>
      </c>
      <c r="B89" s="387">
        <v>10.948748124</v>
      </c>
      <c r="C89" s="387">
        <v>14.759758720500001</v>
      </c>
      <c r="D89" s="20">
        <f>645+12.7</f>
        <v>657.7</v>
      </c>
      <c r="E89" s="20">
        <v>80</v>
      </c>
      <c r="F89" s="383">
        <f>B89/D89*1000</f>
        <v>16.647024667781665</v>
      </c>
      <c r="G89" s="383">
        <f>C89/D89*1000</f>
        <v>22.441475932035882</v>
      </c>
      <c r="H89" s="393">
        <f>E89/D89*1000</f>
        <v>121.63600425726014</v>
      </c>
    </row>
    <row r="90" spans="1:8">
      <c r="A90" s="394" t="s">
        <v>347</v>
      </c>
      <c r="B90" s="386">
        <v>10.409618129799998</v>
      </c>
      <c r="C90" s="386">
        <v>13.9677876093</v>
      </c>
      <c r="D90" s="20">
        <f>645+20.7</f>
        <v>665.7</v>
      </c>
      <c r="E90" s="20">
        <v>83</v>
      </c>
      <c r="F90" s="383">
        <f t="shared" ref="F90:F94" si="8">B90/D90*1000</f>
        <v>15.637100991137146</v>
      </c>
      <c r="G90" s="383">
        <f t="shared" ref="G90:G94" si="9">C90/D90*1000</f>
        <v>20.982105466876973</v>
      </c>
      <c r="H90" s="393">
        <f t="shared" ref="H90:H94" si="10">E90/D90*1000</f>
        <v>124.68078714135495</v>
      </c>
    </row>
    <row r="91" spans="1:8">
      <c r="A91" s="395" t="s">
        <v>348</v>
      </c>
      <c r="B91" s="386">
        <v>8.8974150963999996</v>
      </c>
      <c r="C91" s="386">
        <v>11.628483397899998</v>
      </c>
      <c r="D91" s="20">
        <f>645+17.2</f>
        <v>662.2</v>
      </c>
      <c r="E91" s="20">
        <v>75</v>
      </c>
      <c r="F91" s="383">
        <f t="shared" si="8"/>
        <v>13.436144814859556</v>
      </c>
      <c r="G91" s="383">
        <f t="shared" si="9"/>
        <v>17.560379640440953</v>
      </c>
      <c r="H91" s="393">
        <f t="shared" si="10"/>
        <v>113.25883418906673</v>
      </c>
    </row>
    <row r="92" spans="1:8">
      <c r="A92" s="396" t="s">
        <v>349</v>
      </c>
      <c r="B92" s="386">
        <v>8.3845403883999996</v>
      </c>
      <c r="C92" s="386">
        <v>11.067652837749998</v>
      </c>
      <c r="D92" s="20">
        <f>645+17.9</f>
        <v>662.9</v>
      </c>
      <c r="E92" s="20">
        <v>70</v>
      </c>
      <c r="F92" s="383">
        <f t="shared" si="8"/>
        <v>12.648273326896968</v>
      </c>
      <c r="G92" s="383">
        <f t="shared" si="9"/>
        <v>16.695810586438377</v>
      </c>
      <c r="H92" s="393">
        <f t="shared" si="10"/>
        <v>105.59662090813094</v>
      </c>
    </row>
    <row r="93" spans="1:8">
      <c r="A93" s="397" t="s">
        <v>350</v>
      </c>
      <c r="B93" s="386">
        <v>7.4719139180999985</v>
      </c>
      <c r="C93" s="386">
        <v>9.7593745485000003</v>
      </c>
      <c r="D93" s="20">
        <f>645+18</f>
        <v>663</v>
      </c>
      <c r="E93" s="20">
        <v>65</v>
      </c>
      <c r="F93" s="383">
        <f t="shared" si="8"/>
        <v>11.269855080090496</v>
      </c>
      <c r="G93" s="383">
        <f t="shared" si="9"/>
        <v>14.720021943438915</v>
      </c>
      <c r="H93" s="393">
        <f t="shared" si="10"/>
        <v>98.039215686274503</v>
      </c>
    </row>
    <row r="94" spans="1:8" ht="15.75" thickBot="1">
      <c r="A94" s="398" t="s">
        <v>351</v>
      </c>
      <c r="B94" s="399">
        <v>6.8236093632999992</v>
      </c>
      <c r="C94" s="399">
        <v>8.7048183375499999</v>
      </c>
      <c r="D94" s="23">
        <f>645+14.8</f>
        <v>659.8</v>
      </c>
      <c r="E94" s="23">
        <v>64</v>
      </c>
      <c r="F94" s="384">
        <f t="shared" si="8"/>
        <v>10.341935985601697</v>
      </c>
      <c r="G94" s="384">
        <f t="shared" si="9"/>
        <v>13.193116607381025</v>
      </c>
      <c r="H94" s="400">
        <f t="shared" si="10"/>
        <v>96.999090633525313</v>
      </c>
    </row>
    <row r="96" spans="1:8">
      <c r="B96" s="385"/>
      <c r="C96" s="385"/>
      <c r="D96" s="385"/>
      <c r="E96" s="385"/>
      <c r="F96" s="385"/>
      <c r="G96" s="385"/>
      <c r="H96" s="280"/>
    </row>
    <row r="97" spans="1:8">
      <c r="B97" s="385"/>
      <c r="C97" s="385"/>
      <c r="D97" s="385"/>
      <c r="E97" s="385"/>
      <c r="F97" s="385"/>
      <c r="G97" s="385"/>
      <c r="H97" s="280"/>
    </row>
    <row r="101" spans="1:8" ht="15.75" thickBot="1"/>
    <row r="102" spans="1:8" ht="24" thickBot="1">
      <c r="A102" s="476" t="s">
        <v>309</v>
      </c>
      <c r="B102" s="477"/>
      <c r="C102" s="477"/>
      <c r="D102" s="477"/>
      <c r="E102" s="477"/>
      <c r="F102" s="478"/>
    </row>
    <row r="103" spans="1:8" ht="30.75" thickBot="1">
      <c r="A103" s="421" t="s">
        <v>34</v>
      </c>
      <c r="B103" s="401" t="s">
        <v>99</v>
      </c>
      <c r="C103" s="401" t="s">
        <v>333</v>
      </c>
      <c r="D103" s="422" t="s">
        <v>355</v>
      </c>
      <c r="E103" s="401" t="s">
        <v>332</v>
      </c>
      <c r="F103" s="404" t="s">
        <v>367</v>
      </c>
    </row>
    <row r="104" spans="1:8">
      <c r="A104" s="418" t="s">
        <v>334</v>
      </c>
      <c r="B104" s="401">
        <v>2020</v>
      </c>
      <c r="C104" s="401" t="s">
        <v>165</v>
      </c>
      <c r="D104" s="402">
        <v>43</v>
      </c>
      <c r="E104" s="402">
        <v>58</v>
      </c>
      <c r="F104" s="404">
        <v>23469</v>
      </c>
    </row>
    <row r="105" spans="1:8">
      <c r="A105" s="419" t="s">
        <v>334</v>
      </c>
      <c r="B105" s="280">
        <v>2020</v>
      </c>
      <c r="C105" s="280" t="s">
        <v>163</v>
      </c>
      <c r="D105" s="403">
        <v>43</v>
      </c>
      <c r="E105" s="403">
        <v>58</v>
      </c>
      <c r="F105" s="308">
        <v>23469</v>
      </c>
    </row>
    <row r="106" spans="1:8">
      <c r="A106" s="419" t="s">
        <v>334</v>
      </c>
      <c r="B106" s="280">
        <v>2030</v>
      </c>
      <c r="C106" s="280" t="s">
        <v>165</v>
      </c>
      <c r="D106" s="403">
        <f>D105+(D110-D105)/30*10</f>
        <v>38</v>
      </c>
      <c r="E106" s="403">
        <v>37</v>
      </c>
      <c r="F106" s="308">
        <v>23469</v>
      </c>
    </row>
    <row r="107" spans="1:8">
      <c r="A107" s="419" t="s">
        <v>334</v>
      </c>
      <c r="B107" s="280">
        <v>2030</v>
      </c>
      <c r="C107" s="280" t="s">
        <v>163</v>
      </c>
      <c r="D107" s="403">
        <f>D105+(D111-D105)/30*10</f>
        <v>33.333333333333336</v>
      </c>
      <c r="E107" s="403">
        <v>37</v>
      </c>
      <c r="F107" s="308">
        <v>23469</v>
      </c>
    </row>
    <row r="108" spans="1:8">
      <c r="A108" s="419" t="s">
        <v>334</v>
      </c>
      <c r="B108" s="280">
        <v>2040</v>
      </c>
      <c r="C108" s="280" t="s">
        <v>165</v>
      </c>
      <c r="D108" s="403">
        <f>D105+(D110-D105)/30*20</f>
        <v>33</v>
      </c>
      <c r="E108" s="403">
        <v>33</v>
      </c>
      <c r="F108" s="308">
        <v>23469</v>
      </c>
    </row>
    <row r="109" spans="1:8">
      <c r="A109" s="419" t="s">
        <v>334</v>
      </c>
      <c r="B109" s="280">
        <v>2040</v>
      </c>
      <c r="C109" s="280" t="s">
        <v>163</v>
      </c>
      <c r="D109" s="403">
        <f>D105+(D111-D106)/30*20</f>
        <v>27</v>
      </c>
      <c r="E109" s="403">
        <v>33</v>
      </c>
      <c r="F109" s="308">
        <v>23469</v>
      </c>
    </row>
    <row r="110" spans="1:8">
      <c r="A110" s="419" t="s">
        <v>334</v>
      </c>
      <c r="B110" s="280">
        <v>2050</v>
      </c>
      <c r="C110" s="280" t="s">
        <v>165</v>
      </c>
      <c r="D110" s="403">
        <v>28</v>
      </c>
      <c r="E110" s="403">
        <v>26</v>
      </c>
      <c r="F110" s="308">
        <v>23469</v>
      </c>
    </row>
    <row r="111" spans="1:8" ht="15.75" thickBot="1">
      <c r="A111" s="420" t="s">
        <v>334</v>
      </c>
      <c r="B111" s="306">
        <v>2050</v>
      </c>
      <c r="C111" s="306" t="s">
        <v>163</v>
      </c>
      <c r="D111" s="405">
        <v>14</v>
      </c>
      <c r="E111" s="405">
        <v>26</v>
      </c>
      <c r="F111" s="308">
        <v>23469</v>
      </c>
    </row>
    <row r="112" spans="1:8">
      <c r="A112" s="418" t="s">
        <v>335</v>
      </c>
      <c r="B112" s="401">
        <v>2020</v>
      </c>
      <c r="C112" s="401" t="s">
        <v>165</v>
      </c>
      <c r="D112" s="402">
        <v>15</v>
      </c>
      <c r="E112" s="402">
        <v>61</v>
      </c>
      <c r="F112" s="404">
        <v>24785</v>
      </c>
    </row>
    <row r="113" spans="1:7">
      <c r="A113" s="419" t="s">
        <v>335</v>
      </c>
      <c r="B113" s="280">
        <v>2020</v>
      </c>
      <c r="C113" s="280" t="s">
        <v>163</v>
      </c>
      <c r="D113" s="403">
        <v>15</v>
      </c>
      <c r="E113" s="403">
        <v>61</v>
      </c>
      <c r="F113" s="308">
        <v>24785</v>
      </c>
    </row>
    <row r="114" spans="1:7">
      <c r="A114" s="419" t="s">
        <v>335</v>
      </c>
      <c r="B114" s="280">
        <v>2030</v>
      </c>
      <c r="C114" s="280" t="s">
        <v>165</v>
      </c>
      <c r="D114" s="403">
        <v>14.166666666666666</v>
      </c>
      <c r="E114" s="403">
        <v>57.5</v>
      </c>
      <c r="F114" s="308">
        <v>24785</v>
      </c>
    </row>
    <row r="115" spans="1:7">
      <c r="A115" s="419" t="s">
        <v>335</v>
      </c>
      <c r="B115" s="280">
        <v>2030</v>
      </c>
      <c r="C115" s="280" t="s">
        <v>163</v>
      </c>
      <c r="D115" s="403">
        <v>13.333333333333332</v>
      </c>
      <c r="E115" s="403">
        <v>57.5</v>
      </c>
      <c r="F115" s="308">
        <v>24785</v>
      </c>
    </row>
    <row r="116" spans="1:7">
      <c r="A116" s="419" t="s">
        <v>335</v>
      </c>
      <c r="B116" s="280">
        <v>2040</v>
      </c>
      <c r="C116" s="280" t="s">
        <v>165</v>
      </c>
      <c r="D116" s="403">
        <v>13.333333333333334</v>
      </c>
      <c r="E116" s="403">
        <v>52</v>
      </c>
      <c r="F116" s="308">
        <v>24785</v>
      </c>
    </row>
    <row r="117" spans="1:7">
      <c r="A117" s="419" t="s">
        <v>335</v>
      </c>
      <c r="B117" s="280">
        <v>2040</v>
      </c>
      <c r="C117" s="280" t="s">
        <v>163</v>
      </c>
      <c r="D117" s="403">
        <v>12.222222222222223</v>
      </c>
      <c r="E117" s="403">
        <v>52</v>
      </c>
      <c r="F117" s="308">
        <v>24785</v>
      </c>
    </row>
    <row r="118" spans="1:7">
      <c r="A118" s="419" t="s">
        <v>335</v>
      </c>
      <c r="B118" s="280">
        <v>2050</v>
      </c>
      <c r="C118" s="280" t="s">
        <v>165</v>
      </c>
      <c r="D118" s="403">
        <v>12.5</v>
      </c>
      <c r="E118" s="403">
        <v>45.5</v>
      </c>
      <c r="F118" s="308">
        <v>24785</v>
      </c>
    </row>
    <row r="119" spans="1:7" ht="15.75" thickBot="1">
      <c r="A119" s="420" t="s">
        <v>335</v>
      </c>
      <c r="B119" s="306">
        <v>2050</v>
      </c>
      <c r="C119" s="306" t="s">
        <v>163</v>
      </c>
      <c r="D119" s="405">
        <v>10</v>
      </c>
      <c r="E119" s="405">
        <v>45.5</v>
      </c>
      <c r="F119" s="308">
        <v>24785</v>
      </c>
    </row>
    <row r="120" spans="1:7">
      <c r="A120" s="411" t="s">
        <v>336</v>
      </c>
      <c r="B120" s="408">
        <v>2020</v>
      </c>
      <c r="C120" s="408" t="s">
        <v>165</v>
      </c>
      <c r="D120" s="409">
        <v>12.544429805299371</v>
      </c>
      <c r="E120" s="409">
        <v>52.76694481042307</v>
      </c>
      <c r="F120" s="412">
        <v>62333</v>
      </c>
      <c r="G120" t="s">
        <v>358</v>
      </c>
    </row>
    <row r="121" spans="1:7">
      <c r="A121" s="413" t="s">
        <v>336</v>
      </c>
      <c r="B121" s="406">
        <v>2020</v>
      </c>
      <c r="C121" s="406" t="s">
        <v>163</v>
      </c>
      <c r="D121" s="407">
        <v>12.544429805299371</v>
      </c>
      <c r="E121" s="407">
        <v>52.76694481042307</v>
      </c>
      <c r="F121" s="414">
        <v>62333</v>
      </c>
    </row>
    <row r="122" spans="1:7">
      <c r="A122" s="413" t="s">
        <v>336</v>
      </c>
      <c r="B122" s="406">
        <v>2030</v>
      </c>
      <c r="C122" s="406" t="s">
        <v>165</v>
      </c>
      <c r="D122" s="407">
        <v>19.835315937579942</v>
      </c>
      <c r="E122" s="407">
        <v>55.77441481197237</v>
      </c>
      <c r="F122" s="414">
        <v>62333</v>
      </c>
    </row>
    <row r="123" spans="1:7">
      <c r="A123" s="413" t="s">
        <v>336</v>
      </c>
      <c r="B123" s="406">
        <v>2030</v>
      </c>
      <c r="C123" s="406" t="s">
        <v>163</v>
      </c>
      <c r="D123" s="407">
        <v>17.843598106932717</v>
      </c>
      <c r="E123" s="407">
        <v>55.77441481197237</v>
      </c>
      <c r="F123" s="414">
        <v>62333</v>
      </c>
    </row>
    <row r="124" spans="1:7">
      <c r="A124" s="413" t="s">
        <v>336</v>
      </c>
      <c r="B124" s="406">
        <v>2040</v>
      </c>
      <c r="C124" s="406" t="s">
        <v>165</v>
      </c>
      <c r="D124" s="407">
        <v>20.320353581394002</v>
      </c>
      <c r="E124" s="407">
        <v>51.80908534352119</v>
      </c>
      <c r="F124" s="414">
        <v>62333</v>
      </c>
    </row>
    <row r="125" spans="1:7">
      <c r="A125" s="413" t="s">
        <v>336</v>
      </c>
      <c r="B125" s="406">
        <v>2040</v>
      </c>
      <c r="C125" s="406" t="s">
        <v>163</v>
      </c>
      <c r="D125" s="407">
        <v>17.873060183554756</v>
      </c>
      <c r="E125" s="407">
        <v>51.80908534352119</v>
      </c>
      <c r="F125" s="414">
        <v>62333</v>
      </c>
    </row>
    <row r="126" spans="1:7">
      <c r="A126" s="413" t="s">
        <v>336</v>
      </c>
      <c r="B126" s="406">
        <v>2050</v>
      </c>
      <c r="C126" s="406" t="s">
        <v>165</v>
      </c>
      <c r="D126" s="407">
        <v>17.944291633606625</v>
      </c>
      <c r="E126" s="407">
        <v>45.653953098827472</v>
      </c>
      <c r="F126" s="414">
        <v>62333</v>
      </c>
    </row>
    <row r="127" spans="1:7" ht="15.75" thickBot="1">
      <c r="A127" s="415" t="s">
        <v>336</v>
      </c>
      <c r="B127" s="410">
        <v>2050</v>
      </c>
      <c r="C127" s="410" t="s">
        <v>163</v>
      </c>
      <c r="D127" s="416">
        <v>11.058485409503657</v>
      </c>
      <c r="E127" s="416">
        <v>45.653953098827472</v>
      </c>
      <c r="F127" s="414">
        <v>62333</v>
      </c>
    </row>
    <row r="128" spans="1:7">
      <c r="A128" s="411" t="s">
        <v>337</v>
      </c>
      <c r="B128" s="408">
        <v>2020</v>
      </c>
      <c r="C128" s="408" t="s">
        <v>165</v>
      </c>
      <c r="D128" s="409">
        <v>10.974603840906706</v>
      </c>
      <c r="E128" s="409">
        <v>70.585538881309688</v>
      </c>
      <c r="F128" s="412">
        <v>67830</v>
      </c>
    </row>
    <row r="129" spans="1:7">
      <c r="A129" s="413" t="s">
        <v>337</v>
      </c>
      <c r="B129" s="406">
        <v>2020</v>
      </c>
      <c r="C129" s="406" t="s">
        <v>163</v>
      </c>
      <c r="D129" s="407">
        <v>10.974603840906706</v>
      </c>
      <c r="E129" s="407">
        <v>70.585538881309688</v>
      </c>
      <c r="F129" s="414">
        <v>67830</v>
      </c>
    </row>
    <row r="130" spans="1:7">
      <c r="A130" s="413" t="s">
        <v>337</v>
      </c>
      <c r="B130" s="406">
        <v>2030</v>
      </c>
      <c r="C130" s="406" t="s">
        <v>165</v>
      </c>
      <c r="D130" s="407">
        <v>17.815499153976315</v>
      </c>
      <c r="E130" s="407">
        <v>64.692987443227366</v>
      </c>
      <c r="F130" s="414">
        <v>67830</v>
      </c>
    </row>
    <row r="131" spans="1:7">
      <c r="A131" s="413" t="s">
        <v>337</v>
      </c>
      <c r="B131" s="406">
        <v>2030</v>
      </c>
      <c r="C131" s="406" t="s">
        <v>163</v>
      </c>
      <c r="D131" s="407">
        <v>16.22362098138748</v>
      </c>
      <c r="E131" s="407">
        <v>64.692987443227366</v>
      </c>
      <c r="F131" s="414">
        <v>67830</v>
      </c>
    </row>
    <row r="132" spans="1:7">
      <c r="A132" s="413" t="s">
        <v>337</v>
      </c>
      <c r="B132" s="406">
        <v>2040</v>
      </c>
      <c r="C132" s="406" t="s">
        <v>165</v>
      </c>
      <c r="D132" s="407">
        <v>17.583434029809265</v>
      </c>
      <c r="E132" s="407">
        <v>54.547696511431404</v>
      </c>
      <c r="F132" s="414">
        <v>67830</v>
      </c>
    </row>
    <row r="133" spans="1:7">
      <c r="A133" s="413" t="s">
        <v>337</v>
      </c>
      <c r="B133" s="406">
        <v>2040</v>
      </c>
      <c r="C133" s="406" t="s">
        <v>163</v>
      </c>
      <c r="D133" s="407">
        <v>15.120870334576775</v>
      </c>
      <c r="E133" s="407">
        <v>54.547696511431404</v>
      </c>
      <c r="F133" s="414">
        <v>67830</v>
      </c>
    </row>
    <row r="134" spans="1:7">
      <c r="A134" s="413" t="s">
        <v>337</v>
      </c>
      <c r="B134" s="406">
        <v>2050</v>
      </c>
      <c r="C134" s="406" t="s">
        <v>165</v>
      </c>
      <c r="D134" s="407">
        <v>16.88890406995435</v>
      </c>
      <c r="E134" s="407">
        <v>51.434075490033521</v>
      </c>
      <c r="F134" s="414">
        <v>67830</v>
      </c>
    </row>
    <row r="135" spans="1:7" ht="15.75" thickBot="1">
      <c r="A135" s="415" t="s">
        <v>337</v>
      </c>
      <c r="B135" s="410">
        <v>2050</v>
      </c>
      <c r="C135" s="410" t="s">
        <v>163</v>
      </c>
      <c r="D135" s="416">
        <v>10.611521892882401</v>
      </c>
      <c r="E135" s="416">
        <v>51.434075490033521</v>
      </c>
      <c r="F135" s="417">
        <v>67830</v>
      </c>
    </row>
    <row r="136" spans="1:7">
      <c r="A136" s="430" t="s">
        <v>346</v>
      </c>
      <c r="B136" s="401">
        <v>2050</v>
      </c>
      <c r="C136" s="401" t="s">
        <v>163</v>
      </c>
      <c r="D136" s="402">
        <v>16.647024667781665</v>
      </c>
      <c r="E136" s="402">
        <v>121.63600425726014</v>
      </c>
      <c r="F136" s="404">
        <v>71164</v>
      </c>
    </row>
    <row r="137" spans="1:7">
      <c r="A137" s="424" t="s">
        <v>347</v>
      </c>
      <c r="B137" s="280">
        <v>2050</v>
      </c>
      <c r="C137" s="280" t="s">
        <v>163</v>
      </c>
      <c r="D137" s="403">
        <v>15.637100991137146</v>
      </c>
      <c r="E137" s="403">
        <v>124.68078714135495</v>
      </c>
      <c r="F137" s="308">
        <v>71164</v>
      </c>
    </row>
    <row r="138" spans="1:7">
      <c r="A138" s="425" t="s">
        <v>348</v>
      </c>
      <c r="B138" s="280">
        <v>2050</v>
      </c>
      <c r="C138" s="280" t="s">
        <v>163</v>
      </c>
      <c r="D138" s="403">
        <v>13.436144814859556</v>
      </c>
      <c r="E138" s="403">
        <v>113.25883418906673</v>
      </c>
      <c r="F138" s="308">
        <v>71164</v>
      </c>
    </row>
    <row r="139" spans="1:7">
      <c r="A139" s="426" t="s">
        <v>349</v>
      </c>
      <c r="B139" s="280">
        <v>2050</v>
      </c>
      <c r="C139" s="280" t="s">
        <v>163</v>
      </c>
      <c r="D139" s="403">
        <v>12.648273326896968</v>
      </c>
      <c r="E139" s="403">
        <v>105.59662090813094</v>
      </c>
      <c r="F139" s="308">
        <v>71164</v>
      </c>
    </row>
    <row r="140" spans="1:7">
      <c r="A140" s="427" t="s">
        <v>350</v>
      </c>
      <c r="B140" s="280">
        <v>2050</v>
      </c>
      <c r="C140" s="280" t="s">
        <v>163</v>
      </c>
      <c r="D140" s="403">
        <v>11.269855080090496</v>
      </c>
      <c r="E140" s="403">
        <v>98.039215686274503</v>
      </c>
      <c r="F140" s="308">
        <v>71164</v>
      </c>
    </row>
    <row r="141" spans="1:7">
      <c r="A141" s="428" t="s">
        <v>351</v>
      </c>
      <c r="B141" s="280">
        <v>2050</v>
      </c>
      <c r="C141" s="280" t="s">
        <v>163</v>
      </c>
      <c r="D141" s="403">
        <v>10.341935985601697</v>
      </c>
      <c r="E141" s="403">
        <v>96.999090633525313</v>
      </c>
      <c r="F141" s="308">
        <v>71164</v>
      </c>
    </row>
    <row r="142" spans="1:7">
      <c r="A142" s="423" t="s">
        <v>346</v>
      </c>
      <c r="B142" s="280">
        <v>2050</v>
      </c>
      <c r="C142" s="280" t="s">
        <v>165</v>
      </c>
      <c r="D142" s="403">
        <v>22.441475932035882</v>
      </c>
      <c r="E142" s="403">
        <v>121.63600425726014</v>
      </c>
      <c r="F142" s="308">
        <v>71164</v>
      </c>
      <c r="G142" s="20"/>
    </row>
    <row r="143" spans="1:7">
      <c r="A143" s="424" t="s">
        <v>347</v>
      </c>
      <c r="B143" s="280">
        <v>2050</v>
      </c>
      <c r="C143" s="280" t="s">
        <v>165</v>
      </c>
      <c r="D143" s="403">
        <v>20.982105466876973</v>
      </c>
      <c r="E143" s="403">
        <v>124.68078714135495</v>
      </c>
      <c r="F143" s="308">
        <v>71164</v>
      </c>
      <c r="G143" s="20"/>
    </row>
    <row r="144" spans="1:7">
      <c r="A144" s="425" t="s">
        <v>348</v>
      </c>
      <c r="B144" s="280">
        <v>2050</v>
      </c>
      <c r="C144" s="280" t="s">
        <v>165</v>
      </c>
      <c r="D144" s="403">
        <v>17.560379640440953</v>
      </c>
      <c r="E144" s="403">
        <v>113.25883418906673</v>
      </c>
      <c r="F144" s="308">
        <v>71164</v>
      </c>
      <c r="G144" s="20"/>
    </row>
    <row r="145" spans="1:7">
      <c r="A145" s="426" t="s">
        <v>349</v>
      </c>
      <c r="B145" s="280">
        <v>2050</v>
      </c>
      <c r="C145" s="280" t="s">
        <v>165</v>
      </c>
      <c r="D145" s="403">
        <v>16.695810586438377</v>
      </c>
      <c r="E145" s="403">
        <v>105.59662090813094</v>
      </c>
      <c r="F145" s="308">
        <v>71164</v>
      </c>
      <c r="G145" s="20"/>
    </row>
    <row r="146" spans="1:7">
      <c r="A146" s="427" t="s">
        <v>350</v>
      </c>
      <c r="B146" s="280">
        <v>2050</v>
      </c>
      <c r="C146" s="280" t="s">
        <v>165</v>
      </c>
      <c r="D146" s="403">
        <v>14.720021943438915</v>
      </c>
      <c r="E146" s="403">
        <v>98.039215686274503</v>
      </c>
      <c r="F146" s="308">
        <v>71164</v>
      </c>
      <c r="G146" s="20"/>
    </row>
    <row r="147" spans="1:7" ht="15.75" thickBot="1">
      <c r="A147" s="429" t="s">
        <v>351</v>
      </c>
      <c r="B147" s="306">
        <v>2050</v>
      </c>
      <c r="C147" s="306" t="s">
        <v>165</v>
      </c>
      <c r="D147" s="405">
        <v>13.193116607381025</v>
      </c>
      <c r="E147" s="405">
        <v>96.999090633525313</v>
      </c>
      <c r="F147" s="310">
        <v>71164</v>
      </c>
    </row>
    <row r="150" spans="1:7" ht="15.75" thickBot="1">
      <c r="A150" t="s">
        <v>366</v>
      </c>
    </row>
    <row r="151" spans="1:7">
      <c r="A151" s="16" t="s">
        <v>406</v>
      </c>
      <c r="B151" s="17">
        <v>2019</v>
      </c>
      <c r="C151" s="17"/>
      <c r="D151" s="17">
        <v>255</v>
      </c>
      <c r="E151" s="17">
        <f>80/Monetary!Y9*Monetary!Z9</f>
        <v>80.591918042117257</v>
      </c>
      <c r="F151" s="18" t="s">
        <v>363</v>
      </c>
      <c r="G151" t="s">
        <v>407</v>
      </c>
    </row>
    <row r="152" spans="1:7">
      <c r="A152" s="19" t="s">
        <v>408</v>
      </c>
      <c r="B152" s="20">
        <v>2019</v>
      </c>
      <c r="C152" s="20"/>
      <c r="D152" s="20">
        <v>347</v>
      </c>
      <c r="E152" s="20">
        <f>71/Monetary!Y9*Monetary!Z9</f>
        <v>71.525327262379051</v>
      </c>
      <c r="F152" s="21"/>
      <c r="G152" t="s">
        <v>407</v>
      </c>
    </row>
    <row r="153" spans="1:7" ht="15.75" thickBot="1">
      <c r="A153" s="22" t="s">
        <v>361</v>
      </c>
      <c r="B153" s="23">
        <v>2019</v>
      </c>
      <c r="C153" s="23"/>
      <c r="D153" s="23">
        <v>370</v>
      </c>
      <c r="E153" s="23">
        <f>68/Monetary!U4*Monetary!Z9/Monetary!Y9</f>
        <v>61.163509228392542</v>
      </c>
      <c r="F153" s="24"/>
    </row>
    <row r="154" spans="1:7">
      <c r="A154" s="280" t="s">
        <v>410</v>
      </c>
      <c r="B154" s="280">
        <v>2019</v>
      </c>
      <c r="E154">
        <v>125</v>
      </c>
    </row>
    <row r="156" spans="1:7">
      <c r="C156" t="s">
        <v>144</v>
      </c>
    </row>
    <row r="163" spans="4:4">
      <c r="D163" t="s">
        <v>144</v>
      </c>
    </row>
  </sheetData>
  <mergeCells count="6">
    <mergeCell ref="A57:E57"/>
    <mergeCell ref="A102:F102"/>
    <mergeCell ref="A7:A11"/>
    <mergeCell ref="I6:J6"/>
    <mergeCell ref="A15:A20"/>
    <mergeCell ref="B25:F25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C9A2-5CA9-43A8-90DC-EC81B9F357D1}">
  <sheetPr>
    <tabColor rgb="FF00B050"/>
  </sheetPr>
  <dimension ref="A1:D13"/>
  <sheetViews>
    <sheetView workbookViewId="0">
      <selection activeCell="C4" sqref="C4"/>
    </sheetView>
  </sheetViews>
  <sheetFormatPr baseColWidth="10" defaultRowHeight="15"/>
  <cols>
    <col min="1" max="1" width="19" customWidth="1"/>
    <col min="2" max="2" width="21" customWidth="1"/>
    <col min="3" max="3" width="17.7109375" bestFit="1" customWidth="1"/>
    <col min="4" max="4" width="12.7109375" bestFit="1" customWidth="1"/>
  </cols>
  <sheetData>
    <row r="1" spans="1:4">
      <c r="A1" t="s">
        <v>122</v>
      </c>
    </row>
    <row r="2" spans="1:4" ht="15.75" thickBot="1">
      <c r="A2" t="s">
        <v>383</v>
      </c>
    </row>
    <row r="3" spans="1:4" ht="45">
      <c r="A3" s="435" t="s">
        <v>34</v>
      </c>
      <c r="B3" s="444" t="s">
        <v>17</v>
      </c>
      <c r="C3" s="444" t="s">
        <v>381</v>
      </c>
      <c r="D3" s="445" t="s">
        <v>340</v>
      </c>
    </row>
    <row r="4" spans="1:4">
      <c r="A4" s="19" t="s">
        <v>217</v>
      </c>
      <c r="B4" s="446">
        <f>Liquefaction!A15</f>
        <v>6.6234460426675756</v>
      </c>
      <c r="C4" s="446">
        <f>Liquefaction!C15</f>
        <v>898.71175410670628</v>
      </c>
      <c r="D4" s="21" t="s">
        <v>163</v>
      </c>
    </row>
    <row r="5" spans="1:4">
      <c r="A5" s="19" t="s">
        <v>217</v>
      </c>
      <c r="B5" s="446">
        <f>Liquefaction!A16</f>
        <v>7.5419409122863197</v>
      </c>
      <c r="C5" s="446">
        <f>Liquefaction!C16</f>
        <v>1457.3319410253862</v>
      </c>
      <c r="D5" s="21" t="s">
        <v>52</v>
      </c>
    </row>
    <row r="6" spans="1:4" ht="15.75" thickBot="1">
      <c r="A6" s="22" t="s">
        <v>217</v>
      </c>
      <c r="B6" s="447">
        <f>Liquefaction!A17</f>
        <v>11.05947017021135</v>
      </c>
      <c r="C6" s="447">
        <f>Liquefaction!C17</f>
        <v>2248.1722603411317</v>
      </c>
      <c r="D6" s="24" t="s">
        <v>165</v>
      </c>
    </row>
    <row r="11" spans="1:4">
      <c r="C11" s="7"/>
    </row>
    <row r="12" spans="1:4">
      <c r="C12" s="7"/>
    </row>
    <row r="13" spans="1:4">
      <c r="C13" s="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E62-6909-4AFE-A3D7-87E22BB963C2}">
  <sheetPr>
    <tabColor rgb="FF00B050"/>
  </sheetPr>
  <dimension ref="A1:G15"/>
  <sheetViews>
    <sheetView workbookViewId="0">
      <selection activeCell="E5" sqref="E5"/>
    </sheetView>
  </sheetViews>
  <sheetFormatPr baseColWidth="10" defaultRowHeight="15"/>
  <cols>
    <col min="1" max="1" width="17.28515625" bestFit="1" customWidth="1"/>
    <col min="2" max="2" width="29.28515625" bestFit="1" customWidth="1"/>
    <col min="3" max="3" width="33.42578125" bestFit="1" customWidth="1"/>
    <col min="4" max="4" width="25" bestFit="1" customWidth="1"/>
    <col min="5" max="5" width="30.5703125" customWidth="1"/>
    <col min="6" max="6" width="17.140625" bestFit="1" customWidth="1"/>
  </cols>
  <sheetData>
    <row r="1" spans="1:7">
      <c r="A1" t="s">
        <v>122</v>
      </c>
    </row>
    <row r="2" spans="1:7" ht="15.75" thickBot="1">
      <c r="A2" t="s">
        <v>397</v>
      </c>
      <c r="B2" s="280"/>
      <c r="C2" s="280"/>
      <c r="D2" s="280"/>
      <c r="E2" s="280"/>
      <c r="F2" s="280"/>
      <c r="G2" s="280"/>
    </row>
    <row r="3" spans="1:7">
      <c r="A3" s="16" t="s">
        <v>396</v>
      </c>
      <c r="B3" s="17" t="s">
        <v>392</v>
      </c>
      <c r="C3" s="17" t="s">
        <v>393</v>
      </c>
      <c r="D3" s="17" t="s">
        <v>394</v>
      </c>
      <c r="E3" s="17" t="s">
        <v>395</v>
      </c>
      <c r="F3" s="454" t="s">
        <v>398</v>
      </c>
      <c r="G3" s="280"/>
    </row>
    <row r="4" spans="1:7">
      <c r="A4" s="19" t="s">
        <v>163</v>
      </c>
      <c r="B4" s="446">
        <f>PtL!O38</f>
        <v>3.18508162745024</v>
      </c>
      <c r="C4" s="332">
        <f>PtL!P38</f>
        <v>21.872206563977958</v>
      </c>
      <c r="D4" s="383">
        <f>PtL!Q38</f>
        <v>510.12731481481478</v>
      </c>
      <c r="E4" s="446">
        <f>PtL!R38</f>
        <v>0.2518853677463927</v>
      </c>
      <c r="F4" s="308">
        <v>0.13400000000000001</v>
      </c>
      <c r="G4" s="280"/>
    </row>
    <row r="5" spans="1:7">
      <c r="A5" s="19" t="s">
        <v>52</v>
      </c>
      <c r="B5" s="446">
        <f>PtL!O39</f>
        <v>4.4689655172413794</v>
      </c>
      <c r="C5" s="332">
        <f>PtL!P39</f>
        <v>22.885457189258602</v>
      </c>
      <c r="D5" s="383">
        <f>PtL!Q39</f>
        <v>1528.3978666956059</v>
      </c>
      <c r="E5" s="446">
        <f>PtL!R39</f>
        <v>0.37225487299573168</v>
      </c>
      <c r="F5" s="308">
        <f>F4+F6/2</f>
        <v>0.30500000000000005</v>
      </c>
      <c r="G5" s="280"/>
    </row>
    <row r="6" spans="1:7" ht="15.75" thickBot="1">
      <c r="A6" s="22" t="s">
        <v>165</v>
      </c>
      <c r="B6" s="447">
        <f>PtL!O40</f>
        <v>5.3709999999999996</v>
      </c>
      <c r="C6" s="333">
        <f>PtL!P40</f>
        <v>27.504827586206897</v>
      </c>
      <c r="D6" s="384">
        <f>PtL!Q40</f>
        <v>2496.500713095541</v>
      </c>
      <c r="E6" s="447">
        <f>PtL!R40</f>
        <v>0.42409299470451967</v>
      </c>
      <c r="F6" s="310">
        <v>0.34200000000000003</v>
      </c>
      <c r="G6" s="280"/>
    </row>
    <row r="7" spans="1:7">
      <c r="A7" s="280"/>
      <c r="B7" s="280"/>
      <c r="C7" s="280"/>
      <c r="D7" s="280"/>
      <c r="E7" s="280"/>
      <c r="F7" s="280"/>
      <c r="G7" s="280"/>
    </row>
    <row r="8" spans="1:7">
      <c r="A8" s="280"/>
      <c r="B8" s="280"/>
      <c r="C8" s="280"/>
      <c r="D8" s="280"/>
      <c r="E8" s="280"/>
      <c r="F8" s="280"/>
      <c r="G8" s="280"/>
    </row>
    <row r="9" spans="1:7">
      <c r="A9" s="280"/>
      <c r="B9" s="280"/>
      <c r="C9" s="280"/>
      <c r="D9" s="280"/>
      <c r="E9" s="280"/>
      <c r="F9" s="280"/>
      <c r="G9" s="280"/>
    </row>
    <row r="10" spans="1:7">
      <c r="A10" s="280"/>
      <c r="B10" s="280"/>
      <c r="C10" s="280"/>
      <c r="D10" s="280"/>
      <c r="E10" s="280"/>
      <c r="F10" s="280"/>
      <c r="G10" s="280"/>
    </row>
    <row r="11" spans="1:7">
      <c r="A11" s="280"/>
      <c r="B11" s="280"/>
      <c r="C11" s="280"/>
      <c r="D11" s="280"/>
      <c r="E11" s="280"/>
      <c r="F11" s="280"/>
      <c r="G11" s="280"/>
    </row>
    <row r="12" spans="1:7">
      <c r="A12" s="280"/>
      <c r="B12" s="280"/>
      <c r="C12" s="280"/>
      <c r="D12" s="280"/>
      <c r="E12" s="280"/>
      <c r="F12" s="280"/>
      <c r="G12" s="280"/>
    </row>
    <row r="13" spans="1:7">
      <c r="A13" s="280"/>
      <c r="B13" s="280"/>
      <c r="C13" s="280"/>
      <c r="D13" s="280"/>
      <c r="E13" s="280"/>
      <c r="F13" s="280"/>
      <c r="G13" s="280"/>
    </row>
    <row r="14" spans="1:7">
      <c r="A14" s="280"/>
      <c r="B14" s="280"/>
      <c r="C14" s="280"/>
      <c r="D14" s="280"/>
      <c r="E14" s="280"/>
      <c r="F14" s="280"/>
      <c r="G14" s="280"/>
    </row>
    <row r="15" spans="1:7">
      <c r="A15" s="280"/>
      <c r="B15" s="280"/>
      <c r="C15" s="280"/>
      <c r="D15" s="280"/>
      <c r="E15" s="280"/>
      <c r="F15" s="280"/>
      <c r="G15" s="28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F017-CC42-450F-80A8-08EC0C761360}">
  <sheetPr>
    <tabColor rgb="FFFF0000"/>
  </sheetPr>
  <dimension ref="A2:AA31"/>
  <sheetViews>
    <sheetView workbookViewId="0">
      <selection activeCell="Q6" sqref="Q6"/>
    </sheetView>
  </sheetViews>
  <sheetFormatPr baseColWidth="10" defaultRowHeight="15"/>
  <cols>
    <col min="1" max="1" width="22" customWidth="1"/>
  </cols>
  <sheetData>
    <row r="2" spans="1:27">
      <c r="A2" s="325" t="s">
        <v>197</v>
      </c>
      <c r="B2" s="325"/>
      <c r="C2" s="325"/>
      <c r="D2" s="325"/>
      <c r="Q2" s="325"/>
      <c r="R2" s="325"/>
      <c r="S2" s="325"/>
      <c r="T2" s="325"/>
    </row>
    <row r="3" spans="1:27">
      <c r="A3" s="296" t="s">
        <v>174</v>
      </c>
      <c r="B3" s="295" t="s">
        <v>175</v>
      </c>
      <c r="C3" s="295" t="s">
        <v>176</v>
      </c>
      <c r="D3" s="295" t="s">
        <v>177</v>
      </c>
      <c r="E3" s="295" t="s">
        <v>178</v>
      </c>
      <c r="F3" s="295" t="s">
        <v>179</v>
      </c>
      <c r="G3" s="295" t="s">
        <v>180</v>
      </c>
      <c r="H3" s="295" t="s">
        <v>181</v>
      </c>
      <c r="I3" s="295" t="s">
        <v>182</v>
      </c>
      <c r="J3" s="295" t="s">
        <v>183</v>
      </c>
      <c r="K3" s="295" t="s">
        <v>184</v>
      </c>
      <c r="L3" s="295" t="s">
        <v>185</v>
      </c>
      <c r="M3" s="295" t="s">
        <v>186</v>
      </c>
      <c r="N3" s="295" t="s">
        <v>187</v>
      </c>
      <c r="O3" s="295" t="s">
        <v>188</v>
      </c>
      <c r="P3" s="295" t="s">
        <v>189</v>
      </c>
      <c r="Q3" s="295" t="s">
        <v>190</v>
      </c>
      <c r="R3" s="295" t="s">
        <v>191</v>
      </c>
      <c r="S3" s="295" t="s">
        <v>192</v>
      </c>
      <c r="T3" s="295" t="s">
        <v>193</v>
      </c>
      <c r="U3" s="295" t="s">
        <v>194</v>
      </c>
      <c r="V3" s="295" t="s">
        <v>195</v>
      </c>
      <c r="W3" s="295" t="s">
        <v>196</v>
      </c>
    </row>
    <row r="4" spans="1:27">
      <c r="A4" s="298">
        <v>1.07</v>
      </c>
      <c r="B4" s="297">
        <v>0.92</v>
      </c>
      <c r="C4" s="297">
        <v>0.9</v>
      </c>
      <c r="D4" s="299">
        <v>0.95</v>
      </c>
      <c r="E4" s="297">
        <v>1.1299999999999999</v>
      </c>
      <c r="F4" s="297">
        <v>1.24</v>
      </c>
      <c r="G4" s="297">
        <v>1.24</v>
      </c>
      <c r="H4" s="297">
        <v>1.26</v>
      </c>
      <c r="I4" s="299">
        <v>1.37</v>
      </c>
      <c r="J4" s="299">
        <v>1.47</v>
      </c>
      <c r="K4" s="297">
        <v>1.39</v>
      </c>
      <c r="L4" s="297">
        <v>1.33</v>
      </c>
      <c r="M4" s="297">
        <v>1.39</v>
      </c>
      <c r="N4" s="297">
        <v>1.28</v>
      </c>
      <c r="O4" s="299">
        <v>1.33</v>
      </c>
      <c r="P4" s="297">
        <v>1.33</v>
      </c>
      <c r="Q4" s="297">
        <v>1.1100000000000001</v>
      </c>
      <c r="R4" s="297">
        <v>1.1100000000000001</v>
      </c>
      <c r="S4" s="297">
        <v>1.1299999999999999</v>
      </c>
      <c r="T4" s="299">
        <v>1.18</v>
      </c>
      <c r="U4" s="297">
        <v>1.1200000000000001</v>
      </c>
      <c r="V4" s="297">
        <v>1.1399999999999999</v>
      </c>
      <c r="W4" s="297">
        <v>1.18</v>
      </c>
    </row>
    <row r="6" spans="1:27">
      <c r="P6" s="297"/>
    </row>
    <row r="7" spans="1:27">
      <c r="A7" s="325" t="s">
        <v>243</v>
      </c>
      <c r="B7" s="325"/>
      <c r="C7" s="325"/>
      <c r="D7" s="325"/>
    </row>
    <row r="8" spans="1:27">
      <c r="A8" s="296" t="s">
        <v>198</v>
      </c>
      <c r="B8" s="295" t="s">
        <v>199</v>
      </c>
      <c r="C8" s="295" t="s">
        <v>200</v>
      </c>
      <c r="D8" s="295" t="s">
        <v>201</v>
      </c>
      <c r="E8" s="295" t="s">
        <v>174</v>
      </c>
      <c r="F8" s="295" t="s">
        <v>175</v>
      </c>
      <c r="G8" s="295" t="s">
        <v>176</v>
      </c>
      <c r="H8" s="295" t="s">
        <v>177</v>
      </c>
      <c r="I8" s="295" t="s">
        <v>178</v>
      </c>
      <c r="J8" s="295" t="s">
        <v>179</v>
      </c>
      <c r="K8" s="295" t="s">
        <v>180</v>
      </c>
      <c r="L8" s="295" t="s">
        <v>181</v>
      </c>
      <c r="M8" s="295" t="s">
        <v>182</v>
      </c>
      <c r="N8" s="295" t="s">
        <v>183</v>
      </c>
      <c r="O8" s="295" t="s">
        <v>184</v>
      </c>
      <c r="P8" s="295" t="s">
        <v>185</v>
      </c>
      <c r="Q8" s="295" t="s">
        <v>186</v>
      </c>
      <c r="R8" s="295" t="s">
        <v>187</v>
      </c>
      <c r="S8" s="295" t="s">
        <v>188</v>
      </c>
      <c r="T8" s="295" t="s">
        <v>189</v>
      </c>
      <c r="U8" s="295" t="s">
        <v>190</v>
      </c>
      <c r="V8" s="295" t="s">
        <v>191</v>
      </c>
      <c r="W8" s="295" t="s">
        <v>192</v>
      </c>
      <c r="X8" s="295" t="s">
        <v>193</v>
      </c>
      <c r="Y8" s="295" t="s">
        <v>194</v>
      </c>
      <c r="Z8" s="295" t="s">
        <v>195</v>
      </c>
      <c r="AA8" s="295" t="s">
        <v>196</v>
      </c>
    </row>
    <row r="9" spans="1:27">
      <c r="A9" s="298" t="s">
        <v>202</v>
      </c>
      <c r="B9" s="297">
        <v>70.260000000000005</v>
      </c>
      <c r="C9" s="297">
        <v>71.48</v>
      </c>
      <c r="D9" s="299">
        <v>72.400000000000006</v>
      </c>
      <c r="E9" s="297">
        <v>73.260000000000005</v>
      </c>
      <c r="F9" s="297">
        <v>74.650000000000006</v>
      </c>
      <c r="G9" s="297">
        <v>76.290000000000006</v>
      </c>
      <c r="H9" s="297">
        <v>77.87</v>
      </c>
      <c r="I9" s="299">
        <v>79.400000000000006</v>
      </c>
      <c r="J9" s="299">
        <v>81</v>
      </c>
      <c r="K9" s="297">
        <v>82.75</v>
      </c>
      <c r="L9" s="297">
        <v>84.58</v>
      </c>
      <c r="M9" s="297">
        <v>86.55</v>
      </c>
      <c r="N9" s="297">
        <v>89.72</v>
      </c>
      <c r="O9" s="299">
        <v>90.6</v>
      </c>
      <c r="P9" s="297">
        <v>92.49</v>
      </c>
      <c r="Q9" s="297">
        <v>95.36</v>
      </c>
      <c r="R9" s="297">
        <v>97.88</v>
      </c>
      <c r="S9" s="297">
        <v>99.35</v>
      </c>
      <c r="T9" s="299">
        <v>99.9</v>
      </c>
      <c r="U9" s="299">
        <v>100</v>
      </c>
      <c r="V9" s="297">
        <v>100.25</v>
      </c>
      <c r="W9" s="297">
        <v>101.96</v>
      </c>
      <c r="X9" s="297">
        <v>103.89</v>
      </c>
      <c r="Y9" s="297">
        <v>105.42</v>
      </c>
      <c r="Z9" s="299">
        <v>106.2</v>
      </c>
      <c r="AA9" s="297">
        <v>109.28</v>
      </c>
    </row>
    <row r="12" spans="1:27">
      <c r="A12" s="300"/>
      <c r="B12" s="301"/>
    </row>
    <row r="13" spans="1:27">
      <c r="A13" s="300"/>
      <c r="B13" s="301"/>
    </row>
    <row r="14" spans="1:27">
      <c r="A14" s="300"/>
      <c r="B14" s="301"/>
    </row>
    <row r="15" spans="1:27">
      <c r="A15" s="300"/>
      <c r="B15" s="301"/>
    </row>
    <row r="16" spans="1:27">
      <c r="A16" s="300"/>
      <c r="B16" s="301"/>
    </row>
    <row r="17" spans="1:2">
      <c r="A17" s="300"/>
      <c r="B17" s="301"/>
    </row>
    <row r="18" spans="1:2">
      <c r="A18" s="300"/>
      <c r="B18" s="301"/>
    </row>
    <row r="19" spans="1:2">
      <c r="A19" s="300"/>
      <c r="B19" s="301"/>
    </row>
    <row r="20" spans="1:2">
      <c r="A20" s="300"/>
      <c r="B20" s="301"/>
    </row>
    <row r="21" spans="1:2">
      <c r="A21" s="300"/>
      <c r="B21" s="301"/>
    </row>
    <row r="22" spans="1:2">
      <c r="A22" s="300"/>
      <c r="B22" s="301"/>
    </row>
    <row r="23" spans="1:2">
      <c r="A23" s="300"/>
      <c r="B23" s="301"/>
    </row>
    <row r="24" spans="1:2">
      <c r="A24" s="300"/>
      <c r="B24" s="301"/>
    </row>
    <row r="25" spans="1:2">
      <c r="A25" s="300"/>
      <c r="B25" s="301"/>
    </row>
    <row r="26" spans="1:2">
      <c r="A26" s="300"/>
      <c r="B26" s="301"/>
    </row>
    <row r="27" spans="1:2">
      <c r="A27" s="300"/>
      <c r="B27" s="301"/>
    </row>
    <row r="28" spans="1:2">
      <c r="A28" s="300"/>
      <c r="B28" s="301"/>
    </row>
    <row r="29" spans="1:2">
      <c r="A29" s="300"/>
      <c r="B29" s="301"/>
    </row>
    <row r="30" spans="1:2">
      <c r="A30" s="300"/>
      <c r="B30" s="301"/>
    </row>
    <row r="31" spans="1:2">
      <c r="A31" s="300"/>
      <c r="B31" s="30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CB4A-CF45-4286-BF69-0D6C9ADD9FC9}">
  <sheetPr>
    <tabColor rgb="FFFF0000"/>
  </sheetPr>
  <dimension ref="A1:J16"/>
  <sheetViews>
    <sheetView workbookViewId="0">
      <selection activeCell="J29" sqref="J29"/>
    </sheetView>
  </sheetViews>
  <sheetFormatPr baseColWidth="10" defaultRowHeight="15"/>
  <cols>
    <col min="1" max="1" width="20.140625" customWidth="1"/>
  </cols>
  <sheetData>
    <row r="1" spans="1:10">
      <c r="A1" t="s">
        <v>401</v>
      </c>
      <c r="B1" t="s">
        <v>35</v>
      </c>
      <c r="C1" t="s">
        <v>340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0">
      <c r="A2" t="s">
        <v>405</v>
      </c>
      <c r="B2" t="s">
        <v>47</v>
      </c>
      <c r="D2">
        <v>0.98</v>
      </c>
      <c r="E2">
        <v>0.98</v>
      </c>
      <c r="F2">
        <v>0.98</v>
      </c>
      <c r="G2">
        <v>0.98</v>
      </c>
      <c r="H2">
        <v>0.98</v>
      </c>
      <c r="I2">
        <v>0.98</v>
      </c>
      <c r="J2">
        <v>0.98</v>
      </c>
    </row>
    <row r="3" spans="1:10">
      <c r="A3" t="s">
        <v>124</v>
      </c>
      <c r="B3" t="s">
        <v>82</v>
      </c>
      <c r="C3" t="s">
        <v>165</v>
      </c>
      <c r="D3" s="471">
        <v>60.0456</v>
      </c>
      <c r="E3" s="471">
        <v>57.543699999999994</v>
      </c>
      <c r="F3" s="471">
        <v>56.042559999999995</v>
      </c>
      <c r="G3" s="471">
        <v>55.041800000000002</v>
      </c>
      <c r="H3" s="471">
        <v>54.041039999999995</v>
      </c>
      <c r="I3" s="471">
        <v>53.540659999999995</v>
      </c>
      <c r="J3" s="471">
        <v>53.040280000000003</v>
      </c>
    </row>
    <row r="4" spans="1:10">
      <c r="A4" t="s">
        <v>124</v>
      </c>
      <c r="B4" t="s">
        <v>82</v>
      </c>
      <c r="C4" t="s">
        <v>52</v>
      </c>
      <c r="D4" s="471">
        <v>51.038759999999996</v>
      </c>
      <c r="E4" s="471">
        <v>50.037999999999997</v>
      </c>
      <c r="F4" s="471">
        <v>49.287430000000001</v>
      </c>
      <c r="G4" s="471">
        <v>48.912144999999995</v>
      </c>
      <c r="H4" s="471">
        <v>48.536859999999997</v>
      </c>
      <c r="I4" s="471">
        <v>48.286669999999994</v>
      </c>
      <c r="J4" s="471">
        <v>48.036479999999997</v>
      </c>
    </row>
    <row r="5" spans="1:10">
      <c r="A5" t="s">
        <v>124</v>
      </c>
      <c r="B5" t="s">
        <v>82</v>
      </c>
      <c r="C5" t="s">
        <v>163</v>
      </c>
      <c r="D5" s="471">
        <v>49.037239999999997</v>
      </c>
      <c r="E5" s="471">
        <v>48.036479999999997</v>
      </c>
      <c r="F5" s="471">
        <v>47.536099999999998</v>
      </c>
      <c r="G5" s="471">
        <v>47.285910000000001</v>
      </c>
      <c r="H5" s="471">
        <v>47.035719999999998</v>
      </c>
      <c r="I5" s="471">
        <v>47.035719999999998</v>
      </c>
      <c r="J5" s="471">
        <v>47.035719999999998</v>
      </c>
    </row>
    <row r="6" spans="1:10">
      <c r="A6" t="s">
        <v>56</v>
      </c>
      <c r="B6" t="s">
        <v>57</v>
      </c>
      <c r="D6" s="471">
        <v>30</v>
      </c>
      <c r="E6" s="471">
        <v>30</v>
      </c>
      <c r="F6" s="471">
        <v>30</v>
      </c>
      <c r="G6" s="471">
        <v>30</v>
      </c>
      <c r="H6" s="471">
        <v>30</v>
      </c>
      <c r="I6" s="471">
        <v>30</v>
      </c>
      <c r="J6" s="471">
        <v>30</v>
      </c>
    </row>
    <row r="7" spans="1:10">
      <c r="A7" t="s">
        <v>58</v>
      </c>
      <c r="B7" t="s">
        <v>379</v>
      </c>
      <c r="C7" t="s">
        <v>163</v>
      </c>
      <c r="D7" s="471">
        <v>499.30196695515349</v>
      </c>
      <c r="E7" s="471">
        <v>396.82541306058221</v>
      </c>
      <c r="F7" s="471">
        <v>337.90361919748233</v>
      </c>
      <c r="G7" s="471">
        <v>320.222974036192</v>
      </c>
      <c r="H7" s="471">
        <v>302.71345397324944</v>
      </c>
      <c r="I7" s="471">
        <v>298.1957513768686</v>
      </c>
      <c r="J7" s="471">
        <v>293.67804878048781</v>
      </c>
    </row>
    <row r="8" spans="1:10">
      <c r="A8" t="s">
        <v>58</v>
      </c>
      <c r="B8" t="s">
        <v>379</v>
      </c>
      <c r="C8" t="s">
        <v>52</v>
      </c>
      <c r="D8" s="471">
        <v>588.3212431156569</v>
      </c>
      <c r="E8" s="471">
        <v>509.49417781274587</v>
      </c>
      <c r="F8" s="471">
        <v>459.24500393391025</v>
      </c>
      <c r="G8" s="471">
        <v>446.34901652242337</v>
      </c>
      <c r="H8" s="471">
        <v>433.59677419354841</v>
      </c>
      <c r="I8" s="471">
        <v>426.72439024390241</v>
      </c>
      <c r="J8" s="471">
        <v>419.8999213217939</v>
      </c>
    </row>
    <row r="9" spans="1:10">
      <c r="A9" t="s">
        <v>58</v>
      </c>
      <c r="B9" t="s">
        <v>379</v>
      </c>
      <c r="C9" t="s">
        <v>165</v>
      </c>
      <c r="D9" s="471">
        <v>807.49826907946499</v>
      </c>
      <c r="E9" s="471">
        <v>707.52698662470493</v>
      </c>
      <c r="F9" s="471">
        <v>667.53162863886701</v>
      </c>
      <c r="G9" s="471">
        <v>645.03894571203784</v>
      </c>
      <c r="H9" s="471">
        <v>622.92958300550754</v>
      </c>
      <c r="I9" s="471">
        <v>612.01864673485443</v>
      </c>
      <c r="J9" s="471">
        <v>601.2035405192762</v>
      </c>
    </row>
    <row r="10" spans="1:10">
      <c r="A10" t="s">
        <v>58</v>
      </c>
      <c r="B10" t="s">
        <v>379</v>
      </c>
      <c r="C10" t="s">
        <v>238</v>
      </c>
      <c r="D10" s="471">
        <v>533.07289346501364</v>
      </c>
      <c r="E10" s="471">
        <v>430.06015864677448</v>
      </c>
      <c r="F10" s="471">
        <v>355.1418060516915</v>
      </c>
      <c r="G10" s="471">
        <v>295.3511977306157</v>
      </c>
      <c r="H10" s="471">
        <v>260.77349653288508</v>
      </c>
      <c r="I10" s="471">
        <v>233.39948308468163</v>
      </c>
      <c r="J10" s="471">
        <v>209.62731351124185</v>
      </c>
    </row>
    <row r="11" spans="1:10">
      <c r="A11" t="s">
        <v>65</v>
      </c>
      <c r="B11" t="s">
        <v>380</v>
      </c>
      <c r="C11" t="s">
        <v>163</v>
      </c>
      <c r="D11" s="7">
        <v>20.459716758457905</v>
      </c>
      <c r="E11" s="7">
        <v>20.042171518489379</v>
      </c>
      <c r="F11" s="7">
        <v>19.836821400472068</v>
      </c>
      <c r="G11" s="7">
        <v>19.734146341463415</v>
      </c>
      <c r="H11" s="7">
        <v>19.624626278520854</v>
      </c>
      <c r="I11" s="7">
        <v>19.624626278520854</v>
      </c>
      <c r="J11" s="7">
        <v>19.624626278520854</v>
      </c>
    </row>
    <row r="12" spans="1:10">
      <c r="A12" t="s">
        <v>65</v>
      </c>
      <c r="B12" t="s">
        <v>380</v>
      </c>
      <c r="C12" t="s">
        <v>52</v>
      </c>
      <c r="D12" s="7">
        <v>21.294807238394963</v>
      </c>
      <c r="E12" s="7">
        <v>20.877261998426437</v>
      </c>
      <c r="F12" s="7">
        <v>20.569236821400473</v>
      </c>
      <c r="G12" s="7">
        <v>20.411801730920534</v>
      </c>
      <c r="H12" s="7">
        <v>20.254366640440598</v>
      </c>
      <c r="I12" s="7">
        <v>20.151691581431944</v>
      </c>
      <c r="J12" s="7">
        <v>20.042171518489379</v>
      </c>
    </row>
    <row r="13" spans="1:10">
      <c r="A13" t="s">
        <v>65</v>
      </c>
      <c r="B13" t="s">
        <v>380</v>
      </c>
      <c r="C13" t="s">
        <v>165</v>
      </c>
      <c r="D13" s="7">
        <v>25.052714398111725</v>
      </c>
      <c r="E13" s="7">
        <v>24.012273800157356</v>
      </c>
      <c r="F13" s="7">
        <v>23.382533438237608</v>
      </c>
      <c r="G13" s="7">
        <v>22.964988198269079</v>
      </c>
      <c r="H13" s="7">
        <v>22.547442958300547</v>
      </c>
      <c r="I13" s="7">
        <v>22.342092840283239</v>
      </c>
      <c r="J13" s="7">
        <v>22.129897718332021</v>
      </c>
    </row>
    <row r="14" spans="1:10">
      <c r="A14" t="s">
        <v>67</v>
      </c>
      <c r="B14" t="s">
        <v>80</v>
      </c>
      <c r="C14" t="s">
        <v>163</v>
      </c>
      <c r="D14" s="7">
        <v>0.14613914802742498</v>
      </c>
      <c r="E14" s="7">
        <v>0.13728222996515682</v>
      </c>
      <c r="F14" s="7">
        <v>0.12842531190288861</v>
      </c>
      <c r="G14" s="7">
        <v>0.12399685287175452</v>
      </c>
      <c r="H14" s="7">
        <v>0.12399685287175452</v>
      </c>
      <c r="I14" s="7">
        <v>0.12399685287175452</v>
      </c>
      <c r="J14" s="7">
        <v>0.12399685287175452</v>
      </c>
    </row>
    <row r="15" spans="1:10">
      <c r="A15" t="s">
        <v>67</v>
      </c>
      <c r="B15" t="s">
        <v>80</v>
      </c>
      <c r="C15" t="s">
        <v>52</v>
      </c>
      <c r="D15" s="7">
        <v>0.19928065640103407</v>
      </c>
      <c r="E15" s="7">
        <v>0.19042373833876586</v>
      </c>
      <c r="F15" s="7">
        <v>0.18599527930763179</v>
      </c>
      <c r="G15" s="7">
        <v>0.1815668202764977</v>
      </c>
      <c r="H15" s="7">
        <v>0.17713836124536358</v>
      </c>
      <c r="I15" s="7">
        <v>0.17713836124536358</v>
      </c>
      <c r="J15" s="7">
        <v>0.17713836124536358</v>
      </c>
    </row>
    <row r="16" spans="1:10">
      <c r="A16" t="s">
        <v>67</v>
      </c>
      <c r="B16" t="s">
        <v>400</v>
      </c>
      <c r="C16" t="s">
        <v>165</v>
      </c>
      <c r="D16" s="7">
        <v>0.30113521411711813</v>
      </c>
      <c r="E16" s="7">
        <v>0.28342137799258177</v>
      </c>
      <c r="F16" s="7">
        <v>0.2701360008991795</v>
      </c>
      <c r="G16" s="7">
        <v>0.26127908283691131</v>
      </c>
      <c r="H16" s="7">
        <v>0.25685062380577722</v>
      </c>
      <c r="I16" s="7">
        <v>0.25242216477464313</v>
      </c>
      <c r="J16" s="7">
        <v>0.25242216477464313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D4D2-F1D1-4658-B74E-E71729BD2765}">
  <sheetPr>
    <tabColor rgb="FFFF0000"/>
  </sheetPr>
  <dimension ref="A1:D45"/>
  <sheetViews>
    <sheetView topLeftCell="A32" workbookViewId="0">
      <selection activeCell="B41" sqref="B41"/>
    </sheetView>
  </sheetViews>
  <sheetFormatPr baseColWidth="10" defaultRowHeight="15"/>
  <cols>
    <col min="2" max="2" width="86.7109375" bestFit="1" customWidth="1"/>
  </cols>
  <sheetData>
    <row r="1" spans="1:2" ht="21">
      <c r="A1" s="508" t="s">
        <v>217</v>
      </c>
      <c r="B1" s="508"/>
    </row>
    <row r="2" spans="1:2">
      <c r="A2" t="s">
        <v>6</v>
      </c>
      <c r="B2" s="291" t="s">
        <v>7</v>
      </c>
    </row>
    <row r="5" spans="1:2" ht="21">
      <c r="A5" s="508" t="s">
        <v>240</v>
      </c>
      <c r="B5" s="508"/>
    </row>
    <row r="6" spans="1:2">
      <c r="A6" t="s">
        <v>6</v>
      </c>
      <c r="B6" t="s">
        <v>242</v>
      </c>
    </row>
    <row r="7" spans="1:2">
      <c r="A7" t="s">
        <v>241</v>
      </c>
      <c r="B7" t="s">
        <v>242</v>
      </c>
    </row>
    <row r="8" spans="1:2">
      <c r="A8" t="s">
        <v>216</v>
      </c>
      <c r="B8" s="291" t="s">
        <v>368</v>
      </c>
    </row>
    <row r="9" spans="1:2">
      <c r="A9" t="s">
        <v>224</v>
      </c>
      <c r="B9" s="291" t="s">
        <v>390</v>
      </c>
    </row>
    <row r="18" spans="1:4" ht="21">
      <c r="A18" s="508" t="s">
        <v>207</v>
      </c>
      <c r="B18" s="508"/>
    </row>
    <row r="19" spans="1:4">
      <c r="A19" t="s">
        <v>6</v>
      </c>
      <c r="B19" s="291" t="s">
        <v>208</v>
      </c>
      <c r="C19" t="s">
        <v>144</v>
      </c>
    </row>
    <row r="20" spans="1:4">
      <c r="A20" t="s">
        <v>209</v>
      </c>
      <c r="B20" t="s">
        <v>210</v>
      </c>
    </row>
    <row r="21" spans="1:4">
      <c r="A21" t="s">
        <v>216</v>
      </c>
      <c r="B21" s="291" t="s">
        <v>215</v>
      </c>
    </row>
    <row r="22" spans="1:4">
      <c r="A22" t="s">
        <v>224</v>
      </c>
      <c r="B22" s="291" t="s">
        <v>223</v>
      </c>
    </row>
    <row r="23" spans="1:4">
      <c r="A23" t="s">
        <v>225</v>
      </c>
      <c r="B23" s="291" t="s">
        <v>226</v>
      </c>
    </row>
    <row r="24" spans="1:4">
      <c r="A24" t="s">
        <v>235</v>
      </c>
      <c r="B24" s="291" t="s">
        <v>234</v>
      </c>
      <c r="C24" t="s">
        <v>144</v>
      </c>
    </row>
    <row r="25" spans="1:4">
      <c r="A25" t="s">
        <v>364</v>
      </c>
      <c r="B25" s="291" t="s">
        <v>413</v>
      </c>
    </row>
    <row r="29" spans="1:4" ht="21">
      <c r="A29" s="508" t="s">
        <v>153</v>
      </c>
      <c r="B29" s="508" t="s">
        <v>153</v>
      </c>
    </row>
    <row r="30" spans="1:4">
      <c r="A30" t="s">
        <v>6</v>
      </c>
      <c r="B30" s="509" t="s">
        <v>253</v>
      </c>
      <c r="C30" s="510"/>
      <c r="D30" s="510"/>
    </row>
    <row r="31" spans="1:4">
      <c r="A31" t="s">
        <v>241</v>
      </c>
      <c r="B31" s="291" t="s">
        <v>322</v>
      </c>
    </row>
    <row r="32" spans="1:4">
      <c r="A32" t="s">
        <v>216</v>
      </c>
      <c r="B32" s="291" t="s">
        <v>307</v>
      </c>
    </row>
    <row r="33" spans="1:2">
      <c r="A33" t="s">
        <v>224</v>
      </c>
      <c r="B33" s="291" t="s">
        <v>359</v>
      </c>
    </row>
    <row r="34" spans="1:2">
      <c r="A34" t="s">
        <v>225</v>
      </c>
      <c r="B34" s="291" t="s">
        <v>360</v>
      </c>
    </row>
    <row r="35" spans="1:2">
      <c r="A35" t="s">
        <v>235</v>
      </c>
      <c r="B35" t="s">
        <v>362</v>
      </c>
    </row>
    <row r="36" spans="1:2">
      <c r="A36" t="s">
        <v>364</v>
      </c>
      <c r="B36" t="s">
        <v>365</v>
      </c>
    </row>
    <row r="40" spans="1:2" ht="21">
      <c r="A40" s="508" t="s">
        <v>427</v>
      </c>
      <c r="B40" s="508"/>
    </row>
    <row r="41" spans="1:2">
      <c r="A41" t="s">
        <v>6</v>
      </c>
      <c r="B41" s="291" t="s">
        <v>413</v>
      </c>
    </row>
    <row r="42" spans="1:2">
      <c r="A42" t="s">
        <v>241</v>
      </c>
      <c r="B42" s="291" t="s">
        <v>430</v>
      </c>
    </row>
    <row r="43" spans="1:2">
      <c r="A43" t="s">
        <v>216</v>
      </c>
      <c r="B43" s="291" t="s">
        <v>428</v>
      </c>
    </row>
    <row r="44" spans="1:2">
      <c r="A44" t="s">
        <v>224</v>
      </c>
      <c r="B44" s="291" t="s">
        <v>431</v>
      </c>
    </row>
    <row r="45" spans="1:2">
      <c r="A45" t="s">
        <v>225</v>
      </c>
      <c r="B45" t="s">
        <v>432</v>
      </c>
    </row>
  </sheetData>
  <mergeCells count="6">
    <mergeCell ref="A40:B40"/>
    <mergeCell ref="A18:B18"/>
    <mergeCell ref="A1:B1"/>
    <mergeCell ref="A5:B5"/>
    <mergeCell ref="B30:D30"/>
    <mergeCell ref="A29:B29"/>
  </mergeCells>
  <hyperlinks>
    <hyperlink ref="B32" r:id="rId1" xr:uid="{09294324-2EEE-4A04-855C-CDF46745EAF6}"/>
    <hyperlink ref="B30" r:id="rId2" xr:uid="{6AD379CB-8804-4112-9029-72E664E20C02}"/>
    <hyperlink ref="B31" r:id="rId3" xr:uid="{CA479878-614A-40C4-ACFA-05478DAC8828}"/>
    <hyperlink ref="B33" r:id="rId4" xr:uid="{EDFFD9E2-09F6-454F-A2EE-3E7F6255CA89}"/>
    <hyperlink ref="B34" r:id="rId5" xr:uid="{1811C99E-BC21-4636-96BA-07C984010E00}"/>
    <hyperlink ref="B9" r:id="rId6" xr:uid="{67F19C91-71A4-4509-96FC-A5AA1805ED2E}"/>
    <hyperlink ref="B21" r:id="rId7" xr:uid="{FDEE2815-5668-4956-B99C-44D9A7F10527}"/>
    <hyperlink ref="B22" r:id="rId8" xr:uid="{F2AFD795-622D-4E44-91F9-8056031B4EA6}"/>
    <hyperlink ref="B23" r:id="rId9" xr:uid="{6C0D9118-0025-4752-B80E-37DE23859B49}"/>
    <hyperlink ref="B24" r:id="rId10" location="133_SynKost_EN_gesamt.indd%3AAnker%20154%3A1377" xr:uid="{811321C0-750E-4AFB-8780-504606212E5A}"/>
    <hyperlink ref="B19" r:id="rId11" xr:uid="{881C8292-F079-4ED5-AD4A-83D8C93CA5B5}"/>
    <hyperlink ref="B25" r:id="rId12" display="https://www.nature.com/articles/s41558-021-01032-7" xr:uid="{CB0AC2AD-EC48-4D24-8CA3-5DBA910A550E}"/>
    <hyperlink ref="B8" r:id="rId13" xr:uid="{2CE317FC-1404-4488-A976-077FD6AAE1EC}"/>
    <hyperlink ref="B2" r:id="rId14" xr:uid="{3A9EFA5F-8BD5-4CDA-B90B-ADED56F184F2}"/>
    <hyperlink ref="B41" r:id="rId15" display="https://www.nature.com/articles/s41558-021-01032-7" xr:uid="{6A34D3F8-3CC7-4ED7-A65C-F770921320C7}"/>
    <hyperlink ref="B43" r:id="rId16" location="sec3" xr:uid="{61A657FD-D482-4606-8C11-14C9D6C7F16F}"/>
    <hyperlink ref="B44" r:id="rId17" xr:uid="{56967096-A0E3-4E0F-86D6-5AFC2E31A69B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8C5B-5048-458A-A041-7369E8B77BFA}">
  <sheetPr>
    <tabColor rgb="FFFFC000"/>
  </sheetPr>
  <dimension ref="A1:F8"/>
  <sheetViews>
    <sheetView workbookViewId="0">
      <selection activeCell="D2" sqref="D2"/>
    </sheetView>
  </sheetViews>
  <sheetFormatPr baseColWidth="10" defaultRowHeight="15"/>
  <sheetData>
    <row r="1" spans="1:6">
      <c r="A1" t="s">
        <v>3</v>
      </c>
      <c r="B1">
        <v>2020</v>
      </c>
      <c r="C1">
        <v>2030</v>
      </c>
      <c r="D1">
        <v>2050</v>
      </c>
    </row>
    <row r="2" spans="1:6">
      <c r="A2" t="s">
        <v>429</v>
      </c>
      <c r="B2">
        <v>460</v>
      </c>
      <c r="C2">
        <v>150</v>
      </c>
      <c r="D2">
        <v>50</v>
      </c>
      <c r="F2" t="s">
        <v>436</v>
      </c>
    </row>
    <row r="3" spans="1:6">
      <c r="A3" t="s">
        <v>209</v>
      </c>
      <c r="D3">
        <f>341/Monetary!$V$4</f>
        <v>299.12280701754389</v>
      </c>
      <c r="F3" t="s">
        <v>435</v>
      </c>
    </row>
    <row r="4" spans="1:6">
      <c r="A4" t="s">
        <v>224</v>
      </c>
      <c r="B4">
        <f>335/Monetary!$V$4</f>
        <v>293.85964912280707</v>
      </c>
      <c r="C4">
        <f>100/Monetary!$V$4</f>
        <v>87.719298245614041</v>
      </c>
      <c r="D4">
        <f>100/Monetary!$V$4</f>
        <v>87.719298245614041</v>
      </c>
      <c r="F4" t="s">
        <v>434</v>
      </c>
    </row>
    <row r="5" spans="1:6">
      <c r="A5" t="s">
        <v>437</v>
      </c>
      <c r="B5">
        <f>600/Monetary!$V$4</f>
        <v>526.31578947368428</v>
      </c>
      <c r="D5">
        <f>100/Monetary!$V$4</f>
        <v>87.719298245614041</v>
      </c>
      <c r="F5" t="s">
        <v>433</v>
      </c>
    </row>
    <row r="6" spans="1:6">
      <c r="A6" t="s">
        <v>438</v>
      </c>
      <c r="B6">
        <f>1000/Monetary!$V$4</f>
        <v>877.19298245614038</v>
      </c>
      <c r="D6">
        <f>300/Monetary!$V$4</f>
        <v>263.15789473684214</v>
      </c>
      <c r="F6" t="s">
        <v>439</v>
      </c>
    </row>
    <row r="8" spans="1:6">
      <c r="A8" t="s">
        <v>440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86A3-D003-4BE0-8099-A310892599D2}">
  <sheetPr>
    <tabColor rgb="FF0070C0"/>
  </sheetPr>
  <dimension ref="A1:CX79"/>
  <sheetViews>
    <sheetView topLeftCell="A55" workbookViewId="0">
      <selection activeCell="A76" sqref="A76"/>
    </sheetView>
  </sheetViews>
  <sheetFormatPr baseColWidth="10" defaultColWidth="8.85546875" defaultRowHeight="12.75"/>
  <cols>
    <col min="1" max="1" width="35.85546875" style="29" customWidth="1"/>
    <col min="2" max="2" width="22.7109375" style="26" customWidth="1"/>
    <col min="3" max="3" width="15.140625" style="26" bestFit="1" customWidth="1"/>
    <col min="4" max="4" width="8" style="27" customWidth="1"/>
    <col min="5" max="24" width="8.42578125" style="27" customWidth="1"/>
    <col min="25" max="64" width="7.5703125" style="27" customWidth="1"/>
    <col min="65" max="65" width="8.42578125" style="27" bestFit="1" customWidth="1"/>
    <col min="66" max="69" width="8.28515625" style="27" customWidth="1"/>
    <col min="70" max="74" width="8.42578125" style="27" bestFit="1" customWidth="1"/>
    <col min="75" max="102" width="5.5703125" style="27" bestFit="1" customWidth="1"/>
    <col min="103" max="16384" width="8.85546875" style="29"/>
  </cols>
  <sheetData>
    <row r="1" spans="1:102" ht="13.5" thickBot="1">
      <c r="A1" s="25" t="s">
        <v>369</v>
      </c>
      <c r="Q1" s="28"/>
    </row>
    <row r="2" spans="1:102" s="33" customFormat="1" ht="12.75" customHeight="1">
      <c r="A2" s="30" t="s">
        <v>34</v>
      </c>
      <c r="B2" s="31" t="s">
        <v>35</v>
      </c>
      <c r="C2" s="32"/>
      <c r="D2" s="179" t="s">
        <v>36</v>
      </c>
      <c r="E2" s="179" t="s">
        <v>36</v>
      </c>
      <c r="F2" s="179" t="s">
        <v>36</v>
      </c>
      <c r="G2" s="179" t="s">
        <v>36</v>
      </c>
      <c r="H2" s="179" t="s">
        <v>36</v>
      </c>
      <c r="I2" s="179" t="s">
        <v>36</v>
      </c>
      <c r="J2" s="179" t="s">
        <v>36</v>
      </c>
      <c r="K2" s="182" t="s">
        <v>37</v>
      </c>
      <c r="L2" s="182" t="s">
        <v>37</v>
      </c>
      <c r="M2" s="182" t="s">
        <v>37</v>
      </c>
      <c r="N2" s="182" t="s">
        <v>37</v>
      </c>
      <c r="O2" s="182" t="s">
        <v>37</v>
      </c>
      <c r="P2" s="182" t="s">
        <v>37</v>
      </c>
      <c r="Q2" s="182" t="s">
        <v>37</v>
      </c>
      <c r="R2" s="30" t="s">
        <v>38</v>
      </c>
      <c r="S2" s="183"/>
      <c r="T2" s="183"/>
      <c r="U2" s="183"/>
      <c r="V2" s="183"/>
      <c r="W2" s="183"/>
      <c r="X2" s="186"/>
      <c r="Y2" s="30" t="s">
        <v>39</v>
      </c>
      <c r="Z2" s="183"/>
      <c r="AA2" s="183"/>
      <c r="AB2" s="183"/>
      <c r="AC2" s="183"/>
      <c r="AD2" s="183"/>
      <c r="AE2" s="184"/>
      <c r="AF2" s="30" t="s">
        <v>39</v>
      </c>
      <c r="AG2" s="183"/>
      <c r="AH2" s="183"/>
      <c r="AI2" s="183"/>
      <c r="AJ2" s="183"/>
      <c r="AK2" s="183"/>
      <c r="AL2" s="186"/>
      <c r="AM2" s="30" t="s">
        <v>40</v>
      </c>
      <c r="AN2" s="183"/>
      <c r="AO2" s="183"/>
      <c r="AP2" s="183"/>
      <c r="AQ2" s="183"/>
      <c r="AR2" s="183"/>
      <c r="AS2" s="186"/>
      <c r="AT2" s="30" t="s">
        <v>40</v>
      </c>
      <c r="AU2" s="183"/>
      <c r="AV2" s="183"/>
      <c r="AW2" s="183"/>
      <c r="AX2" s="183"/>
      <c r="AY2" s="183"/>
      <c r="AZ2" s="186"/>
      <c r="BA2" s="179" t="s">
        <v>41</v>
      </c>
      <c r="BB2" s="180"/>
      <c r="BC2" s="180"/>
      <c r="BD2" s="180"/>
      <c r="BE2" s="180"/>
      <c r="BF2" s="181"/>
      <c r="BG2" s="179" t="s">
        <v>41</v>
      </c>
      <c r="BH2" s="180"/>
      <c r="BI2" s="180"/>
      <c r="BJ2" s="180"/>
      <c r="BK2" s="180"/>
      <c r="BL2" s="181"/>
      <c r="BM2" s="187" t="s">
        <v>42</v>
      </c>
      <c r="BN2" s="187"/>
      <c r="BO2" s="187"/>
      <c r="BP2" s="187"/>
      <c r="BQ2" s="188"/>
      <c r="BR2" s="189" t="s">
        <v>42</v>
      </c>
      <c r="BS2" s="187"/>
      <c r="BT2" s="187"/>
      <c r="BU2" s="187"/>
      <c r="BV2" s="188"/>
    </row>
    <row r="3" spans="1:102">
      <c r="A3" s="34" t="s">
        <v>43</v>
      </c>
      <c r="B3" s="35"/>
      <c r="C3" s="36"/>
      <c r="D3" s="37">
        <v>2020</v>
      </c>
      <c r="E3" s="38">
        <v>2025</v>
      </c>
      <c r="F3" s="38">
        <v>2030</v>
      </c>
      <c r="G3" s="38">
        <v>2035</v>
      </c>
      <c r="H3" s="38">
        <v>2040</v>
      </c>
      <c r="I3" s="38">
        <v>2045</v>
      </c>
      <c r="J3" s="39">
        <v>2050</v>
      </c>
      <c r="K3" s="40">
        <v>2020</v>
      </c>
      <c r="L3" s="38">
        <v>2025</v>
      </c>
      <c r="M3" s="38">
        <v>2030</v>
      </c>
      <c r="N3" s="38">
        <v>2035</v>
      </c>
      <c r="O3" s="38">
        <v>2040</v>
      </c>
      <c r="P3" s="38">
        <v>2045</v>
      </c>
      <c r="Q3" s="41">
        <v>2050</v>
      </c>
      <c r="R3" s="37">
        <v>2020</v>
      </c>
      <c r="S3" s="38">
        <v>2025</v>
      </c>
      <c r="T3" s="38">
        <v>2030</v>
      </c>
      <c r="U3" s="38">
        <v>2035</v>
      </c>
      <c r="V3" s="38">
        <v>2040</v>
      </c>
      <c r="W3" s="38">
        <v>2045</v>
      </c>
      <c r="X3" s="39">
        <v>2050</v>
      </c>
      <c r="Y3" s="37">
        <v>2020</v>
      </c>
      <c r="Z3" s="38">
        <v>2025</v>
      </c>
      <c r="AA3" s="38">
        <v>2030</v>
      </c>
      <c r="AB3" s="38">
        <v>2035</v>
      </c>
      <c r="AC3" s="38">
        <v>2040</v>
      </c>
      <c r="AD3" s="38">
        <v>2045</v>
      </c>
      <c r="AE3" s="41">
        <v>2050</v>
      </c>
      <c r="AF3" s="37">
        <v>2020</v>
      </c>
      <c r="AG3" s="38">
        <v>2025</v>
      </c>
      <c r="AH3" s="38">
        <v>2030</v>
      </c>
      <c r="AI3" s="38">
        <v>2035</v>
      </c>
      <c r="AJ3" s="38">
        <v>2040</v>
      </c>
      <c r="AK3" s="38">
        <v>2045</v>
      </c>
      <c r="AL3" s="39">
        <v>2050</v>
      </c>
      <c r="AM3" s="37">
        <v>2020</v>
      </c>
      <c r="AN3" s="38">
        <v>2025</v>
      </c>
      <c r="AO3" s="38">
        <v>2030</v>
      </c>
      <c r="AP3" s="38">
        <v>2035</v>
      </c>
      <c r="AQ3" s="38">
        <v>2040</v>
      </c>
      <c r="AR3" s="38">
        <v>2045</v>
      </c>
      <c r="AS3" s="39">
        <v>2050</v>
      </c>
      <c r="AT3" s="37">
        <v>2020</v>
      </c>
      <c r="AU3" s="38">
        <v>2025</v>
      </c>
      <c r="AV3" s="38">
        <v>2030</v>
      </c>
      <c r="AW3" s="38">
        <v>2035</v>
      </c>
      <c r="AX3" s="38">
        <v>2040</v>
      </c>
      <c r="AY3" s="38">
        <v>2045</v>
      </c>
      <c r="AZ3" s="39">
        <v>2050</v>
      </c>
      <c r="BA3" s="37">
        <v>2025</v>
      </c>
      <c r="BB3" s="38">
        <v>2030</v>
      </c>
      <c r="BC3" s="38">
        <v>2035</v>
      </c>
      <c r="BD3" s="38">
        <v>2040</v>
      </c>
      <c r="BE3" s="38">
        <v>2045</v>
      </c>
      <c r="BF3" s="39">
        <v>2050</v>
      </c>
      <c r="BG3" s="37">
        <v>2025</v>
      </c>
      <c r="BH3" s="38">
        <v>2030</v>
      </c>
      <c r="BI3" s="38">
        <v>2035</v>
      </c>
      <c r="BJ3" s="38">
        <v>2040</v>
      </c>
      <c r="BK3" s="38">
        <v>2045</v>
      </c>
      <c r="BL3" s="39">
        <v>2050</v>
      </c>
      <c r="BM3" s="40">
        <v>2030</v>
      </c>
      <c r="BN3" s="38">
        <v>2035</v>
      </c>
      <c r="BO3" s="38">
        <v>2040</v>
      </c>
      <c r="BP3" s="38">
        <v>2045</v>
      </c>
      <c r="BQ3" s="39">
        <v>2050</v>
      </c>
      <c r="BR3" s="38">
        <v>2030</v>
      </c>
      <c r="BS3" s="38">
        <v>2035</v>
      </c>
      <c r="BT3" s="38">
        <v>2040</v>
      </c>
      <c r="BU3" s="38">
        <v>2045</v>
      </c>
      <c r="BV3" s="39">
        <v>2050</v>
      </c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</row>
    <row r="4" spans="1:102">
      <c r="A4" s="34" t="s">
        <v>44</v>
      </c>
      <c r="B4" s="35" t="s">
        <v>45</v>
      </c>
      <c r="C4" s="36"/>
      <c r="D4" s="43">
        <v>10</v>
      </c>
      <c r="E4" s="44">
        <v>10</v>
      </c>
      <c r="F4" s="44">
        <v>10</v>
      </c>
      <c r="G4" s="44">
        <v>10</v>
      </c>
      <c r="H4" s="44">
        <v>10</v>
      </c>
      <c r="I4" s="44">
        <v>10</v>
      </c>
      <c r="J4" s="45">
        <v>10</v>
      </c>
      <c r="K4" s="46">
        <v>10</v>
      </c>
      <c r="L4" s="44">
        <v>10</v>
      </c>
      <c r="M4" s="44">
        <v>10</v>
      </c>
      <c r="N4" s="44">
        <v>10</v>
      </c>
      <c r="O4" s="44">
        <v>10</v>
      </c>
      <c r="P4" s="44">
        <v>10</v>
      </c>
      <c r="Q4" s="47">
        <v>10</v>
      </c>
      <c r="R4" s="43">
        <v>10</v>
      </c>
      <c r="S4" s="44">
        <v>10</v>
      </c>
      <c r="T4" s="44">
        <v>10</v>
      </c>
      <c r="U4" s="44">
        <v>10</v>
      </c>
      <c r="V4" s="44">
        <v>10</v>
      </c>
      <c r="W4" s="44">
        <v>10</v>
      </c>
      <c r="X4" s="45">
        <v>10</v>
      </c>
      <c r="Y4" s="43">
        <v>300</v>
      </c>
      <c r="Z4" s="44">
        <v>300</v>
      </c>
      <c r="AA4" s="44">
        <v>300</v>
      </c>
      <c r="AB4" s="44">
        <v>300</v>
      </c>
      <c r="AC4" s="44">
        <v>300</v>
      </c>
      <c r="AD4" s="44">
        <v>300</v>
      </c>
      <c r="AE4" s="47">
        <v>300</v>
      </c>
      <c r="AF4" s="43">
        <v>1000</v>
      </c>
      <c r="AG4" s="48">
        <v>1000</v>
      </c>
      <c r="AH4" s="48">
        <v>1000</v>
      </c>
      <c r="AI4" s="48">
        <v>1000</v>
      </c>
      <c r="AJ4" s="48">
        <v>1000</v>
      </c>
      <c r="AK4" s="48">
        <v>1000</v>
      </c>
      <c r="AL4" s="49">
        <v>1000</v>
      </c>
      <c r="AM4" s="43">
        <v>300</v>
      </c>
      <c r="AN4" s="48">
        <v>300</v>
      </c>
      <c r="AO4" s="48">
        <v>300</v>
      </c>
      <c r="AP4" s="48">
        <v>300</v>
      </c>
      <c r="AQ4" s="48">
        <v>300</v>
      </c>
      <c r="AR4" s="48">
        <v>300</v>
      </c>
      <c r="AS4" s="49">
        <v>300</v>
      </c>
      <c r="AT4" s="43">
        <v>1000</v>
      </c>
      <c r="AU4" s="48">
        <v>1000</v>
      </c>
      <c r="AV4" s="48">
        <v>1000</v>
      </c>
      <c r="AW4" s="48">
        <v>1000</v>
      </c>
      <c r="AX4" s="48">
        <v>1000</v>
      </c>
      <c r="AY4" s="48">
        <v>1000</v>
      </c>
      <c r="AZ4" s="49">
        <v>1000</v>
      </c>
      <c r="BA4" s="43">
        <v>300</v>
      </c>
      <c r="BB4" s="44">
        <v>300</v>
      </c>
      <c r="BC4" s="44">
        <v>300</v>
      </c>
      <c r="BD4" s="44">
        <v>300</v>
      </c>
      <c r="BE4" s="44">
        <v>300</v>
      </c>
      <c r="BF4" s="45">
        <v>300</v>
      </c>
      <c r="BG4" s="50">
        <v>1000</v>
      </c>
      <c r="BH4" s="48">
        <v>1000</v>
      </c>
      <c r="BI4" s="48">
        <v>1000</v>
      </c>
      <c r="BJ4" s="48">
        <v>1000</v>
      </c>
      <c r="BK4" s="48">
        <v>1000</v>
      </c>
      <c r="BL4" s="49">
        <v>1000</v>
      </c>
      <c r="BM4" s="46">
        <v>59</v>
      </c>
      <c r="BN4" s="44">
        <v>59</v>
      </c>
      <c r="BO4" s="44">
        <v>59</v>
      </c>
      <c r="BP4" s="44">
        <v>59</v>
      </c>
      <c r="BQ4" s="45">
        <v>59</v>
      </c>
      <c r="BR4" s="44">
        <v>473</v>
      </c>
      <c r="BS4" s="44">
        <v>473</v>
      </c>
      <c r="BT4" s="44">
        <v>473</v>
      </c>
      <c r="BU4" s="44">
        <v>473</v>
      </c>
      <c r="BV4" s="45">
        <v>473</v>
      </c>
      <c r="BX4" s="51"/>
      <c r="BY4" s="51"/>
      <c r="BZ4" s="51"/>
      <c r="CA4" s="51"/>
      <c r="CB4" s="51"/>
      <c r="CC4" s="51"/>
      <c r="CE4" s="51"/>
      <c r="CF4" s="51"/>
      <c r="CG4" s="51"/>
      <c r="CH4" s="51"/>
      <c r="CI4" s="51"/>
      <c r="CJ4" s="51"/>
      <c r="CL4" s="51"/>
      <c r="CM4" s="51"/>
      <c r="CN4" s="51"/>
      <c r="CO4" s="51"/>
      <c r="CP4" s="51"/>
      <c r="CQ4" s="51"/>
      <c r="CS4" s="51"/>
      <c r="CT4" s="51"/>
      <c r="CU4" s="51"/>
      <c r="CV4" s="51"/>
      <c r="CW4" s="51"/>
      <c r="CX4" s="51"/>
    </row>
    <row r="5" spans="1:102">
      <c r="A5" s="52" t="s">
        <v>46</v>
      </c>
      <c r="B5" s="53" t="s">
        <v>47</v>
      </c>
      <c r="C5" s="54"/>
      <c r="D5" s="55">
        <v>0.98</v>
      </c>
      <c r="E5" s="56">
        <v>0.98</v>
      </c>
      <c r="F5" s="56">
        <v>0.98</v>
      </c>
      <c r="G5" s="56">
        <v>0.98</v>
      </c>
      <c r="H5" s="56">
        <v>0.98</v>
      </c>
      <c r="I5" s="56">
        <v>0.98</v>
      </c>
      <c r="J5" s="57">
        <v>0.98</v>
      </c>
      <c r="K5" s="58">
        <v>0.98</v>
      </c>
      <c r="L5" s="56">
        <v>0.98</v>
      </c>
      <c r="M5" s="56">
        <v>0.98</v>
      </c>
      <c r="N5" s="56">
        <v>0.98</v>
      </c>
      <c r="O5" s="56">
        <v>0.98</v>
      </c>
      <c r="P5" s="56">
        <v>0.98</v>
      </c>
      <c r="Q5" s="59">
        <v>0.98</v>
      </c>
      <c r="R5" s="55">
        <v>0.9</v>
      </c>
      <c r="S5" s="56">
        <v>0.9</v>
      </c>
      <c r="T5" s="56">
        <v>0.9</v>
      </c>
      <c r="U5" s="56">
        <v>0.9</v>
      </c>
      <c r="V5" s="56">
        <v>0.9</v>
      </c>
      <c r="W5" s="56">
        <v>0.9</v>
      </c>
      <c r="X5" s="57">
        <v>0.9</v>
      </c>
      <c r="Y5" s="60">
        <v>0.95</v>
      </c>
      <c r="Z5" s="61">
        <v>0.95</v>
      </c>
      <c r="AA5" s="61">
        <v>0.95</v>
      </c>
      <c r="AB5" s="61">
        <v>0.95</v>
      </c>
      <c r="AC5" s="61">
        <v>0.95</v>
      </c>
      <c r="AD5" s="61">
        <v>0.95</v>
      </c>
      <c r="AE5" s="62">
        <v>0.95</v>
      </c>
      <c r="AF5" s="60">
        <v>0.95</v>
      </c>
      <c r="AG5" s="61">
        <v>0.95</v>
      </c>
      <c r="AH5" s="61">
        <v>0.95</v>
      </c>
      <c r="AI5" s="61">
        <v>0.95</v>
      </c>
      <c r="AJ5" s="61">
        <v>0.95</v>
      </c>
      <c r="AK5" s="61">
        <v>0.95</v>
      </c>
      <c r="AL5" s="63">
        <v>0.95</v>
      </c>
      <c r="AM5" s="60">
        <v>0.95</v>
      </c>
      <c r="AN5" s="61">
        <v>0.95</v>
      </c>
      <c r="AO5" s="61">
        <v>0.95</v>
      </c>
      <c r="AP5" s="61">
        <v>0.95</v>
      </c>
      <c r="AQ5" s="61">
        <v>0.95</v>
      </c>
      <c r="AR5" s="61">
        <v>0.95</v>
      </c>
      <c r="AS5" s="63">
        <v>0.95</v>
      </c>
      <c r="AT5" s="60">
        <v>0.95</v>
      </c>
      <c r="AU5" s="61">
        <v>0.95</v>
      </c>
      <c r="AV5" s="61">
        <v>0.95</v>
      </c>
      <c r="AW5" s="61">
        <v>0.95</v>
      </c>
      <c r="AX5" s="61">
        <v>0.95</v>
      </c>
      <c r="AY5" s="61">
        <v>0.95</v>
      </c>
      <c r="AZ5" s="63">
        <v>0.95</v>
      </c>
      <c r="BA5" s="60">
        <v>0.95</v>
      </c>
      <c r="BB5" s="61">
        <v>0.95</v>
      </c>
      <c r="BC5" s="61">
        <v>0.95</v>
      </c>
      <c r="BD5" s="61">
        <v>0.95</v>
      </c>
      <c r="BE5" s="61">
        <v>0.95</v>
      </c>
      <c r="BF5" s="63">
        <v>0.95</v>
      </c>
      <c r="BG5" s="60">
        <v>0.95</v>
      </c>
      <c r="BH5" s="61">
        <v>0.95</v>
      </c>
      <c r="BI5" s="61">
        <v>0.95</v>
      </c>
      <c r="BJ5" s="61">
        <v>0.95</v>
      </c>
      <c r="BK5" s="61">
        <v>0.95</v>
      </c>
      <c r="BL5" s="63">
        <v>0.95</v>
      </c>
      <c r="BM5" s="64">
        <v>0.91</v>
      </c>
      <c r="BN5" s="65">
        <v>0.91</v>
      </c>
      <c r="BO5" s="65">
        <v>0.91</v>
      </c>
      <c r="BP5" s="65">
        <v>0.91</v>
      </c>
      <c r="BQ5" s="66">
        <v>0.91</v>
      </c>
      <c r="BR5" s="65">
        <v>0.91</v>
      </c>
      <c r="BS5" s="65">
        <v>0.91</v>
      </c>
      <c r="BT5" s="65">
        <v>0.91</v>
      </c>
      <c r="BU5" s="65">
        <v>0.91</v>
      </c>
      <c r="BV5" s="66">
        <v>0.91</v>
      </c>
      <c r="BW5" s="67"/>
      <c r="BX5" s="68"/>
      <c r="BY5" s="68"/>
      <c r="BZ5" s="68"/>
      <c r="CA5" s="68"/>
      <c r="CB5" s="68"/>
      <c r="CC5" s="68"/>
      <c r="CD5" s="67"/>
      <c r="CE5" s="68"/>
      <c r="CF5" s="68"/>
      <c r="CG5" s="68"/>
      <c r="CH5" s="68"/>
      <c r="CI5" s="68"/>
      <c r="CJ5" s="68"/>
      <c r="CK5" s="67"/>
      <c r="CL5" s="68"/>
      <c r="CM5" s="68"/>
      <c r="CN5" s="68"/>
      <c r="CO5" s="68"/>
      <c r="CP5" s="68"/>
      <c r="CQ5" s="68"/>
      <c r="CR5" s="67"/>
      <c r="CS5" s="68"/>
      <c r="CT5" s="68"/>
      <c r="CU5" s="68"/>
      <c r="CV5" s="68"/>
      <c r="CW5" s="68"/>
      <c r="CX5" s="68"/>
    </row>
    <row r="6" spans="1:102">
      <c r="A6" s="52" t="s">
        <v>48</v>
      </c>
      <c r="B6" s="53" t="s">
        <v>47</v>
      </c>
      <c r="C6" s="54"/>
      <c r="D6" s="55"/>
      <c r="E6" s="56"/>
      <c r="F6" s="56"/>
      <c r="G6" s="56"/>
      <c r="H6" s="56"/>
      <c r="I6" s="56"/>
      <c r="J6" s="57"/>
      <c r="K6" s="58"/>
      <c r="L6" s="56"/>
      <c r="M6" s="56"/>
      <c r="N6" s="56"/>
      <c r="O6" s="56"/>
      <c r="P6" s="56"/>
      <c r="Q6" s="59"/>
      <c r="R6" s="55"/>
      <c r="S6" s="56"/>
      <c r="T6" s="56"/>
      <c r="U6" s="56"/>
      <c r="V6" s="56"/>
      <c r="W6" s="56"/>
      <c r="X6" s="57"/>
      <c r="Y6" s="60">
        <v>0.9</v>
      </c>
      <c r="Z6" s="61">
        <v>0.9</v>
      </c>
      <c r="AA6" s="61">
        <v>0.9</v>
      </c>
      <c r="AB6" s="61">
        <v>0.9</v>
      </c>
      <c r="AC6" s="61">
        <v>0.9</v>
      </c>
      <c r="AD6" s="61">
        <v>0.9</v>
      </c>
      <c r="AE6" s="62">
        <v>0.9</v>
      </c>
      <c r="AF6" s="60">
        <v>0.9</v>
      </c>
      <c r="AG6" s="61">
        <v>0.9</v>
      </c>
      <c r="AH6" s="61">
        <v>0.9</v>
      </c>
      <c r="AI6" s="61">
        <v>0.9</v>
      </c>
      <c r="AJ6" s="61">
        <v>0.9</v>
      </c>
      <c r="AK6" s="61">
        <v>0.9</v>
      </c>
      <c r="AL6" s="63">
        <v>0.9</v>
      </c>
      <c r="AM6" s="60">
        <v>0.95</v>
      </c>
      <c r="AN6" s="61">
        <v>0.95</v>
      </c>
      <c r="AO6" s="61">
        <v>0.95</v>
      </c>
      <c r="AP6" s="61">
        <v>0.95</v>
      </c>
      <c r="AQ6" s="61">
        <v>0.95</v>
      </c>
      <c r="AR6" s="61">
        <v>0.95</v>
      </c>
      <c r="AS6" s="63">
        <v>0.95</v>
      </c>
      <c r="AT6" s="60">
        <v>0.95</v>
      </c>
      <c r="AU6" s="61">
        <v>0.95</v>
      </c>
      <c r="AV6" s="61">
        <v>0.95</v>
      </c>
      <c r="AW6" s="61">
        <v>0.95</v>
      </c>
      <c r="AX6" s="61">
        <v>0.95</v>
      </c>
      <c r="AY6" s="61">
        <v>0.95</v>
      </c>
      <c r="AZ6" s="63">
        <v>0.95</v>
      </c>
      <c r="BA6" s="60">
        <v>0.95699999999999996</v>
      </c>
      <c r="BB6" s="61">
        <v>0.95699999999999996</v>
      </c>
      <c r="BC6" s="61">
        <v>0.95699999999999996</v>
      </c>
      <c r="BD6" s="61">
        <v>0.95699999999999996</v>
      </c>
      <c r="BE6" s="61">
        <v>0.95699999999999996</v>
      </c>
      <c r="BF6" s="63">
        <v>0.95699999999999996</v>
      </c>
      <c r="BG6" s="60">
        <v>0.95699999999999996</v>
      </c>
      <c r="BH6" s="61">
        <v>0.95699999999999996</v>
      </c>
      <c r="BI6" s="61">
        <v>0.95699999999999996</v>
      </c>
      <c r="BJ6" s="61">
        <v>0.95699999999999996</v>
      </c>
      <c r="BK6" s="61">
        <v>0.95699999999999996</v>
      </c>
      <c r="BL6" s="63">
        <v>0.95699999999999996</v>
      </c>
      <c r="BM6" s="64">
        <v>0.9</v>
      </c>
      <c r="BN6" s="65">
        <v>0.9</v>
      </c>
      <c r="BO6" s="65">
        <v>0.9</v>
      </c>
      <c r="BP6" s="65">
        <v>0.9</v>
      </c>
      <c r="BQ6" s="66">
        <v>0.9</v>
      </c>
      <c r="BR6" s="65">
        <v>0.9</v>
      </c>
      <c r="BS6" s="65">
        <v>0.9</v>
      </c>
      <c r="BT6" s="65">
        <v>0.9</v>
      </c>
      <c r="BU6" s="65">
        <v>0.9</v>
      </c>
      <c r="BV6" s="66">
        <v>0.9</v>
      </c>
      <c r="BW6" s="67"/>
      <c r="BX6" s="68"/>
      <c r="BY6" s="68"/>
      <c r="BZ6" s="68"/>
      <c r="CA6" s="68"/>
      <c r="CB6" s="68"/>
      <c r="CC6" s="68"/>
      <c r="CD6" s="67"/>
      <c r="CE6" s="68"/>
      <c r="CF6" s="68"/>
      <c r="CG6" s="68"/>
      <c r="CH6" s="68"/>
      <c r="CI6" s="68"/>
      <c r="CJ6" s="68"/>
      <c r="CK6" s="67"/>
      <c r="CL6" s="68"/>
      <c r="CM6" s="68"/>
      <c r="CN6" s="68"/>
      <c r="CO6" s="68"/>
      <c r="CP6" s="68"/>
      <c r="CQ6" s="68"/>
      <c r="CR6" s="67"/>
      <c r="CS6" s="68"/>
      <c r="CT6" s="68"/>
      <c r="CU6" s="68"/>
      <c r="CV6" s="68"/>
      <c r="CW6" s="68"/>
      <c r="CX6" s="68"/>
    </row>
    <row r="7" spans="1:102">
      <c r="A7" s="487" t="s">
        <v>49</v>
      </c>
      <c r="B7" s="488" t="s">
        <v>50</v>
      </c>
      <c r="C7" s="36" t="s">
        <v>51</v>
      </c>
      <c r="D7" s="69"/>
      <c r="E7" s="70"/>
      <c r="F7" s="70"/>
      <c r="G7" s="70"/>
      <c r="H7" s="70"/>
      <c r="I7" s="70"/>
      <c r="J7" s="71"/>
      <c r="K7" s="72"/>
      <c r="L7" s="73"/>
      <c r="M7" s="73"/>
      <c r="N7" s="73"/>
      <c r="O7" s="73"/>
      <c r="P7" s="73"/>
      <c r="Q7" s="74"/>
      <c r="R7" s="75">
        <v>0.40639999999999998</v>
      </c>
      <c r="S7" s="76">
        <v>0.39369999999999999</v>
      </c>
      <c r="T7" s="76">
        <v>0.38100000000000001</v>
      </c>
      <c r="U7" s="76">
        <v>0.37464999999999998</v>
      </c>
      <c r="V7" s="76">
        <v>0.36830000000000002</v>
      </c>
      <c r="W7" s="76">
        <v>0.36194999999999999</v>
      </c>
      <c r="X7" s="77">
        <v>0.35559999999999997</v>
      </c>
      <c r="Y7" s="78"/>
      <c r="Z7" s="79"/>
      <c r="AA7" s="79"/>
      <c r="AB7" s="79"/>
      <c r="AC7" s="79"/>
      <c r="AD7" s="79"/>
      <c r="AE7" s="80"/>
      <c r="AF7" s="78"/>
      <c r="AG7" s="79"/>
      <c r="AH7" s="79"/>
      <c r="AI7" s="79"/>
      <c r="AJ7" s="79"/>
      <c r="AK7" s="79"/>
      <c r="AL7" s="81"/>
      <c r="AM7" s="78"/>
      <c r="AN7" s="79"/>
      <c r="AO7" s="79"/>
      <c r="AP7" s="79"/>
      <c r="AQ7" s="79"/>
      <c r="AR7" s="79"/>
      <c r="AS7" s="81"/>
      <c r="AT7" s="78"/>
      <c r="AU7" s="79"/>
      <c r="AV7" s="79"/>
      <c r="AW7" s="79"/>
      <c r="AX7" s="79"/>
      <c r="AY7" s="79"/>
      <c r="AZ7" s="81"/>
      <c r="BA7" s="82"/>
      <c r="BB7" s="83"/>
      <c r="BC7" s="83"/>
      <c r="BD7" s="83"/>
      <c r="BE7" s="83"/>
      <c r="BF7" s="84"/>
      <c r="BG7" s="78"/>
      <c r="BH7" s="79"/>
      <c r="BI7" s="79"/>
      <c r="BJ7" s="79"/>
      <c r="BK7" s="79"/>
      <c r="BL7" s="81"/>
      <c r="BM7" s="85"/>
      <c r="BN7" s="83"/>
      <c r="BO7" s="83"/>
      <c r="BP7" s="83"/>
      <c r="BQ7" s="84"/>
      <c r="BR7" s="83"/>
      <c r="BS7" s="83"/>
      <c r="BT7" s="83"/>
      <c r="BU7" s="83"/>
      <c r="BV7" s="84"/>
      <c r="BX7" s="68"/>
      <c r="BY7" s="68"/>
      <c r="BZ7" s="68"/>
      <c r="CA7" s="68"/>
      <c r="CB7" s="68"/>
      <c r="CC7" s="68"/>
      <c r="CE7" s="68"/>
      <c r="CF7" s="68"/>
      <c r="CG7" s="68"/>
      <c r="CH7" s="68"/>
      <c r="CI7" s="68"/>
      <c r="CJ7" s="68"/>
      <c r="CL7" s="68"/>
      <c r="CM7" s="68"/>
      <c r="CN7" s="68"/>
      <c r="CO7" s="68"/>
      <c r="CP7" s="68"/>
      <c r="CQ7" s="68"/>
      <c r="CS7" s="68"/>
      <c r="CT7" s="68"/>
      <c r="CU7" s="68"/>
      <c r="CV7" s="68"/>
      <c r="CW7" s="68"/>
      <c r="CX7" s="68"/>
    </row>
    <row r="8" spans="1:102">
      <c r="A8" s="485"/>
      <c r="B8" s="488"/>
      <c r="C8" s="36" t="s">
        <v>52</v>
      </c>
      <c r="D8" s="86"/>
      <c r="E8" s="87"/>
      <c r="F8" s="87"/>
      <c r="G8" s="87"/>
      <c r="H8" s="87"/>
      <c r="I8" s="87"/>
      <c r="J8" s="88"/>
      <c r="K8" s="72"/>
      <c r="L8" s="73"/>
      <c r="M8" s="73"/>
      <c r="N8" s="73"/>
      <c r="O8" s="73"/>
      <c r="P8" s="73"/>
      <c r="Q8" s="74"/>
      <c r="R8" s="89">
        <v>0.35559999999999997</v>
      </c>
      <c r="S8" s="90">
        <v>0.34289999999999998</v>
      </c>
      <c r="T8" s="90">
        <v>0.33019999999999999</v>
      </c>
      <c r="U8" s="90">
        <v>0.3175</v>
      </c>
      <c r="V8" s="90">
        <v>0.30480000000000002</v>
      </c>
      <c r="W8" s="90">
        <v>0.29209999999999997</v>
      </c>
      <c r="X8" s="91">
        <v>0.27939999999999998</v>
      </c>
      <c r="Y8" s="92">
        <v>1.355</v>
      </c>
      <c r="Z8" s="93">
        <v>1.355</v>
      </c>
      <c r="AA8" s="93">
        <v>1.355</v>
      </c>
      <c r="AB8" s="93">
        <v>1.355</v>
      </c>
      <c r="AC8" s="93">
        <v>1.355</v>
      </c>
      <c r="AD8" s="93">
        <v>1.355</v>
      </c>
      <c r="AE8" s="94">
        <v>1.355</v>
      </c>
      <c r="AF8" s="92">
        <v>1.355</v>
      </c>
      <c r="AG8" s="93">
        <v>1.355</v>
      </c>
      <c r="AH8" s="93">
        <v>1.355</v>
      </c>
      <c r="AI8" s="93">
        <v>1.355</v>
      </c>
      <c r="AJ8" s="93">
        <v>1.355</v>
      </c>
      <c r="AK8" s="93">
        <v>1.355</v>
      </c>
      <c r="AL8" s="95">
        <v>1.355</v>
      </c>
      <c r="AM8" s="92">
        <v>1.1970000000000001</v>
      </c>
      <c r="AN8" s="93">
        <v>1.1970000000000001</v>
      </c>
      <c r="AO8" s="93">
        <v>1.1970000000000001</v>
      </c>
      <c r="AP8" s="93">
        <v>1.1970000000000001</v>
      </c>
      <c r="AQ8" s="93">
        <v>1.1970000000000001</v>
      </c>
      <c r="AR8" s="93">
        <v>1.1970000000000001</v>
      </c>
      <c r="AS8" s="95">
        <v>1.1970000000000001</v>
      </c>
      <c r="AT8" s="92">
        <v>1.1970000000000001</v>
      </c>
      <c r="AU8" s="93">
        <v>1.1970000000000001</v>
      </c>
      <c r="AV8" s="93">
        <v>1.1970000000000001</v>
      </c>
      <c r="AW8" s="93">
        <v>1.1970000000000001</v>
      </c>
      <c r="AX8" s="93">
        <v>1.1970000000000001</v>
      </c>
      <c r="AY8" s="93">
        <v>1.1970000000000001</v>
      </c>
      <c r="AZ8" s="95">
        <v>1.1970000000000001</v>
      </c>
      <c r="BA8" s="96">
        <v>1.115</v>
      </c>
      <c r="BB8" s="97">
        <v>1.115</v>
      </c>
      <c r="BC8" s="97">
        <v>1.115</v>
      </c>
      <c r="BD8" s="97">
        <v>1.115</v>
      </c>
      <c r="BE8" s="97">
        <v>1.115</v>
      </c>
      <c r="BF8" s="98">
        <v>1.115</v>
      </c>
      <c r="BG8" s="92">
        <v>1.115</v>
      </c>
      <c r="BH8" s="93">
        <v>1.115</v>
      </c>
      <c r="BI8" s="93">
        <v>1.115</v>
      </c>
      <c r="BJ8" s="93">
        <v>1.115</v>
      </c>
      <c r="BK8" s="93">
        <v>1.115</v>
      </c>
      <c r="BL8" s="95">
        <v>1.115</v>
      </c>
      <c r="BM8" s="99">
        <v>1.5392399999999997</v>
      </c>
      <c r="BN8" s="100">
        <v>1.5117535714285713</v>
      </c>
      <c r="BO8" s="100">
        <v>1.5117535714285713</v>
      </c>
      <c r="BP8" s="100">
        <v>1.4852315789473685</v>
      </c>
      <c r="BQ8" s="101">
        <v>1.4852315789473685</v>
      </c>
      <c r="BR8" s="100">
        <v>1.4852315789473685</v>
      </c>
      <c r="BS8" s="100">
        <v>1.4596241379310344</v>
      </c>
      <c r="BT8" s="100">
        <v>1.4596241379310344</v>
      </c>
      <c r="BU8" s="100">
        <v>1.4348847457627119</v>
      </c>
      <c r="BV8" s="101">
        <v>1.4348847457627119</v>
      </c>
      <c r="BX8" s="68"/>
      <c r="BY8" s="68"/>
      <c r="BZ8" s="68"/>
      <c r="CA8" s="68"/>
      <c r="CB8" s="68"/>
      <c r="CC8" s="68"/>
      <c r="CE8" s="68"/>
      <c r="CF8" s="68"/>
      <c r="CG8" s="68"/>
      <c r="CH8" s="68"/>
      <c r="CI8" s="68"/>
      <c r="CJ8" s="68"/>
      <c r="CL8" s="68"/>
      <c r="CM8" s="68"/>
      <c r="CN8" s="68"/>
      <c r="CO8" s="68"/>
      <c r="CP8" s="68"/>
      <c r="CQ8" s="68"/>
      <c r="CS8" s="68"/>
      <c r="CT8" s="68"/>
      <c r="CU8" s="68"/>
      <c r="CV8" s="68"/>
      <c r="CW8" s="68"/>
      <c r="CX8" s="68"/>
    </row>
    <row r="9" spans="1:102">
      <c r="A9" s="485"/>
      <c r="B9" s="488"/>
      <c r="C9" s="36" t="s">
        <v>53</v>
      </c>
      <c r="D9" s="86"/>
      <c r="E9" s="87"/>
      <c r="F9" s="87"/>
      <c r="G9" s="87"/>
      <c r="H9" s="87"/>
      <c r="I9" s="87"/>
      <c r="J9" s="88"/>
      <c r="K9" s="72"/>
      <c r="L9" s="73"/>
      <c r="M9" s="73"/>
      <c r="N9" s="73"/>
      <c r="O9" s="73"/>
      <c r="P9" s="73"/>
      <c r="Q9" s="74"/>
      <c r="R9" s="75">
        <v>0.20319999999999999</v>
      </c>
      <c r="S9" s="76">
        <v>0.19811999999999999</v>
      </c>
      <c r="T9" s="76">
        <v>0.18796000000000002</v>
      </c>
      <c r="U9" s="76">
        <v>0.18287999999999999</v>
      </c>
      <c r="V9" s="76">
        <v>0.17779999999999999</v>
      </c>
      <c r="W9" s="76">
        <v>0.17779999999999999</v>
      </c>
      <c r="X9" s="77">
        <v>0.17779999999999999</v>
      </c>
      <c r="Y9" s="92"/>
      <c r="Z9" s="93"/>
      <c r="AA9" s="93"/>
      <c r="AB9" s="93"/>
      <c r="AC9" s="93"/>
      <c r="AD9" s="93"/>
      <c r="AE9" s="94"/>
      <c r="AF9" s="92"/>
      <c r="AG9" s="93"/>
      <c r="AH9" s="93"/>
      <c r="AI9" s="93"/>
      <c r="AJ9" s="93"/>
      <c r="AK9" s="93"/>
      <c r="AL9" s="95"/>
      <c r="AM9" s="92"/>
      <c r="AN9" s="93"/>
      <c r="AO9" s="93"/>
      <c r="AP9" s="93"/>
      <c r="AQ9" s="93"/>
      <c r="AR9" s="93"/>
      <c r="AS9" s="95"/>
      <c r="AT9" s="92"/>
      <c r="AU9" s="93"/>
      <c r="AV9" s="93"/>
      <c r="AW9" s="93"/>
      <c r="AX9" s="93"/>
      <c r="AY9" s="93"/>
      <c r="AZ9" s="95"/>
      <c r="BA9" s="96"/>
      <c r="BB9" s="97"/>
      <c r="BC9" s="97"/>
      <c r="BD9" s="97"/>
      <c r="BE9" s="97"/>
      <c r="BF9" s="98"/>
      <c r="BG9" s="92"/>
      <c r="BH9" s="93"/>
      <c r="BI9" s="93"/>
      <c r="BJ9" s="93"/>
      <c r="BK9" s="93"/>
      <c r="BL9" s="95"/>
      <c r="BM9" s="102"/>
      <c r="BN9" s="97"/>
      <c r="BO9" s="97"/>
      <c r="BP9" s="97"/>
      <c r="BQ9" s="98"/>
      <c r="BR9" s="97"/>
      <c r="BS9" s="97"/>
      <c r="BT9" s="97"/>
      <c r="BU9" s="97"/>
      <c r="BV9" s="98"/>
      <c r="BX9" s="68"/>
      <c r="BY9" s="68"/>
      <c r="BZ9" s="68"/>
      <c r="CA9" s="68"/>
      <c r="CB9" s="68"/>
      <c r="CC9" s="68"/>
      <c r="CE9" s="68"/>
      <c r="CF9" s="68"/>
      <c r="CG9" s="68"/>
      <c r="CH9" s="68"/>
      <c r="CI9" s="68"/>
      <c r="CJ9" s="68"/>
      <c r="CL9" s="68"/>
      <c r="CM9" s="68"/>
      <c r="CN9" s="68"/>
      <c r="CO9" s="68"/>
      <c r="CP9" s="68"/>
      <c r="CQ9" s="68"/>
      <c r="CS9" s="68"/>
      <c r="CT9" s="68"/>
      <c r="CU9" s="68"/>
      <c r="CV9" s="68"/>
      <c r="CW9" s="68"/>
      <c r="CX9" s="68"/>
    </row>
    <row r="10" spans="1:102">
      <c r="A10" s="487" t="s">
        <v>54</v>
      </c>
      <c r="B10" s="488" t="s">
        <v>55</v>
      </c>
      <c r="C10" s="36" t="s">
        <v>51</v>
      </c>
      <c r="D10" s="92">
        <v>1.524</v>
      </c>
      <c r="E10" s="93">
        <v>1.4604999999999999</v>
      </c>
      <c r="F10" s="93">
        <v>1.4223999999999999</v>
      </c>
      <c r="G10" s="93">
        <v>1.397</v>
      </c>
      <c r="H10" s="93">
        <v>1.3715999999999999</v>
      </c>
      <c r="I10" s="93">
        <v>1.3589</v>
      </c>
      <c r="J10" s="95">
        <v>1.3462000000000001</v>
      </c>
      <c r="K10" s="103">
        <v>1.6255999999999999</v>
      </c>
      <c r="L10" s="93">
        <v>1.4985999999999999</v>
      </c>
      <c r="M10" s="93">
        <v>1.4097</v>
      </c>
      <c r="N10" s="93">
        <v>1.3715999999999999</v>
      </c>
      <c r="O10" s="93">
        <v>1.3334999999999999</v>
      </c>
      <c r="P10" s="93">
        <v>1.3208</v>
      </c>
      <c r="Q10" s="94">
        <v>1.3081</v>
      </c>
      <c r="R10" s="96">
        <v>1.016</v>
      </c>
      <c r="S10" s="97">
        <v>0.99059999999999993</v>
      </c>
      <c r="T10" s="97">
        <v>0.96519999999999995</v>
      </c>
      <c r="U10" s="97">
        <v>0.95567499999999994</v>
      </c>
      <c r="V10" s="97">
        <v>0.94614999999999994</v>
      </c>
      <c r="W10" s="97">
        <v>0.94297500000000001</v>
      </c>
      <c r="X10" s="98">
        <v>0.93979999999999997</v>
      </c>
      <c r="Y10" s="86"/>
      <c r="Z10" s="87"/>
      <c r="AA10" s="87"/>
      <c r="AB10" s="87"/>
      <c r="AC10" s="87"/>
      <c r="AD10" s="87"/>
      <c r="AE10" s="104"/>
      <c r="AF10" s="86"/>
      <c r="AG10" s="87"/>
      <c r="AH10" s="87"/>
      <c r="AI10" s="87"/>
      <c r="AJ10" s="87"/>
      <c r="AK10" s="87"/>
      <c r="AL10" s="88"/>
      <c r="AM10" s="78"/>
      <c r="AN10" s="79"/>
      <c r="AO10" s="79"/>
      <c r="AP10" s="79"/>
      <c r="AQ10" s="79"/>
      <c r="AR10" s="79"/>
      <c r="AS10" s="81"/>
      <c r="AT10" s="78"/>
      <c r="AU10" s="79"/>
      <c r="AV10" s="79"/>
      <c r="AW10" s="79"/>
      <c r="AX10" s="79"/>
      <c r="AY10" s="79"/>
      <c r="AZ10" s="81"/>
      <c r="BA10" s="105"/>
      <c r="BB10" s="106"/>
      <c r="BC10" s="106"/>
      <c r="BD10" s="106"/>
      <c r="BE10" s="106"/>
      <c r="BF10" s="107"/>
      <c r="BG10" s="69"/>
      <c r="BH10" s="70"/>
      <c r="BI10" s="70"/>
      <c r="BJ10" s="70"/>
      <c r="BK10" s="70"/>
      <c r="BL10" s="71"/>
      <c r="BM10" s="108"/>
      <c r="BN10" s="109"/>
      <c r="BO10" s="109"/>
      <c r="BP10" s="109"/>
      <c r="BQ10" s="110"/>
      <c r="BR10" s="109"/>
      <c r="BS10" s="109"/>
      <c r="BT10" s="109"/>
      <c r="BU10" s="109"/>
      <c r="BV10" s="110"/>
      <c r="BX10" s="68"/>
      <c r="BY10" s="68"/>
      <c r="BZ10" s="68"/>
      <c r="CA10" s="68"/>
      <c r="CB10" s="68"/>
      <c r="CC10" s="68"/>
      <c r="CE10" s="68"/>
      <c r="CF10" s="68"/>
      <c r="CG10" s="68"/>
      <c r="CH10" s="68"/>
      <c r="CI10" s="68"/>
      <c r="CJ10" s="68"/>
      <c r="CL10" s="68"/>
      <c r="CM10" s="68"/>
      <c r="CN10" s="68"/>
      <c r="CO10" s="68"/>
      <c r="CP10" s="68"/>
      <c r="CQ10" s="68"/>
      <c r="CS10" s="68"/>
      <c r="CT10" s="68"/>
      <c r="CU10" s="68"/>
      <c r="CV10" s="68"/>
      <c r="CW10" s="68"/>
      <c r="CX10" s="68"/>
    </row>
    <row r="11" spans="1:102">
      <c r="A11" s="487"/>
      <c r="B11" s="486"/>
      <c r="C11" s="36" t="s">
        <v>52</v>
      </c>
      <c r="D11" s="92">
        <v>1.2953999999999999</v>
      </c>
      <c r="E11" s="93">
        <v>1.27</v>
      </c>
      <c r="F11" s="93">
        <v>1.25095</v>
      </c>
      <c r="G11" s="93">
        <v>1.241425</v>
      </c>
      <c r="H11" s="93">
        <v>1.2319</v>
      </c>
      <c r="I11" s="93">
        <v>1.2255499999999999</v>
      </c>
      <c r="J11" s="95">
        <v>1.2192000000000001</v>
      </c>
      <c r="K11" s="103">
        <v>1.397</v>
      </c>
      <c r="L11" s="93">
        <v>1.3208</v>
      </c>
      <c r="M11" s="93">
        <v>1.27</v>
      </c>
      <c r="N11" s="93">
        <v>1.25095</v>
      </c>
      <c r="O11" s="93">
        <v>1.2319</v>
      </c>
      <c r="P11" s="93">
        <v>1.2255499999999999</v>
      </c>
      <c r="Q11" s="94">
        <v>1.2192000000000001</v>
      </c>
      <c r="R11" s="96">
        <v>0.99059999999999993</v>
      </c>
      <c r="S11" s="97">
        <v>0.95884999999999998</v>
      </c>
      <c r="T11" s="97">
        <v>0.93345</v>
      </c>
      <c r="U11" s="97">
        <v>0.91757499999999992</v>
      </c>
      <c r="V11" s="97">
        <v>0.90169999999999995</v>
      </c>
      <c r="W11" s="97">
        <v>0.89534999999999998</v>
      </c>
      <c r="X11" s="98">
        <v>0.88900000000000001</v>
      </c>
      <c r="Y11" s="86"/>
      <c r="Z11" s="87"/>
      <c r="AA11" s="87"/>
      <c r="AB11" s="87"/>
      <c r="AC11" s="87"/>
      <c r="AD11" s="87"/>
      <c r="AE11" s="104"/>
      <c r="AF11" s="86"/>
      <c r="AG11" s="87"/>
      <c r="AH11" s="87"/>
      <c r="AI11" s="87"/>
      <c r="AJ11" s="87"/>
      <c r="AK11" s="87"/>
      <c r="AL11" s="88"/>
      <c r="AM11" s="78">
        <v>5.8999999999999997E-2</v>
      </c>
      <c r="AN11" s="79">
        <v>5.8999999999999997E-2</v>
      </c>
      <c r="AO11" s="79">
        <v>5.8999999999999997E-2</v>
      </c>
      <c r="AP11" s="79">
        <v>5.8999999999999997E-2</v>
      </c>
      <c r="AQ11" s="79">
        <v>5.8999999999999997E-2</v>
      </c>
      <c r="AR11" s="79">
        <v>5.8999999999999997E-2</v>
      </c>
      <c r="AS11" s="81">
        <v>5.8999999999999997E-2</v>
      </c>
      <c r="AT11" s="78">
        <v>5.8999999999999997E-2</v>
      </c>
      <c r="AU11" s="79">
        <v>5.8999999999999997E-2</v>
      </c>
      <c r="AV11" s="79">
        <v>5.8999999999999997E-2</v>
      </c>
      <c r="AW11" s="79">
        <v>5.8999999999999997E-2</v>
      </c>
      <c r="AX11" s="79">
        <v>5.8999999999999997E-2</v>
      </c>
      <c r="AY11" s="79">
        <v>5.8999999999999997E-2</v>
      </c>
      <c r="AZ11" s="81">
        <v>5.8999999999999997E-2</v>
      </c>
      <c r="BA11" s="105">
        <v>4.2000000000000003E-2</v>
      </c>
      <c r="BB11" s="106">
        <v>4.2000000000000003E-2</v>
      </c>
      <c r="BC11" s="106">
        <v>4.2000000000000003E-2</v>
      </c>
      <c r="BD11" s="106">
        <v>4.2000000000000003E-2</v>
      </c>
      <c r="BE11" s="106">
        <v>4.2000000000000003E-2</v>
      </c>
      <c r="BF11" s="107">
        <v>4.2000000000000003E-2</v>
      </c>
      <c r="BG11" s="69">
        <v>4.2000000000000003E-2</v>
      </c>
      <c r="BH11" s="70">
        <v>4.2000000000000003E-2</v>
      </c>
      <c r="BI11" s="70">
        <v>4.2000000000000003E-2</v>
      </c>
      <c r="BJ11" s="70">
        <v>4.2000000000000003E-2</v>
      </c>
      <c r="BK11" s="70">
        <v>4.2000000000000003E-2</v>
      </c>
      <c r="BL11" s="71">
        <v>4.2000000000000003E-2</v>
      </c>
      <c r="BM11" s="108"/>
      <c r="BN11" s="109"/>
      <c r="BO11" s="109"/>
      <c r="BP11" s="109"/>
      <c r="BQ11" s="110"/>
      <c r="BR11" s="109"/>
      <c r="BS11" s="109"/>
      <c r="BT11" s="109"/>
      <c r="BU11" s="109"/>
      <c r="BV11" s="110"/>
      <c r="BX11" s="68"/>
      <c r="BY11" s="68"/>
      <c r="BZ11" s="68"/>
      <c r="CA11" s="68"/>
      <c r="CB11" s="68"/>
      <c r="CC11" s="68"/>
      <c r="CE11" s="68"/>
      <c r="CF11" s="68"/>
      <c r="CG11" s="68"/>
      <c r="CH11" s="68"/>
      <c r="CI11" s="68"/>
      <c r="CJ11" s="68"/>
      <c r="CL11" s="68"/>
      <c r="CM11" s="68"/>
      <c r="CN11" s="68"/>
      <c r="CO11" s="68"/>
      <c r="CP11" s="68"/>
      <c r="CQ11" s="68"/>
      <c r="CS11" s="68"/>
      <c r="CT11" s="68"/>
      <c r="CU11" s="68"/>
      <c r="CV11" s="68"/>
      <c r="CW11" s="68"/>
      <c r="CX11" s="68"/>
    </row>
    <row r="12" spans="1:102">
      <c r="A12" s="487"/>
      <c r="B12" s="486"/>
      <c r="C12" s="36" t="s">
        <v>53</v>
      </c>
      <c r="D12" s="92">
        <v>1.2445999999999999</v>
      </c>
      <c r="E12" s="93">
        <v>1.2192000000000001</v>
      </c>
      <c r="F12" s="93">
        <v>1.2064999999999999</v>
      </c>
      <c r="G12" s="93">
        <v>1.2001500000000001</v>
      </c>
      <c r="H12" s="93">
        <v>1.1938</v>
      </c>
      <c r="I12" s="93">
        <v>1.1938</v>
      </c>
      <c r="J12" s="95">
        <v>1.1938</v>
      </c>
      <c r="K12" s="103">
        <v>1.2319</v>
      </c>
      <c r="L12" s="93">
        <v>1.2064999999999999</v>
      </c>
      <c r="M12" s="93">
        <v>1.1874499999999999</v>
      </c>
      <c r="N12" s="93">
        <v>1.171575</v>
      </c>
      <c r="O12" s="93">
        <v>1.1811</v>
      </c>
      <c r="P12" s="93">
        <v>1.1493499999999999</v>
      </c>
      <c r="Q12" s="94">
        <v>1.143</v>
      </c>
      <c r="R12" s="96">
        <v>0.93979999999999997</v>
      </c>
      <c r="S12" s="97">
        <v>0.89534999999999998</v>
      </c>
      <c r="T12" s="97">
        <v>0.88264999999999993</v>
      </c>
      <c r="U12" s="97">
        <v>0.87629999999999997</v>
      </c>
      <c r="V12" s="97">
        <v>0.86995</v>
      </c>
      <c r="W12" s="97">
        <v>0.86804499999999996</v>
      </c>
      <c r="X12" s="98">
        <v>0.86614000000000002</v>
      </c>
      <c r="Y12" s="86"/>
      <c r="Z12" s="87"/>
      <c r="AA12" s="87"/>
      <c r="AB12" s="87"/>
      <c r="AC12" s="87"/>
      <c r="AD12" s="87"/>
      <c r="AE12" s="104"/>
      <c r="AF12" s="86"/>
      <c r="AG12" s="87"/>
      <c r="AH12" s="87"/>
      <c r="AI12" s="87"/>
      <c r="AJ12" s="87"/>
      <c r="AK12" s="87"/>
      <c r="AL12" s="88"/>
      <c r="AM12" s="78"/>
      <c r="AN12" s="79"/>
      <c r="AO12" s="79"/>
      <c r="AP12" s="79"/>
      <c r="AQ12" s="79"/>
      <c r="AR12" s="79"/>
      <c r="AS12" s="81"/>
      <c r="AT12" s="78"/>
      <c r="AU12" s="79"/>
      <c r="AV12" s="79"/>
      <c r="AW12" s="79"/>
      <c r="AX12" s="79"/>
      <c r="AY12" s="79"/>
      <c r="AZ12" s="81"/>
      <c r="BA12" s="105"/>
      <c r="BB12" s="106"/>
      <c r="BC12" s="106"/>
      <c r="BD12" s="106"/>
      <c r="BE12" s="106"/>
      <c r="BF12" s="107"/>
      <c r="BG12" s="69"/>
      <c r="BH12" s="70"/>
      <c r="BI12" s="70"/>
      <c r="BJ12" s="70"/>
      <c r="BK12" s="70"/>
      <c r="BL12" s="71"/>
      <c r="BM12" s="108"/>
      <c r="BN12" s="109"/>
      <c r="BO12" s="109"/>
      <c r="BP12" s="109"/>
      <c r="BQ12" s="110"/>
      <c r="BR12" s="109"/>
      <c r="BS12" s="109"/>
      <c r="BT12" s="109"/>
      <c r="BU12" s="109"/>
      <c r="BV12" s="110"/>
      <c r="BX12" s="68"/>
      <c r="BY12" s="68"/>
      <c r="BZ12" s="68"/>
      <c r="CA12" s="68"/>
      <c r="CB12" s="68"/>
      <c r="CC12" s="68"/>
      <c r="CE12" s="68"/>
      <c r="CF12" s="68"/>
      <c r="CG12" s="68"/>
      <c r="CH12" s="68"/>
      <c r="CI12" s="68"/>
      <c r="CJ12" s="68"/>
      <c r="CL12" s="68"/>
      <c r="CM12" s="68"/>
      <c r="CN12" s="68"/>
      <c r="CO12" s="68"/>
      <c r="CP12" s="68"/>
      <c r="CQ12" s="68"/>
      <c r="CS12" s="68"/>
      <c r="CT12" s="68"/>
      <c r="CU12" s="68"/>
      <c r="CV12" s="68"/>
      <c r="CW12" s="68"/>
      <c r="CX12" s="68"/>
    </row>
    <row r="13" spans="1:102">
      <c r="A13" s="34" t="s">
        <v>56</v>
      </c>
      <c r="B13" s="35" t="s">
        <v>57</v>
      </c>
      <c r="C13" s="36"/>
      <c r="D13" s="111">
        <v>30</v>
      </c>
      <c r="E13" s="112">
        <v>30</v>
      </c>
      <c r="F13" s="112">
        <v>30</v>
      </c>
      <c r="G13" s="112">
        <v>30</v>
      </c>
      <c r="H13" s="112">
        <v>30</v>
      </c>
      <c r="I13" s="112">
        <v>30</v>
      </c>
      <c r="J13" s="113">
        <v>30</v>
      </c>
      <c r="K13" s="114">
        <v>30</v>
      </c>
      <c r="L13" s="112">
        <v>30</v>
      </c>
      <c r="M13" s="112">
        <v>30</v>
      </c>
      <c r="N13" s="112">
        <v>30</v>
      </c>
      <c r="O13" s="112">
        <v>30</v>
      </c>
      <c r="P13" s="112">
        <v>30</v>
      </c>
      <c r="Q13" s="115">
        <v>30</v>
      </c>
      <c r="R13" s="116">
        <v>30</v>
      </c>
      <c r="S13" s="117">
        <v>30</v>
      </c>
      <c r="T13" s="117">
        <v>30</v>
      </c>
      <c r="U13" s="117">
        <v>30</v>
      </c>
      <c r="V13" s="117">
        <v>30</v>
      </c>
      <c r="W13" s="117">
        <v>30</v>
      </c>
      <c r="X13" s="118">
        <v>30</v>
      </c>
      <c r="Y13" s="50">
        <v>40</v>
      </c>
      <c r="Z13" s="48">
        <v>40</v>
      </c>
      <c r="AA13" s="48">
        <v>40</v>
      </c>
      <c r="AB13" s="48">
        <v>40</v>
      </c>
      <c r="AC13" s="48">
        <v>40</v>
      </c>
      <c r="AD13" s="48">
        <v>40</v>
      </c>
      <c r="AE13" s="119">
        <v>40</v>
      </c>
      <c r="AF13" s="50">
        <v>40</v>
      </c>
      <c r="AG13" s="48">
        <v>40</v>
      </c>
      <c r="AH13" s="48">
        <v>40</v>
      </c>
      <c r="AI13" s="48">
        <v>40</v>
      </c>
      <c r="AJ13" s="48">
        <v>40</v>
      </c>
      <c r="AK13" s="48">
        <v>40</v>
      </c>
      <c r="AL13" s="49">
        <v>40</v>
      </c>
      <c r="AM13" s="50">
        <v>40</v>
      </c>
      <c r="AN13" s="48">
        <v>40</v>
      </c>
      <c r="AO13" s="48">
        <v>40</v>
      </c>
      <c r="AP13" s="48">
        <v>40</v>
      </c>
      <c r="AQ13" s="48">
        <v>40</v>
      </c>
      <c r="AR13" s="48">
        <v>40</v>
      </c>
      <c r="AS13" s="49">
        <v>40</v>
      </c>
      <c r="AT13" s="50">
        <v>40</v>
      </c>
      <c r="AU13" s="48">
        <v>40</v>
      </c>
      <c r="AV13" s="48">
        <v>40</v>
      </c>
      <c r="AW13" s="48">
        <v>40</v>
      </c>
      <c r="AX13" s="48">
        <v>40</v>
      </c>
      <c r="AY13" s="48">
        <v>40</v>
      </c>
      <c r="AZ13" s="49">
        <v>40</v>
      </c>
      <c r="BA13" s="50">
        <v>40</v>
      </c>
      <c r="BB13" s="48">
        <v>40</v>
      </c>
      <c r="BC13" s="48">
        <v>40</v>
      </c>
      <c r="BD13" s="48">
        <v>40</v>
      </c>
      <c r="BE13" s="48">
        <v>40</v>
      </c>
      <c r="BF13" s="49">
        <v>40</v>
      </c>
      <c r="BG13" s="50">
        <v>40</v>
      </c>
      <c r="BH13" s="48">
        <v>40</v>
      </c>
      <c r="BI13" s="48">
        <v>40</v>
      </c>
      <c r="BJ13" s="48">
        <v>40</v>
      </c>
      <c r="BK13" s="48">
        <v>40</v>
      </c>
      <c r="BL13" s="49">
        <v>40</v>
      </c>
      <c r="BM13" s="120">
        <v>30</v>
      </c>
      <c r="BN13" s="48">
        <v>30</v>
      </c>
      <c r="BO13" s="48">
        <v>30</v>
      </c>
      <c r="BP13" s="48">
        <v>30</v>
      </c>
      <c r="BQ13" s="49">
        <v>30</v>
      </c>
      <c r="BR13" s="48">
        <v>30</v>
      </c>
      <c r="BS13" s="48">
        <v>30</v>
      </c>
      <c r="BT13" s="48">
        <v>30</v>
      </c>
      <c r="BU13" s="48">
        <v>30</v>
      </c>
      <c r="BV13" s="49">
        <v>30</v>
      </c>
      <c r="BX13" s="121"/>
      <c r="BY13" s="121"/>
      <c r="BZ13" s="121"/>
      <c r="CA13" s="121"/>
      <c r="CB13" s="121"/>
      <c r="CC13" s="121"/>
      <c r="CE13" s="121"/>
      <c r="CF13" s="121"/>
      <c r="CG13" s="121"/>
      <c r="CH13" s="121"/>
      <c r="CI13" s="121"/>
      <c r="CJ13" s="121"/>
      <c r="CL13" s="121"/>
      <c r="CM13" s="121"/>
      <c r="CN13" s="121"/>
      <c r="CO13" s="121"/>
      <c r="CP13" s="121"/>
      <c r="CQ13" s="121"/>
      <c r="CS13" s="121"/>
      <c r="CT13" s="121"/>
      <c r="CU13" s="121"/>
      <c r="CV13" s="121"/>
      <c r="CW13" s="121"/>
      <c r="CX13" s="121"/>
    </row>
    <row r="14" spans="1:102">
      <c r="A14" s="485" t="s">
        <v>58</v>
      </c>
      <c r="B14" s="486" t="s">
        <v>59</v>
      </c>
      <c r="C14" s="36" t="s">
        <v>51</v>
      </c>
      <c r="D14" s="111">
        <v>729.44</v>
      </c>
      <c r="E14" s="112">
        <v>579.73</v>
      </c>
      <c r="F14" s="112">
        <v>493.65000000000003</v>
      </c>
      <c r="G14" s="112">
        <v>467.82</v>
      </c>
      <c r="H14" s="112">
        <v>442.24</v>
      </c>
      <c r="I14" s="112">
        <v>435.64</v>
      </c>
      <c r="J14" s="113">
        <v>429.04</v>
      </c>
      <c r="K14" s="114">
        <v>953.59</v>
      </c>
      <c r="L14" s="112">
        <v>600.38</v>
      </c>
      <c r="M14" s="112">
        <v>433.33</v>
      </c>
      <c r="N14" s="112">
        <v>391.91</v>
      </c>
      <c r="O14" s="112">
        <v>359.17</v>
      </c>
      <c r="P14" s="112">
        <v>343.16</v>
      </c>
      <c r="Q14" s="115">
        <v>334.95</v>
      </c>
      <c r="R14" s="111">
        <v>1351.03</v>
      </c>
      <c r="S14" s="112">
        <v>891.09</v>
      </c>
      <c r="T14" s="112">
        <v>683.24</v>
      </c>
      <c r="U14" s="112">
        <v>629.87</v>
      </c>
      <c r="V14" s="112">
        <v>577.21</v>
      </c>
      <c r="W14" s="112">
        <v>551.95000000000005</v>
      </c>
      <c r="X14" s="49">
        <v>526.79</v>
      </c>
      <c r="Y14" s="50"/>
      <c r="Z14" s="48"/>
      <c r="AA14" s="48"/>
      <c r="AB14" s="48"/>
      <c r="AC14" s="48"/>
      <c r="AD14" s="48"/>
      <c r="AE14" s="119"/>
      <c r="AF14" s="50"/>
      <c r="AG14" s="48"/>
      <c r="AH14" s="48"/>
      <c r="AI14" s="48"/>
      <c r="AJ14" s="48"/>
      <c r="AK14" s="48"/>
      <c r="AL14" s="49"/>
      <c r="AM14" s="50"/>
      <c r="AN14" s="48"/>
      <c r="AO14" s="48"/>
      <c r="AP14" s="48"/>
      <c r="AQ14" s="48"/>
      <c r="AR14" s="48"/>
      <c r="AS14" s="49"/>
      <c r="AT14" s="50"/>
      <c r="AU14" s="48"/>
      <c r="AV14" s="48"/>
      <c r="AW14" s="48"/>
      <c r="AX14" s="48"/>
      <c r="AY14" s="48"/>
      <c r="AZ14" s="49"/>
      <c r="BA14" s="50"/>
      <c r="BB14" s="48"/>
      <c r="BC14" s="48"/>
      <c r="BD14" s="48"/>
      <c r="BE14" s="48"/>
      <c r="BF14" s="49"/>
      <c r="BG14" s="50"/>
      <c r="BH14" s="48"/>
      <c r="BI14" s="48"/>
      <c r="BJ14" s="48"/>
      <c r="BK14" s="48"/>
      <c r="BL14" s="49"/>
      <c r="BM14" s="120"/>
      <c r="BN14" s="48"/>
      <c r="BO14" s="48"/>
      <c r="BP14" s="48"/>
      <c r="BQ14" s="49"/>
      <c r="BR14" s="44"/>
      <c r="BS14" s="44"/>
      <c r="BT14" s="44"/>
      <c r="BU14" s="44"/>
      <c r="BV14" s="45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</row>
    <row r="15" spans="1:102">
      <c r="A15" s="485"/>
      <c r="B15" s="486"/>
      <c r="C15" s="36" t="s">
        <v>52</v>
      </c>
      <c r="D15" s="111">
        <v>859.49</v>
      </c>
      <c r="E15" s="112">
        <v>744.33</v>
      </c>
      <c r="F15" s="112">
        <v>670.92</v>
      </c>
      <c r="G15" s="112">
        <v>652.08000000000004</v>
      </c>
      <c r="H15" s="112">
        <v>633.45000000000005</v>
      </c>
      <c r="I15" s="112">
        <v>623.41</v>
      </c>
      <c r="J15" s="113">
        <v>613.44000000000005</v>
      </c>
      <c r="K15" s="114">
        <v>1158.6300000000001</v>
      </c>
      <c r="L15" s="112">
        <v>730.29</v>
      </c>
      <c r="M15" s="112">
        <v>561.76</v>
      </c>
      <c r="N15" s="112">
        <v>518.75</v>
      </c>
      <c r="O15" s="112">
        <v>476.79</v>
      </c>
      <c r="P15" s="112">
        <v>467.56</v>
      </c>
      <c r="Q15" s="115">
        <v>458.40000000000003</v>
      </c>
      <c r="R15" s="111">
        <v>1796.5</v>
      </c>
      <c r="S15" s="112">
        <v>1304.19</v>
      </c>
      <c r="T15" s="112">
        <v>1032.23</v>
      </c>
      <c r="U15" s="112">
        <v>913.21</v>
      </c>
      <c r="V15" s="112">
        <v>797.7</v>
      </c>
      <c r="W15" s="112">
        <v>742.57</v>
      </c>
      <c r="X15" s="115">
        <v>688.15</v>
      </c>
      <c r="Y15" s="111">
        <v>774.08</v>
      </c>
      <c r="Z15" s="112">
        <v>727.25</v>
      </c>
      <c r="AA15" s="112">
        <v>681.89</v>
      </c>
      <c r="AB15" s="112">
        <v>639.45000000000005</v>
      </c>
      <c r="AC15" s="112">
        <v>599.95000000000005</v>
      </c>
      <c r="AD15" s="112">
        <v>563.36</v>
      </c>
      <c r="AE15" s="115">
        <v>528.25</v>
      </c>
      <c r="AF15" s="122">
        <v>584.98</v>
      </c>
      <c r="AG15" s="112">
        <v>549.59</v>
      </c>
      <c r="AH15" s="112">
        <v>515.31000000000006</v>
      </c>
      <c r="AI15" s="112">
        <v>483.25</v>
      </c>
      <c r="AJ15" s="123">
        <v>453.39</v>
      </c>
      <c r="AK15" s="112">
        <v>425.74</v>
      </c>
      <c r="AL15" s="115">
        <v>399.2</v>
      </c>
      <c r="AM15" s="111">
        <v>908.99</v>
      </c>
      <c r="AN15" s="112">
        <v>864.69</v>
      </c>
      <c r="AO15" s="112">
        <v>818.74</v>
      </c>
      <c r="AP15" s="112">
        <v>751.47</v>
      </c>
      <c r="AQ15" s="112">
        <v>705.53</v>
      </c>
      <c r="AR15" s="112">
        <v>661.23</v>
      </c>
      <c r="AS15" s="113">
        <v>620.21</v>
      </c>
      <c r="AT15" s="114">
        <v>612.63</v>
      </c>
      <c r="AU15" s="112">
        <v>582.77</v>
      </c>
      <c r="AV15" s="112">
        <v>551.81000000000006</v>
      </c>
      <c r="AW15" s="112">
        <v>506.47</v>
      </c>
      <c r="AX15" s="112">
        <v>475.5</v>
      </c>
      <c r="AY15" s="112">
        <v>445.65000000000003</v>
      </c>
      <c r="AZ15" s="115">
        <v>418</v>
      </c>
      <c r="BA15" s="111">
        <v>873.6</v>
      </c>
      <c r="BB15" s="112">
        <v>828.71</v>
      </c>
      <c r="BC15" s="112">
        <v>761.38</v>
      </c>
      <c r="BD15" s="112">
        <v>714.76</v>
      </c>
      <c r="BE15" s="112">
        <v>668.15</v>
      </c>
      <c r="BF15" s="115">
        <v>628.44000000000005</v>
      </c>
      <c r="BG15" s="111">
        <v>559.55000000000007</v>
      </c>
      <c r="BH15" s="112">
        <v>530.79999999999995</v>
      </c>
      <c r="BI15" s="112">
        <v>487.67</v>
      </c>
      <c r="BJ15" s="112">
        <v>457.81</v>
      </c>
      <c r="BK15" s="112">
        <v>427.95</v>
      </c>
      <c r="BL15" s="115">
        <v>402.52</v>
      </c>
      <c r="BM15" s="124">
        <v>2607.17</v>
      </c>
      <c r="BN15" s="125">
        <v>2516.92</v>
      </c>
      <c r="BO15" s="125">
        <v>2426.67</v>
      </c>
      <c r="BP15" s="125">
        <v>2366.5100000000002</v>
      </c>
      <c r="BQ15" s="126">
        <v>2306.34</v>
      </c>
      <c r="BR15" s="127">
        <v>1134.8399999999999</v>
      </c>
      <c r="BS15" s="128">
        <v>1095.55</v>
      </c>
      <c r="BT15" s="128">
        <v>1056.27</v>
      </c>
      <c r="BU15" s="128">
        <v>1030.08</v>
      </c>
      <c r="BV15" s="129">
        <v>1003.89</v>
      </c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29"/>
      <c r="CW15" s="29"/>
      <c r="CX15" s="29"/>
    </row>
    <row r="16" spans="1:102">
      <c r="A16" s="485"/>
      <c r="B16" s="486"/>
      <c r="C16" s="36" t="s">
        <v>53</v>
      </c>
      <c r="D16" s="124">
        <v>1179.69</v>
      </c>
      <c r="E16" s="125">
        <v>1033.6400000000001</v>
      </c>
      <c r="F16" s="125">
        <v>975.21</v>
      </c>
      <c r="G16" s="125">
        <v>942.35</v>
      </c>
      <c r="H16" s="112">
        <v>910.05000000000007</v>
      </c>
      <c r="I16" s="112">
        <v>894.11</v>
      </c>
      <c r="J16" s="113">
        <v>878.31000000000006</v>
      </c>
      <c r="K16" s="114">
        <v>1887.51</v>
      </c>
      <c r="L16" s="112">
        <v>1458.33</v>
      </c>
      <c r="M16" s="112">
        <v>1215.93</v>
      </c>
      <c r="N16" s="112">
        <v>1092.06</v>
      </c>
      <c r="O16" s="112">
        <v>973.25</v>
      </c>
      <c r="P16" s="112">
        <v>934.77</v>
      </c>
      <c r="Q16" s="115">
        <v>896.85</v>
      </c>
      <c r="R16" s="111">
        <v>2584.09</v>
      </c>
      <c r="S16" s="112">
        <v>2081.3200000000002</v>
      </c>
      <c r="T16" s="112">
        <v>1707.75</v>
      </c>
      <c r="U16" s="112">
        <v>1585.21</v>
      </c>
      <c r="V16" s="112">
        <v>1412.47</v>
      </c>
      <c r="W16" s="112">
        <v>1355.59</v>
      </c>
      <c r="X16" s="49">
        <v>1299.07</v>
      </c>
      <c r="Y16" s="50"/>
      <c r="Z16" s="48"/>
      <c r="AA16" s="48"/>
      <c r="AB16" s="48"/>
      <c r="AC16" s="48"/>
      <c r="AD16" s="48"/>
      <c r="AE16" s="119"/>
      <c r="AF16" s="50"/>
      <c r="AG16" s="48"/>
      <c r="AH16" s="48"/>
      <c r="AI16" s="48"/>
      <c r="AJ16" s="48"/>
      <c r="AK16" s="48"/>
      <c r="AL16" s="49"/>
      <c r="AM16" s="50"/>
      <c r="AN16" s="48"/>
      <c r="AO16" s="48"/>
      <c r="AP16" s="48"/>
      <c r="AQ16" s="48"/>
      <c r="AR16" s="48"/>
      <c r="AS16" s="49"/>
      <c r="AT16" s="50"/>
      <c r="AU16" s="48"/>
      <c r="AV16" s="48"/>
      <c r="AW16" s="48"/>
      <c r="AX16" s="48"/>
      <c r="AY16" s="48"/>
      <c r="AZ16" s="49"/>
      <c r="BA16" s="50"/>
      <c r="BB16" s="48"/>
      <c r="BC16" s="48"/>
      <c r="BD16" s="48"/>
      <c r="BE16" s="48"/>
      <c r="BF16" s="49"/>
      <c r="BG16" s="50"/>
      <c r="BH16" s="48"/>
      <c r="BI16" s="48"/>
      <c r="BJ16" s="48"/>
      <c r="BK16" s="48"/>
      <c r="BL16" s="49"/>
      <c r="BM16" s="120"/>
      <c r="BN16" s="48"/>
      <c r="BO16" s="48"/>
      <c r="BP16" s="48"/>
      <c r="BQ16" s="49"/>
      <c r="BR16" s="44"/>
      <c r="BS16" s="44"/>
      <c r="BT16" s="44"/>
      <c r="BU16" s="44"/>
      <c r="BV16" s="45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</row>
    <row r="17" spans="1:102">
      <c r="A17" s="34" t="s">
        <v>60</v>
      </c>
      <c r="B17" s="35" t="s">
        <v>57</v>
      </c>
      <c r="C17" s="36"/>
      <c r="D17" s="43">
        <v>3</v>
      </c>
      <c r="E17" s="130">
        <v>3</v>
      </c>
      <c r="F17" s="48">
        <v>3</v>
      </c>
      <c r="G17" s="48">
        <v>3</v>
      </c>
      <c r="H17" s="48">
        <v>3</v>
      </c>
      <c r="I17" s="48">
        <v>3</v>
      </c>
      <c r="J17" s="49">
        <v>3</v>
      </c>
      <c r="K17" s="46">
        <v>3</v>
      </c>
      <c r="L17" s="130">
        <v>3</v>
      </c>
      <c r="M17" s="48">
        <v>3</v>
      </c>
      <c r="N17" s="48">
        <v>3</v>
      </c>
      <c r="O17" s="48">
        <v>3</v>
      </c>
      <c r="P17" s="48">
        <v>3</v>
      </c>
      <c r="Q17" s="119">
        <v>3</v>
      </c>
      <c r="R17" s="131">
        <v>3</v>
      </c>
      <c r="S17" s="130">
        <v>3</v>
      </c>
      <c r="T17" s="48">
        <v>3</v>
      </c>
      <c r="U17" s="48">
        <v>3</v>
      </c>
      <c r="V17" s="48">
        <v>3</v>
      </c>
      <c r="W17" s="48">
        <v>3</v>
      </c>
      <c r="X17" s="49">
        <v>3</v>
      </c>
      <c r="Y17" s="43">
        <v>3</v>
      </c>
      <c r="Z17" s="130">
        <v>3</v>
      </c>
      <c r="AA17" s="48">
        <v>3</v>
      </c>
      <c r="AB17" s="48">
        <v>3</v>
      </c>
      <c r="AC17" s="48">
        <v>3</v>
      </c>
      <c r="AD17" s="48">
        <v>3</v>
      </c>
      <c r="AE17" s="119">
        <v>3</v>
      </c>
      <c r="AF17" s="43">
        <v>3</v>
      </c>
      <c r="AG17" s="130">
        <v>3</v>
      </c>
      <c r="AH17" s="48">
        <v>3</v>
      </c>
      <c r="AI17" s="48">
        <v>3</v>
      </c>
      <c r="AJ17" s="48">
        <v>3</v>
      </c>
      <c r="AK17" s="48">
        <v>3</v>
      </c>
      <c r="AL17" s="49">
        <v>3</v>
      </c>
      <c r="AM17" s="43">
        <v>3</v>
      </c>
      <c r="AN17" s="130">
        <v>3</v>
      </c>
      <c r="AO17" s="48">
        <v>3</v>
      </c>
      <c r="AP17" s="48">
        <v>3</v>
      </c>
      <c r="AQ17" s="48">
        <v>3</v>
      </c>
      <c r="AR17" s="48">
        <v>3</v>
      </c>
      <c r="AS17" s="49">
        <v>3</v>
      </c>
      <c r="AT17" s="43">
        <v>3</v>
      </c>
      <c r="AU17" s="130">
        <v>3</v>
      </c>
      <c r="AV17" s="48">
        <v>3</v>
      </c>
      <c r="AW17" s="48">
        <v>3</v>
      </c>
      <c r="AX17" s="48">
        <v>3</v>
      </c>
      <c r="AY17" s="48">
        <v>3</v>
      </c>
      <c r="AZ17" s="49">
        <v>3</v>
      </c>
      <c r="BA17" s="131">
        <v>3</v>
      </c>
      <c r="BB17" s="48">
        <v>3</v>
      </c>
      <c r="BC17" s="48">
        <v>3</v>
      </c>
      <c r="BD17" s="48">
        <v>3</v>
      </c>
      <c r="BE17" s="48">
        <v>3</v>
      </c>
      <c r="BF17" s="49">
        <v>3</v>
      </c>
      <c r="BG17" s="131">
        <v>3</v>
      </c>
      <c r="BH17" s="48">
        <v>3</v>
      </c>
      <c r="BI17" s="48">
        <v>3</v>
      </c>
      <c r="BJ17" s="48">
        <v>3</v>
      </c>
      <c r="BK17" s="48">
        <v>3</v>
      </c>
      <c r="BL17" s="49">
        <v>3</v>
      </c>
      <c r="BM17" s="120">
        <v>3</v>
      </c>
      <c r="BN17" s="48">
        <v>3</v>
      </c>
      <c r="BO17" s="48">
        <v>3</v>
      </c>
      <c r="BP17" s="48">
        <v>3</v>
      </c>
      <c r="BQ17" s="49">
        <v>3</v>
      </c>
      <c r="BR17" s="48">
        <v>3</v>
      </c>
      <c r="BS17" s="48">
        <v>3</v>
      </c>
      <c r="BT17" s="48">
        <v>3</v>
      </c>
      <c r="BU17" s="48">
        <v>3</v>
      </c>
      <c r="BV17" s="49">
        <v>3</v>
      </c>
      <c r="BX17" s="132"/>
      <c r="BY17" s="51"/>
      <c r="BZ17" s="51"/>
      <c r="CA17" s="51"/>
      <c r="CB17" s="51"/>
      <c r="CC17" s="51"/>
      <c r="CE17" s="132"/>
      <c r="CF17" s="51"/>
      <c r="CG17" s="51"/>
      <c r="CH17" s="51"/>
      <c r="CI17" s="51"/>
      <c r="CJ17" s="51"/>
      <c r="CL17" s="132"/>
      <c r="CM17" s="51"/>
      <c r="CN17" s="51"/>
      <c r="CO17" s="51"/>
      <c r="CP17" s="51"/>
      <c r="CQ17" s="51"/>
      <c r="CS17" s="132"/>
      <c r="CT17" s="51"/>
      <c r="CU17" s="51"/>
      <c r="CV17" s="51"/>
      <c r="CW17" s="51"/>
      <c r="CX17" s="51"/>
    </row>
    <row r="18" spans="1:102">
      <c r="A18" s="487" t="s">
        <v>61</v>
      </c>
      <c r="B18" s="35" t="s">
        <v>47</v>
      </c>
      <c r="C18" s="36" t="s">
        <v>62</v>
      </c>
      <c r="D18" s="133">
        <v>0.33333333333333331</v>
      </c>
      <c r="E18" s="134">
        <v>0.33333333333333331</v>
      </c>
      <c r="F18" s="134">
        <v>0.33333333333333331</v>
      </c>
      <c r="G18" s="134">
        <v>0.33333333333333331</v>
      </c>
      <c r="H18" s="134">
        <v>0.33333333333333331</v>
      </c>
      <c r="I18" s="134">
        <v>0.33333333333333331</v>
      </c>
      <c r="J18" s="135">
        <v>0.33333333333333331</v>
      </c>
      <c r="K18" s="136">
        <v>0.33333333333333331</v>
      </c>
      <c r="L18" s="134">
        <v>0.33333333333333331</v>
      </c>
      <c r="M18" s="134">
        <v>0.33333333333333331</v>
      </c>
      <c r="N18" s="134">
        <v>0.33333333333333331</v>
      </c>
      <c r="O18" s="134">
        <v>0.33333333333333331</v>
      </c>
      <c r="P18" s="134">
        <v>0.33333333333333331</v>
      </c>
      <c r="Q18" s="137">
        <v>0.33333333333333331</v>
      </c>
      <c r="R18" s="133">
        <v>0.33333333333333331</v>
      </c>
      <c r="S18" s="134">
        <v>0.33333333333333331</v>
      </c>
      <c r="T18" s="134">
        <v>0.33333333333333331</v>
      </c>
      <c r="U18" s="134">
        <v>0.33333333333333331</v>
      </c>
      <c r="V18" s="134">
        <v>0.33333333333333331</v>
      </c>
      <c r="W18" s="134">
        <v>0.33333333333333331</v>
      </c>
      <c r="X18" s="135">
        <v>0.33333333333333331</v>
      </c>
      <c r="Y18" s="133">
        <v>0.33333333333333331</v>
      </c>
      <c r="Z18" s="134">
        <v>0.33333333333333331</v>
      </c>
      <c r="AA18" s="134">
        <v>0.33333333333333331</v>
      </c>
      <c r="AB18" s="134">
        <v>0.33333333333333331</v>
      </c>
      <c r="AC18" s="134">
        <v>0.33333333333333331</v>
      </c>
      <c r="AD18" s="134">
        <v>0.33333333333333331</v>
      </c>
      <c r="AE18" s="137">
        <v>0.33333333333333331</v>
      </c>
      <c r="AF18" s="133">
        <v>0.33333333333333331</v>
      </c>
      <c r="AG18" s="134">
        <v>0.33333333333333331</v>
      </c>
      <c r="AH18" s="134">
        <v>0.33333333333333331</v>
      </c>
      <c r="AI18" s="134">
        <v>0.33333333333333331</v>
      </c>
      <c r="AJ18" s="134">
        <v>0.33333333333333331</v>
      </c>
      <c r="AK18" s="134">
        <v>0.33333333333333331</v>
      </c>
      <c r="AL18" s="135">
        <v>0.33333333333333331</v>
      </c>
      <c r="AM18" s="133">
        <v>0.33333333333333331</v>
      </c>
      <c r="AN18" s="134">
        <v>0.33333333333333331</v>
      </c>
      <c r="AO18" s="134">
        <v>0.33333333333333331</v>
      </c>
      <c r="AP18" s="134">
        <v>0.33333333333333331</v>
      </c>
      <c r="AQ18" s="134">
        <v>0.33333333333333331</v>
      </c>
      <c r="AR18" s="134">
        <v>0.33333333333333331</v>
      </c>
      <c r="AS18" s="135">
        <v>0.33333333333333331</v>
      </c>
      <c r="AT18" s="133">
        <v>0.33333333333333331</v>
      </c>
      <c r="AU18" s="134">
        <v>0.33333333333333331</v>
      </c>
      <c r="AV18" s="134">
        <v>0.33333333333333331</v>
      </c>
      <c r="AW18" s="134">
        <v>0.33333333333333331</v>
      </c>
      <c r="AX18" s="134">
        <v>0.33333333333333331</v>
      </c>
      <c r="AY18" s="134">
        <v>0.33333333333333331</v>
      </c>
      <c r="AZ18" s="135">
        <v>0.33333333333333331</v>
      </c>
      <c r="BA18" s="133">
        <v>0.33333333333333331</v>
      </c>
      <c r="BB18" s="134">
        <v>0.33333333333333331</v>
      </c>
      <c r="BC18" s="134">
        <v>0.33333333333333331</v>
      </c>
      <c r="BD18" s="134">
        <v>0.33333333333333331</v>
      </c>
      <c r="BE18" s="134">
        <v>0.33333333333333331</v>
      </c>
      <c r="BF18" s="135">
        <v>0.33333333333333331</v>
      </c>
      <c r="BG18" s="133">
        <v>0.33333333333333331</v>
      </c>
      <c r="BH18" s="134">
        <v>0.33333333333333331</v>
      </c>
      <c r="BI18" s="134">
        <v>0.33333333333333331</v>
      </c>
      <c r="BJ18" s="134">
        <v>0.33333333333333331</v>
      </c>
      <c r="BK18" s="134">
        <v>0.33333333333333331</v>
      </c>
      <c r="BL18" s="135">
        <v>0.33333333333333331</v>
      </c>
      <c r="BM18" s="136">
        <v>0.33333333333333331</v>
      </c>
      <c r="BN18" s="134">
        <v>0.33333333333333331</v>
      </c>
      <c r="BO18" s="134">
        <v>0.33333333333333331</v>
      </c>
      <c r="BP18" s="134">
        <v>0.33333333333333331</v>
      </c>
      <c r="BQ18" s="135">
        <v>0.33333333333333331</v>
      </c>
      <c r="BR18" s="134">
        <v>0.33333333333333331</v>
      </c>
      <c r="BS18" s="134">
        <v>0.33333333333333331</v>
      </c>
      <c r="BT18" s="134">
        <v>0.33333333333333331</v>
      </c>
      <c r="BU18" s="134">
        <v>0.33333333333333331</v>
      </c>
      <c r="BV18" s="135">
        <v>0.33333333333333331</v>
      </c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  <c r="CT18" s="138"/>
      <c r="CU18" s="138"/>
      <c r="CV18" s="138"/>
      <c r="CW18" s="138"/>
      <c r="CX18" s="138"/>
    </row>
    <row r="19" spans="1:102">
      <c r="A19" s="487"/>
      <c r="B19" s="35" t="s">
        <v>47</v>
      </c>
      <c r="C19" s="36" t="s">
        <v>63</v>
      </c>
      <c r="D19" s="133">
        <v>0.33333333333333331</v>
      </c>
      <c r="E19" s="134">
        <v>0.33333333333333331</v>
      </c>
      <c r="F19" s="134">
        <v>0.33333333333333331</v>
      </c>
      <c r="G19" s="134">
        <v>0.33333333333333331</v>
      </c>
      <c r="H19" s="134">
        <v>0.33333333333333331</v>
      </c>
      <c r="I19" s="134">
        <v>0.33333333333333331</v>
      </c>
      <c r="J19" s="135">
        <v>0.33333333333333331</v>
      </c>
      <c r="K19" s="136">
        <v>0.33333333333333331</v>
      </c>
      <c r="L19" s="134">
        <v>0.33333333333333331</v>
      </c>
      <c r="M19" s="134">
        <v>0.33333333333333331</v>
      </c>
      <c r="N19" s="134">
        <v>0.33333333333333331</v>
      </c>
      <c r="O19" s="134">
        <v>0.33333333333333331</v>
      </c>
      <c r="P19" s="134">
        <v>0.33333333333333331</v>
      </c>
      <c r="Q19" s="137">
        <v>0.33333333333333331</v>
      </c>
      <c r="R19" s="133">
        <v>0.33333333333333331</v>
      </c>
      <c r="S19" s="134">
        <v>0.33333333333333331</v>
      </c>
      <c r="T19" s="134">
        <v>0.33333333333333331</v>
      </c>
      <c r="U19" s="134">
        <v>0.33333333333333331</v>
      </c>
      <c r="V19" s="134">
        <v>0.33333333333333331</v>
      </c>
      <c r="W19" s="134">
        <v>0.33333333333333331</v>
      </c>
      <c r="X19" s="135">
        <v>0.33333333333333331</v>
      </c>
      <c r="Y19" s="133">
        <v>0.33333333333333331</v>
      </c>
      <c r="Z19" s="134">
        <v>0.33333333333333331</v>
      </c>
      <c r="AA19" s="134">
        <v>0.33333333333333331</v>
      </c>
      <c r="AB19" s="134">
        <v>0.33333333333333331</v>
      </c>
      <c r="AC19" s="134">
        <v>0.33333333333333331</v>
      </c>
      <c r="AD19" s="134">
        <v>0.33333333333333331</v>
      </c>
      <c r="AE19" s="137">
        <v>0.33333333333333331</v>
      </c>
      <c r="AF19" s="133">
        <v>0.33333333333333331</v>
      </c>
      <c r="AG19" s="134">
        <v>0.33333333333333331</v>
      </c>
      <c r="AH19" s="134">
        <v>0.33333333333333331</v>
      </c>
      <c r="AI19" s="134">
        <v>0.33333333333333331</v>
      </c>
      <c r="AJ19" s="134">
        <v>0.33333333333333331</v>
      </c>
      <c r="AK19" s="134">
        <v>0.33333333333333331</v>
      </c>
      <c r="AL19" s="135">
        <v>0.33333333333333331</v>
      </c>
      <c r="AM19" s="133">
        <v>0.33333333333333331</v>
      </c>
      <c r="AN19" s="134">
        <v>0.33333333333333331</v>
      </c>
      <c r="AO19" s="134">
        <v>0.33333333333333331</v>
      </c>
      <c r="AP19" s="134">
        <v>0.33333333333333331</v>
      </c>
      <c r="AQ19" s="134">
        <v>0.33333333333333331</v>
      </c>
      <c r="AR19" s="134">
        <v>0.33333333333333331</v>
      </c>
      <c r="AS19" s="135">
        <v>0.33333333333333331</v>
      </c>
      <c r="AT19" s="133">
        <v>0.33333333333333331</v>
      </c>
      <c r="AU19" s="134">
        <v>0.33333333333333331</v>
      </c>
      <c r="AV19" s="134">
        <v>0.33333333333333331</v>
      </c>
      <c r="AW19" s="134">
        <v>0.33333333333333331</v>
      </c>
      <c r="AX19" s="134">
        <v>0.33333333333333331</v>
      </c>
      <c r="AY19" s="134">
        <v>0.33333333333333331</v>
      </c>
      <c r="AZ19" s="135">
        <v>0.33333333333333331</v>
      </c>
      <c r="BA19" s="133">
        <v>0.33333333333333331</v>
      </c>
      <c r="BB19" s="134">
        <v>0.33333333333333331</v>
      </c>
      <c r="BC19" s="134">
        <v>0.33333333333333331</v>
      </c>
      <c r="BD19" s="134">
        <v>0.33333333333333331</v>
      </c>
      <c r="BE19" s="134">
        <v>0.33333333333333331</v>
      </c>
      <c r="BF19" s="135">
        <v>0.33333333333333331</v>
      </c>
      <c r="BG19" s="133">
        <v>0.33333333333333331</v>
      </c>
      <c r="BH19" s="134">
        <v>0.33333333333333331</v>
      </c>
      <c r="BI19" s="134">
        <v>0.33333333333333331</v>
      </c>
      <c r="BJ19" s="134">
        <v>0.33333333333333331</v>
      </c>
      <c r="BK19" s="134">
        <v>0.33333333333333331</v>
      </c>
      <c r="BL19" s="135">
        <v>0.33333333333333331</v>
      </c>
      <c r="BM19" s="136">
        <v>0.33333333333333331</v>
      </c>
      <c r="BN19" s="134">
        <v>0.33333333333333331</v>
      </c>
      <c r="BO19" s="134">
        <v>0.33333333333333331</v>
      </c>
      <c r="BP19" s="134">
        <v>0.33333333333333331</v>
      </c>
      <c r="BQ19" s="135">
        <v>0.33333333333333331</v>
      </c>
      <c r="BR19" s="134">
        <v>0.33333333333333331</v>
      </c>
      <c r="BS19" s="134">
        <v>0.33333333333333331</v>
      </c>
      <c r="BT19" s="134">
        <v>0.33333333333333331</v>
      </c>
      <c r="BU19" s="134">
        <v>0.33333333333333331</v>
      </c>
      <c r="BV19" s="135">
        <v>0.33333333333333331</v>
      </c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  <c r="CT19" s="138"/>
      <c r="CU19" s="138"/>
      <c r="CV19" s="138"/>
      <c r="CW19" s="138"/>
      <c r="CX19" s="138"/>
    </row>
    <row r="20" spans="1:102">
      <c r="A20" s="487"/>
      <c r="B20" s="35" t="s">
        <v>47</v>
      </c>
      <c r="C20" s="36" t="s">
        <v>64</v>
      </c>
      <c r="D20" s="133">
        <v>0.33333333333333331</v>
      </c>
      <c r="E20" s="134">
        <v>0.33333333333333331</v>
      </c>
      <c r="F20" s="134">
        <v>0.33333333333333331</v>
      </c>
      <c r="G20" s="134">
        <v>0.33333333333333331</v>
      </c>
      <c r="H20" s="134">
        <v>0.33333333333333331</v>
      </c>
      <c r="I20" s="134">
        <v>0.33333333333333331</v>
      </c>
      <c r="J20" s="135">
        <v>0.33333333333333331</v>
      </c>
      <c r="K20" s="136">
        <v>0.33333333333333331</v>
      </c>
      <c r="L20" s="134">
        <v>0.33333333333333331</v>
      </c>
      <c r="M20" s="134">
        <v>0.33333333333333331</v>
      </c>
      <c r="N20" s="134">
        <v>0.33333333333333331</v>
      </c>
      <c r="O20" s="134">
        <v>0.33333333333333331</v>
      </c>
      <c r="P20" s="134">
        <v>0.33333333333333331</v>
      </c>
      <c r="Q20" s="135">
        <v>0.33333333333333331</v>
      </c>
      <c r="R20" s="136">
        <v>0.33333333333333331</v>
      </c>
      <c r="S20" s="134">
        <v>0.33333333333333331</v>
      </c>
      <c r="T20" s="134">
        <v>0.33333333333333331</v>
      </c>
      <c r="U20" s="134">
        <v>0.33333333333333331</v>
      </c>
      <c r="V20" s="134">
        <v>0.33333333333333331</v>
      </c>
      <c r="W20" s="134">
        <v>0.33333333333333331</v>
      </c>
      <c r="X20" s="135">
        <v>0.33333333333333331</v>
      </c>
      <c r="Y20" s="136">
        <v>0.33333333333333331</v>
      </c>
      <c r="Z20" s="134">
        <v>0.33333333333333331</v>
      </c>
      <c r="AA20" s="134">
        <v>0.33333333333333331</v>
      </c>
      <c r="AB20" s="134">
        <v>0.33333333333333331</v>
      </c>
      <c r="AC20" s="134">
        <v>0.33333333333333331</v>
      </c>
      <c r="AD20" s="134">
        <v>0.33333333333333331</v>
      </c>
      <c r="AE20" s="137">
        <v>0.33333333333333331</v>
      </c>
      <c r="AF20" s="133">
        <v>0.33333333333333331</v>
      </c>
      <c r="AG20" s="134">
        <v>0.33333333333333331</v>
      </c>
      <c r="AH20" s="134">
        <v>0.33333333333333331</v>
      </c>
      <c r="AI20" s="134">
        <v>0.33333333333333331</v>
      </c>
      <c r="AJ20" s="134">
        <v>0.33333333333333331</v>
      </c>
      <c r="AK20" s="134">
        <v>0.33333333333333331</v>
      </c>
      <c r="AL20" s="135">
        <v>0.33333333333333331</v>
      </c>
      <c r="AM20" s="133">
        <v>0.33333333333333331</v>
      </c>
      <c r="AN20" s="134">
        <v>0.33333333333333331</v>
      </c>
      <c r="AO20" s="134">
        <v>0.33333333333333331</v>
      </c>
      <c r="AP20" s="134">
        <v>0.33333333333333331</v>
      </c>
      <c r="AQ20" s="134">
        <v>0.33333333333333331</v>
      </c>
      <c r="AR20" s="134">
        <v>0.33333333333333331</v>
      </c>
      <c r="AS20" s="135">
        <v>0.33333333333333331</v>
      </c>
      <c r="AT20" s="133">
        <v>0.33333333333333331</v>
      </c>
      <c r="AU20" s="134">
        <v>0.33333333333333331</v>
      </c>
      <c r="AV20" s="134">
        <v>0.33333333333333331</v>
      </c>
      <c r="AW20" s="134">
        <v>0.33333333333333331</v>
      </c>
      <c r="AX20" s="134">
        <v>0.33333333333333331</v>
      </c>
      <c r="AY20" s="134">
        <v>0.33333333333333331</v>
      </c>
      <c r="AZ20" s="135">
        <v>0.33333333333333331</v>
      </c>
      <c r="BA20" s="133">
        <v>0.33333333333333331</v>
      </c>
      <c r="BB20" s="134">
        <v>0.33333333333333331</v>
      </c>
      <c r="BC20" s="134">
        <v>0.33333333333333331</v>
      </c>
      <c r="BD20" s="134">
        <v>0.33333333333333331</v>
      </c>
      <c r="BE20" s="134">
        <v>0.33333333333333331</v>
      </c>
      <c r="BF20" s="135">
        <v>0.33333333333333331</v>
      </c>
      <c r="BG20" s="133">
        <v>0.33333333333333331</v>
      </c>
      <c r="BH20" s="134">
        <v>0.33333333333333331</v>
      </c>
      <c r="BI20" s="134">
        <v>0.33333333333333331</v>
      </c>
      <c r="BJ20" s="134">
        <v>0.33333333333333331</v>
      </c>
      <c r="BK20" s="134">
        <v>0.33333333333333331</v>
      </c>
      <c r="BL20" s="135">
        <v>0.33333333333333331</v>
      </c>
      <c r="BM20" s="136">
        <v>0.33333333333333331</v>
      </c>
      <c r="BN20" s="134">
        <v>0.33333333333333331</v>
      </c>
      <c r="BO20" s="134">
        <v>0.33333333333333331</v>
      </c>
      <c r="BP20" s="134">
        <v>0.33333333333333331</v>
      </c>
      <c r="BQ20" s="135">
        <v>0.33333333333333331</v>
      </c>
      <c r="BR20" s="134">
        <v>0.33333333333333331</v>
      </c>
      <c r="BS20" s="134">
        <v>0.33333333333333331</v>
      </c>
      <c r="BT20" s="134">
        <v>0.33333333333333331</v>
      </c>
      <c r="BU20" s="134">
        <v>0.33333333333333331</v>
      </c>
      <c r="BV20" s="135">
        <v>0.33333333333333331</v>
      </c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  <c r="CT20" s="138"/>
      <c r="CU20" s="138"/>
      <c r="CV20" s="138"/>
      <c r="CW20" s="138"/>
      <c r="CX20" s="138"/>
    </row>
    <row r="21" spans="1:102" s="140" customFormat="1">
      <c r="A21" s="485" t="s">
        <v>65</v>
      </c>
      <c r="B21" s="486" t="s">
        <v>66</v>
      </c>
      <c r="C21" s="36" t="s">
        <v>51</v>
      </c>
      <c r="D21" s="43">
        <v>29.89</v>
      </c>
      <c r="E21" s="44">
        <v>29.28</v>
      </c>
      <c r="F21" s="44">
        <v>28.98</v>
      </c>
      <c r="G21" s="44">
        <v>28.830000000000002</v>
      </c>
      <c r="H21" s="44">
        <v>28.67</v>
      </c>
      <c r="I21" s="44">
        <v>28.67</v>
      </c>
      <c r="J21" s="45">
        <v>28.67</v>
      </c>
      <c r="K21" s="46">
        <v>32.380000000000003</v>
      </c>
      <c r="L21" s="44">
        <v>31.71</v>
      </c>
      <c r="M21" s="139">
        <v>31.21</v>
      </c>
      <c r="N21" s="139">
        <v>30.8</v>
      </c>
      <c r="O21" s="44">
        <v>31.05</v>
      </c>
      <c r="P21" s="44">
        <v>30.21</v>
      </c>
      <c r="Q21" s="45">
        <v>30.04</v>
      </c>
      <c r="R21" s="46">
        <v>51.96</v>
      </c>
      <c r="S21" s="44">
        <v>49.5</v>
      </c>
      <c r="T21" s="44">
        <v>48.800000000000004</v>
      </c>
      <c r="U21" s="44">
        <v>48.45</v>
      </c>
      <c r="V21" s="44">
        <v>48.1</v>
      </c>
      <c r="W21" s="44">
        <v>48</v>
      </c>
      <c r="X21" s="45">
        <v>47.89</v>
      </c>
      <c r="Y21" s="120"/>
      <c r="Z21" s="48"/>
      <c r="AA21" s="48"/>
      <c r="AB21" s="48"/>
      <c r="AC21" s="48"/>
      <c r="AD21" s="48"/>
      <c r="AE21" s="49"/>
      <c r="AF21" s="120"/>
      <c r="AG21" s="48"/>
      <c r="AH21" s="48"/>
      <c r="AI21" s="48"/>
      <c r="AJ21" s="48"/>
      <c r="AK21" s="48"/>
      <c r="AL21" s="49"/>
      <c r="AM21" s="120"/>
      <c r="AN21" s="48"/>
      <c r="AO21" s="48"/>
      <c r="AP21" s="48"/>
      <c r="AQ21" s="48"/>
      <c r="AR21" s="48"/>
      <c r="AS21" s="49"/>
      <c r="AT21" s="50"/>
      <c r="AU21" s="48"/>
      <c r="AV21" s="48"/>
      <c r="AW21" s="48"/>
      <c r="AX21" s="48"/>
      <c r="AY21" s="48"/>
      <c r="AZ21" s="49"/>
      <c r="BA21" s="50"/>
      <c r="BB21" s="48"/>
      <c r="BC21" s="48"/>
      <c r="BD21" s="48"/>
      <c r="BE21" s="48"/>
      <c r="BF21" s="49"/>
      <c r="BG21" s="50"/>
      <c r="BH21" s="48"/>
      <c r="BI21" s="48"/>
      <c r="BJ21" s="48"/>
      <c r="BK21" s="48"/>
      <c r="BL21" s="49"/>
      <c r="BM21" s="120"/>
      <c r="BN21" s="48"/>
      <c r="BO21" s="48"/>
      <c r="BP21" s="48"/>
      <c r="BQ21" s="49"/>
      <c r="BR21" s="48"/>
      <c r="BS21" s="48"/>
      <c r="BT21" s="48"/>
      <c r="BU21" s="48"/>
      <c r="BV21" s="49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</row>
    <row r="22" spans="1:102" s="140" customFormat="1">
      <c r="A22" s="485"/>
      <c r="B22" s="486"/>
      <c r="C22" s="36" t="s">
        <v>52</v>
      </c>
      <c r="D22" s="43">
        <v>31.11</v>
      </c>
      <c r="E22" s="44">
        <v>30.5</v>
      </c>
      <c r="F22" s="44">
        <v>30.05</v>
      </c>
      <c r="G22" s="44">
        <v>29.82</v>
      </c>
      <c r="H22" s="44">
        <v>29.59</v>
      </c>
      <c r="I22" s="44">
        <v>29.44</v>
      </c>
      <c r="J22" s="45">
        <v>29.28</v>
      </c>
      <c r="K22" s="46">
        <v>36.72</v>
      </c>
      <c r="L22" s="44">
        <v>34.72</v>
      </c>
      <c r="M22" s="44">
        <v>33.380000000000003</v>
      </c>
      <c r="N22" s="44">
        <v>32.880000000000003</v>
      </c>
      <c r="O22" s="44">
        <v>32.380000000000003</v>
      </c>
      <c r="P22" s="44">
        <v>32.21</v>
      </c>
      <c r="Q22" s="45">
        <v>32.049999999999997</v>
      </c>
      <c r="R22" s="46">
        <v>54.77</v>
      </c>
      <c r="S22" s="44">
        <v>53.02</v>
      </c>
      <c r="T22" s="44">
        <v>51.61</v>
      </c>
      <c r="U22" s="44">
        <v>50.730000000000004</v>
      </c>
      <c r="V22" s="44">
        <v>49.86</v>
      </c>
      <c r="W22" s="44">
        <v>49.5</v>
      </c>
      <c r="X22" s="45">
        <v>49.15</v>
      </c>
      <c r="Y22" s="46">
        <v>28.07</v>
      </c>
      <c r="Z22" s="44">
        <v>28.07</v>
      </c>
      <c r="AA22" s="44">
        <v>28.07</v>
      </c>
      <c r="AB22" s="44">
        <v>28.07</v>
      </c>
      <c r="AC22" s="44">
        <v>28.07</v>
      </c>
      <c r="AD22" s="44">
        <v>28.07</v>
      </c>
      <c r="AE22" s="45">
        <v>28.07</v>
      </c>
      <c r="AF22" s="46">
        <v>28.07</v>
      </c>
      <c r="AG22" s="44">
        <v>28.07</v>
      </c>
      <c r="AH22" s="44">
        <v>28.07</v>
      </c>
      <c r="AI22" s="44">
        <v>28.07</v>
      </c>
      <c r="AJ22" s="44">
        <v>28.07</v>
      </c>
      <c r="AK22" s="44">
        <v>28.07</v>
      </c>
      <c r="AL22" s="45">
        <v>28.07</v>
      </c>
      <c r="AM22" s="46">
        <v>26.990000000000002</v>
      </c>
      <c r="AN22" s="44">
        <v>26.990000000000002</v>
      </c>
      <c r="AO22" s="44">
        <v>26.990000000000002</v>
      </c>
      <c r="AP22" s="44">
        <v>26.990000000000002</v>
      </c>
      <c r="AQ22" s="44">
        <v>26.990000000000002</v>
      </c>
      <c r="AR22" s="44">
        <v>26.990000000000002</v>
      </c>
      <c r="AS22" s="47">
        <v>26.990000000000002</v>
      </c>
      <c r="AT22" s="43">
        <v>26.990000000000002</v>
      </c>
      <c r="AU22" s="44">
        <v>26.990000000000002</v>
      </c>
      <c r="AV22" s="44">
        <v>26.990000000000002</v>
      </c>
      <c r="AW22" s="44">
        <v>26.990000000000002</v>
      </c>
      <c r="AX22" s="44">
        <v>26.990000000000002</v>
      </c>
      <c r="AY22" s="44">
        <v>26.990000000000002</v>
      </c>
      <c r="AZ22" s="45">
        <v>26.990000000000002</v>
      </c>
      <c r="BA22" s="46">
        <v>26.990000000000002</v>
      </c>
      <c r="BB22" s="44">
        <v>26.990000000000002</v>
      </c>
      <c r="BC22" s="44">
        <v>26.990000000000002</v>
      </c>
      <c r="BD22" s="44">
        <v>26.990000000000002</v>
      </c>
      <c r="BE22" s="44">
        <v>26.990000000000002</v>
      </c>
      <c r="BF22" s="47">
        <v>26.990000000000002</v>
      </c>
      <c r="BG22" s="43">
        <v>26.990000000000002</v>
      </c>
      <c r="BH22" s="44">
        <v>26.990000000000002</v>
      </c>
      <c r="BI22" s="44">
        <v>26.990000000000002</v>
      </c>
      <c r="BJ22" s="44">
        <v>26.990000000000002</v>
      </c>
      <c r="BK22" s="44">
        <v>26.990000000000002</v>
      </c>
      <c r="BL22" s="45">
        <v>26.990000000000002</v>
      </c>
      <c r="BM22" s="141">
        <v>100.27</v>
      </c>
      <c r="BN22" s="142">
        <v>96.8</v>
      </c>
      <c r="BO22" s="142">
        <v>93.33</v>
      </c>
      <c r="BP22" s="142">
        <v>91.02</v>
      </c>
      <c r="BQ22" s="143">
        <v>88.7</v>
      </c>
      <c r="BR22" s="144">
        <v>43.65</v>
      </c>
      <c r="BS22" s="142">
        <v>42.14</v>
      </c>
      <c r="BT22" s="142">
        <v>40.630000000000003</v>
      </c>
      <c r="BU22" s="142">
        <v>39.619999999999997</v>
      </c>
      <c r="BV22" s="145">
        <v>38.61</v>
      </c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</row>
    <row r="23" spans="1:102" s="140" customFormat="1">
      <c r="A23" s="485"/>
      <c r="B23" s="486"/>
      <c r="C23" s="36" t="s">
        <v>53</v>
      </c>
      <c r="D23" s="43">
        <v>36.6</v>
      </c>
      <c r="E23" s="44">
        <v>35.08</v>
      </c>
      <c r="F23" s="44">
        <v>34.160000000000004</v>
      </c>
      <c r="G23" s="44">
        <v>33.549999999999997</v>
      </c>
      <c r="H23" s="44">
        <v>32.94</v>
      </c>
      <c r="I23" s="44">
        <v>32.64</v>
      </c>
      <c r="J23" s="45">
        <v>32.33</v>
      </c>
      <c r="K23" s="46">
        <v>42.730000000000004</v>
      </c>
      <c r="L23" s="44">
        <v>39.39</v>
      </c>
      <c r="M23" s="44">
        <v>37.050000000000004</v>
      </c>
      <c r="N23" s="44">
        <v>36.050000000000004</v>
      </c>
      <c r="O23" s="44">
        <v>35.050000000000004</v>
      </c>
      <c r="P23" s="44">
        <v>34.72</v>
      </c>
      <c r="Q23" s="45">
        <v>34.380000000000003</v>
      </c>
      <c r="R23" s="46">
        <v>56.18</v>
      </c>
      <c r="S23" s="44">
        <v>54.77</v>
      </c>
      <c r="T23" s="44">
        <v>53.370000000000005</v>
      </c>
      <c r="U23" s="44">
        <v>52.84</v>
      </c>
      <c r="V23" s="44">
        <v>52.31</v>
      </c>
      <c r="W23" s="44">
        <v>52.14</v>
      </c>
      <c r="X23" s="45">
        <v>51.96</v>
      </c>
      <c r="Y23" s="120"/>
      <c r="Z23" s="48"/>
      <c r="AA23" s="48"/>
      <c r="AB23" s="48"/>
      <c r="AC23" s="48"/>
      <c r="AD23" s="48"/>
      <c r="AE23" s="49"/>
      <c r="AF23" s="120"/>
      <c r="AG23" s="48"/>
      <c r="AH23" s="48"/>
      <c r="AI23" s="48"/>
      <c r="AJ23" s="48"/>
      <c r="AK23" s="48"/>
      <c r="AL23" s="49"/>
      <c r="AM23" s="120"/>
      <c r="AN23" s="48"/>
      <c r="AO23" s="48"/>
      <c r="AP23" s="48"/>
      <c r="AQ23" s="48"/>
      <c r="AR23" s="48"/>
      <c r="AS23" s="49"/>
      <c r="AT23" s="50"/>
      <c r="AU23" s="48"/>
      <c r="AV23" s="48"/>
      <c r="AW23" s="48"/>
      <c r="AX23" s="48"/>
      <c r="AY23" s="48"/>
      <c r="AZ23" s="49"/>
      <c r="BA23" s="50"/>
      <c r="BB23" s="48"/>
      <c r="BC23" s="48"/>
      <c r="BD23" s="48"/>
      <c r="BE23" s="48"/>
      <c r="BF23" s="49"/>
      <c r="BG23" s="146"/>
      <c r="BH23" s="147"/>
      <c r="BI23" s="147"/>
      <c r="BJ23" s="147"/>
      <c r="BK23" s="147"/>
      <c r="BL23" s="148"/>
      <c r="BM23" s="149"/>
      <c r="BN23" s="150"/>
      <c r="BO23" s="150"/>
      <c r="BP23" s="150"/>
      <c r="BQ23" s="151"/>
      <c r="BR23" s="150"/>
      <c r="BS23" s="150"/>
      <c r="BT23" s="150"/>
      <c r="BU23" s="150"/>
      <c r="BV23" s="1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</row>
    <row r="24" spans="1:102">
      <c r="A24" s="485" t="s">
        <v>67</v>
      </c>
      <c r="B24" s="486" t="s">
        <v>68</v>
      </c>
      <c r="C24" s="36" t="s">
        <v>51</v>
      </c>
      <c r="D24" s="152">
        <v>3.3E-3</v>
      </c>
      <c r="E24" s="153">
        <v>3.1000000000000003E-3</v>
      </c>
      <c r="F24" s="153">
        <v>2.9000000000000002E-3</v>
      </c>
      <c r="G24" s="153">
        <v>2.8E-3</v>
      </c>
      <c r="H24" s="153">
        <v>2.8E-3</v>
      </c>
      <c r="I24" s="153">
        <v>2.8E-3</v>
      </c>
      <c r="J24" s="154">
        <v>2.8E-3</v>
      </c>
      <c r="K24" s="155">
        <v>2.9000000000000002E-3</v>
      </c>
      <c r="L24" s="153">
        <v>2.6000000000000003E-3</v>
      </c>
      <c r="M24" s="153">
        <v>2.3E-3</v>
      </c>
      <c r="N24" s="153">
        <v>2.2000000000000001E-3</v>
      </c>
      <c r="O24" s="153">
        <v>2.1000000000000003E-3</v>
      </c>
      <c r="P24" s="153">
        <v>2.1000000000000003E-3</v>
      </c>
      <c r="Q24" s="154">
        <v>2.1000000000000003E-3</v>
      </c>
      <c r="R24" s="155">
        <v>7.9000000000000008E-3</v>
      </c>
      <c r="S24" s="153">
        <v>7.0000000000000001E-3</v>
      </c>
      <c r="T24" s="153">
        <v>6.4000000000000003E-3</v>
      </c>
      <c r="U24" s="153">
        <v>6.1000000000000004E-3</v>
      </c>
      <c r="V24" s="153">
        <v>5.7000000000000002E-3</v>
      </c>
      <c r="W24" s="153">
        <v>5.7000000000000002E-3</v>
      </c>
      <c r="X24" s="154">
        <v>5.7000000000000002E-3</v>
      </c>
      <c r="Y24" s="46"/>
      <c r="Z24" s="44"/>
      <c r="AA24" s="44"/>
      <c r="AB24" s="44"/>
      <c r="AC24" s="44"/>
      <c r="AD24" s="44"/>
      <c r="AE24" s="47"/>
      <c r="AF24" s="43"/>
      <c r="AG24" s="44"/>
      <c r="AH24" s="44"/>
      <c r="AI24" s="44"/>
      <c r="AJ24" s="44"/>
      <c r="AK24" s="44"/>
      <c r="AL24" s="45"/>
      <c r="AM24" s="43"/>
      <c r="AN24" s="44"/>
      <c r="AO24" s="44"/>
      <c r="AP24" s="44"/>
      <c r="AQ24" s="44"/>
      <c r="AR24" s="44"/>
      <c r="AS24" s="45"/>
      <c r="AT24" s="43"/>
      <c r="AU24" s="44"/>
      <c r="AV24" s="44"/>
      <c r="AW24" s="44"/>
      <c r="AX24" s="44"/>
      <c r="AY24" s="44"/>
      <c r="AZ24" s="45"/>
      <c r="BA24" s="43"/>
      <c r="BB24" s="44"/>
      <c r="BC24" s="44"/>
      <c r="BD24" s="44"/>
      <c r="BE24" s="44"/>
      <c r="BF24" s="45"/>
      <c r="BG24" s="43"/>
      <c r="BH24" s="44"/>
      <c r="BI24" s="44"/>
      <c r="BJ24" s="44"/>
      <c r="BK24" s="44"/>
      <c r="BL24" s="45"/>
      <c r="BM24" s="141"/>
      <c r="BN24" s="142"/>
      <c r="BO24" s="142"/>
      <c r="BP24" s="142"/>
      <c r="BQ24" s="145"/>
      <c r="BR24" s="142"/>
      <c r="BS24" s="142"/>
      <c r="BT24" s="142"/>
      <c r="BU24" s="142"/>
      <c r="BV24" s="145"/>
      <c r="BX24" s="51"/>
      <c r="BY24" s="51"/>
      <c r="BZ24" s="51"/>
      <c r="CA24" s="51"/>
      <c r="CB24" s="51"/>
      <c r="CC24" s="51"/>
      <c r="CE24" s="51"/>
      <c r="CF24" s="51"/>
      <c r="CG24" s="51"/>
      <c r="CH24" s="51"/>
      <c r="CI24" s="51"/>
      <c r="CJ24" s="51"/>
      <c r="CL24" s="51"/>
      <c r="CM24" s="51"/>
      <c r="CN24" s="51"/>
      <c r="CO24" s="51"/>
      <c r="CP24" s="51"/>
      <c r="CQ24" s="51"/>
      <c r="CS24" s="51"/>
      <c r="CT24" s="51"/>
      <c r="CU24" s="51"/>
      <c r="CV24" s="51"/>
      <c r="CW24" s="51"/>
      <c r="CX24" s="51"/>
    </row>
    <row r="25" spans="1:102">
      <c r="A25" s="485"/>
      <c r="B25" s="486"/>
      <c r="C25" s="36" t="s">
        <v>52</v>
      </c>
      <c r="D25" s="152">
        <v>4.5000000000000005E-3</v>
      </c>
      <c r="E25" s="156">
        <v>4.3E-3</v>
      </c>
      <c r="F25" s="156">
        <v>4.2000000000000006E-3</v>
      </c>
      <c r="G25" s="156">
        <v>4.1000000000000003E-3</v>
      </c>
      <c r="H25" s="156">
        <v>4.0000000000000001E-3</v>
      </c>
      <c r="I25" s="156">
        <v>4.0000000000000001E-3</v>
      </c>
      <c r="J25" s="157">
        <v>4.0000000000000001E-3</v>
      </c>
      <c r="K25" s="155">
        <v>3.9000000000000003E-3</v>
      </c>
      <c r="L25" s="153">
        <v>3.5000000000000001E-3</v>
      </c>
      <c r="M25" s="153">
        <v>3.1000000000000003E-3</v>
      </c>
      <c r="N25" s="153">
        <v>3.0000000000000001E-3</v>
      </c>
      <c r="O25" s="153">
        <v>2.9000000000000002E-3</v>
      </c>
      <c r="P25" s="153">
        <v>2.9000000000000002E-3</v>
      </c>
      <c r="Q25" s="154">
        <v>2.9000000000000002E-3</v>
      </c>
      <c r="R25" s="155">
        <v>1.1900000000000001E-2</v>
      </c>
      <c r="S25" s="153">
        <v>1.0400000000000001E-2</v>
      </c>
      <c r="T25" s="153">
        <v>9.0000000000000011E-3</v>
      </c>
      <c r="U25" s="153">
        <v>8.3000000000000001E-3</v>
      </c>
      <c r="V25" s="153">
        <v>7.6E-3</v>
      </c>
      <c r="W25" s="153">
        <v>7.5000000000000006E-3</v>
      </c>
      <c r="X25" s="154">
        <v>7.5000000000000006E-3</v>
      </c>
      <c r="Y25" s="158">
        <v>1E-4</v>
      </c>
      <c r="Z25" s="159">
        <v>1E-4</v>
      </c>
      <c r="AA25" s="159">
        <v>1E-4</v>
      </c>
      <c r="AB25" s="159">
        <v>1E-4</v>
      </c>
      <c r="AC25" s="159">
        <v>1E-4</v>
      </c>
      <c r="AD25" s="159">
        <v>1E-4</v>
      </c>
      <c r="AE25" s="160">
        <v>1E-4</v>
      </c>
      <c r="AF25" s="161">
        <v>1E-4</v>
      </c>
      <c r="AG25" s="159">
        <v>1E-4</v>
      </c>
      <c r="AH25" s="159">
        <v>1E-4</v>
      </c>
      <c r="AI25" s="159">
        <v>1E-4</v>
      </c>
      <c r="AJ25" s="159">
        <v>1E-4</v>
      </c>
      <c r="AK25" s="159">
        <v>1E-4</v>
      </c>
      <c r="AL25" s="160">
        <v>1E-4</v>
      </c>
      <c r="AM25" s="161">
        <v>1E-4</v>
      </c>
      <c r="AN25" s="159">
        <v>1E-4</v>
      </c>
      <c r="AO25" s="159">
        <v>1E-4</v>
      </c>
      <c r="AP25" s="159">
        <v>1E-4</v>
      </c>
      <c r="AQ25" s="159">
        <v>1E-4</v>
      </c>
      <c r="AR25" s="159">
        <v>1E-4</v>
      </c>
      <c r="AS25" s="160">
        <v>1E-4</v>
      </c>
      <c r="AT25" s="161">
        <v>1E-4</v>
      </c>
      <c r="AU25" s="159">
        <v>1E-4</v>
      </c>
      <c r="AV25" s="159">
        <v>1E-4</v>
      </c>
      <c r="AW25" s="159">
        <v>1E-4</v>
      </c>
      <c r="AX25" s="159">
        <v>1E-4</v>
      </c>
      <c r="AY25" s="159">
        <v>1E-4</v>
      </c>
      <c r="AZ25" s="160">
        <v>1E-4</v>
      </c>
      <c r="BA25" s="161">
        <v>1E-4</v>
      </c>
      <c r="BB25" s="159">
        <v>1E-4</v>
      </c>
      <c r="BC25" s="159">
        <v>1E-4</v>
      </c>
      <c r="BD25" s="159">
        <v>1E-4</v>
      </c>
      <c r="BE25" s="159">
        <v>1E-4</v>
      </c>
      <c r="BF25" s="160">
        <v>1E-4</v>
      </c>
      <c r="BG25" s="161">
        <v>1E-4</v>
      </c>
      <c r="BH25" s="159">
        <v>1E-4</v>
      </c>
      <c r="BI25" s="159">
        <v>1E-4</v>
      </c>
      <c r="BJ25" s="159">
        <v>1E-4</v>
      </c>
      <c r="BK25" s="159">
        <v>1E-4</v>
      </c>
      <c r="BL25" s="160">
        <v>1E-4</v>
      </c>
      <c r="BM25" s="162">
        <v>7.8000000000000005E-3</v>
      </c>
      <c r="BN25" s="163">
        <v>7.5000000000000006E-3</v>
      </c>
      <c r="BO25" s="163">
        <v>7.2000000000000007E-3</v>
      </c>
      <c r="BP25" s="163">
        <v>7.1000000000000004E-3</v>
      </c>
      <c r="BQ25" s="164">
        <v>6.9000000000000008E-3</v>
      </c>
      <c r="BR25" s="162">
        <v>7.8000000000000005E-3</v>
      </c>
      <c r="BS25" s="163">
        <v>7.5000000000000006E-3</v>
      </c>
      <c r="BT25" s="163">
        <v>7.2000000000000007E-3</v>
      </c>
      <c r="BU25" s="163">
        <v>7.1000000000000004E-3</v>
      </c>
      <c r="BV25" s="164">
        <v>6.9000000000000008E-3</v>
      </c>
      <c r="BW25" s="165"/>
      <c r="BX25" s="51"/>
      <c r="BY25" s="51"/>
      <c r="BZ25" s="51"/>
      <c r="CA25" s="51"/>
      <c r="CB25" s="51"/>
      <c r="CC25" s="51"/>
      <c r="CE25" s="51"/>
      <c r="CF25" s="51"/>
      <c r="CG25" s="51"/>
      <c r="CH25" s="51"/>
      <c r="CI25" s="51"/>
      <c r="CJ25" s="51"/>
      <c r="CL25" s="51"/>
      <c r="CM25" s="51"/>
      <c r="CN25" s="51"/>
      <c r="CO25" s="51"/>
      <c r="CP25" s="51"/>
      <c r="CQ25" s="51"/>
      <c r="CS25" s="51"/>
      <c r="CT25" s="51"/>
      <c r="CU25" s="51"/>
      <c r="CV25" s="51"/>
      <c r="CW25" s="51"/>
      <c r="CX25" s="51"/>
    </row>
    <row r="26" spans="1:102">
      <c r="A26" s="485"/>
      <c r="B26" s="486"/>
      <c r="C26" s="36" t="s">
        <v>53</v>
      </c>
      <c r="D26" s="152">
        <v>6.8000000000000005E-3</v>
      </c>
      <c r="E26" s="166">
        <v>6.4000000000000003E-3</v>
      </c>
      <c r="F26" s="166">
        <v>6.1000000000000004E-3</v>
      </c>
      <c r="G26" s="166">
        <v>5.8999999999999999E-3</v>
      </c>
      <c r="H26" s="166">
        <v>5.8000000000000005E-3</v>
      </c>
      <c r="I26" s="166">
        <v>5.7000000000000002E-3</v>
      </c>
      <c r="J26" s="167">
        <v>5.7000000000000002E-3</v>
      </c>
      <c r="K26" s="155">
        <v>8.8999999999999999E-3</v>
      </c>
      <c r="L26" s="153">
        <v>7.6E-3</v>
      </c>
      <c r="M26" s="153">
        <v>6.5000000000000006E-3</v>
      </c>
      <c r="N26" s="153">
        <v>6.2000000000000006E-3</v>
      </c>
      <c r="O26" s="153">
        <v>5.8000000000000005E-3</v>
      </c>
      <c r="P26" s="153">
        <v>5.7000000000000002E-3</v>
      </c>
      <c r="Q26" s="154">
        <v>5.7000000000000002E-3</v>
      </c>
      <c r="R26" s="155">
        <v>2.01E-2</v>
      </c>
      <c r="S26" s="153">
        <v>1.78E-2</v>
      </c>
      <c r="T26" s="153">
        <v>1.5600000000000001E-2</v>
      </c>
      <c r="U26" s="153">
        <v>1.49E-2</v>
      </c>
      <c r="V26" s="153">
        <v>1.4200000000000001E-2</v>
      </c>
      <c r="W26" s="153">
        <v>1.4200000000000001E-2</v>
      </c>
      <c r="X26" s="168">
        <v>1.4100000000000001E-2</v>
      </c>
      <c r="Y26" s="43"/>
      <c r="Z26" s="44"/>
      <c r="AA26" s="44"/>
      <c r="AB26" s="44"/>
      <c r="AC26" s="44"/>
      <c r="AD26" s="44"/>
      <c r="AE26" s="47"/>
      <c r="AF26" s="43"/>
      <c r="AG26" s="44"/>
      <c r="AH26" s="44"/>
      <c r="AI26" s="44"/>
      <c r="AJ26" s="44"/>
      <c r="AK26" s="44"/>
      <c r="AL26" s="45"/>
      <c r="AM26" s="43"/>
      <c r="AN26" s="44"/>
      <c r="AO26" s="44"/>
      <c r="AP26" s="44"/>
      <c r="AQ26" s="44"/>
      <c r="AR26" s="44"/>
      <c r="AS26" s="45"/>
      <c r="AT26" s="43"/>
      <c r="AU26" s="44"/>
      <c r="AV26" s="44"/>
      <c r="AW26" s="44"/>
      <c r="AX26" s="44"/>
      <c r="AY26" s="44"/>
      <c r="AZ26" s="45"/>
      <c r="BA26" s="43"/>
      <c r="BB26" s="44"/>
      <c r="BC26" s="44"/>
      <c r="BD26" s="44"/>
      <c r="BE26" s="44"/>
      <c r="BF26" s="45"/>
      <c r="BG26" s="43"/>
      <c r="BH26" s="44"/>
      <c r="BI26" s="44"/>
      <c r="BJ26" s="44"/>
      <c r="BK26" s="44"/>
      <c r="BL26" s="45"/>
      <c r="BM26" s="46"/>
      <c r="BN26" s="44"/>
      <c r="BO26" s="44"/>
      <c r="BP26" s="44"/>
      <c r="BQ26" s="45"/>
      <c r="BR26" s="44"/>
      <c r="BS26" s="44"/>
      <c r="BT26" s="44"/>
      <c r="BU26" s="44"/>
      <c r="BV26" s="45"/>
      <c r="BX26" s="51"/>
      <c r="BY26" s="51"/>
      <c r="BZ26" s="51"/>
      <c r="CA26" s="51"/>
      <c r="CB26" s="51"/>
      <c r="CC26" s="51"/>
      <c r="CE26" s="51"/>
      <c r="CF26" s="51"/>
      <c r="CG26" s="51"/>
      <c r="CH26" s="51"/>
      <c r="CI26" s="51"/>
      <c r="CJ26" s="51"/>
      <c r="CL26" s="51"/>
      <c r="CM26" s="51"/>
      <c r="CN26" s="51"/>
      <c r="CO26" s="51"/>
      <c r="CP26" s="51"/>
      <c r="CQ26" s="51"/>
      <c r="CS26" s="51"/>
      <c r="CT26" s="51"/>
      <c r="CU26" s="51"/>
      <c r="CV26" s="51"/>
      <c r="CW26" s="51"/>
      <c r="CX26" s="51"/>
    </row>
    <row r="27" spans="1:102" ht="13.5" thickBot="1">
      <c r="A27" s="169" t="s">
        <v>69</v>
      </c>
      <c r="B27" s="170" t="s">
        <v>47</v>
      </c>
      <c r="C27" s="171"/>
      <c r="D27" s="172">
        <v>0.1</v>
      </c>
      <c r="E27" s="173">
        <v>0.1</v>
      </c>
      <c r="F27" s="173">
        <v>0.1</v>
      </c>
      <c r="G27" s="173">
        <v>0.1</v>
      </c>
      <c r="H27" s="173">
        <v>0.1</v>
      </c>
      <c r="I27" s="173">
        <v>0.1</v>
      </c>
      <c r="J27" s="174">
        <v>0.1</v>
      </c>
      <c r="K27" s="175">
        <v>0.1</v>
      </c>
      <c r="L27" s="173">
        <v>0.1</v>
      </c>
      <c r="M27" s="173">
        <v>0.1</v>
      </c>
      <c r="N27" s="173">
        <v>0.1</v>
      </c>
      <c r="O27" s="173">
        <v>0.1</v>
      </c>
      <c r="P27" s="173">
        <v>0.1</v>
      </c>
      <c r="Q27" s="174">
        <v>0.1</v>
      </c>
      <c r="R27" s="175">
        <v>0.1</v>
      </c>
      <c r="S27" s="173">
        <v>0.1</v>
      </c>
      <c r="T27" s="173">
        <v>0.1</v>
      </c>
      <c r="U27" s="173">
        <v>0.1</v>
      </c>
      <c r="V27" s="173">
        <v>0.1</v>
      </c>
      <c r="W27" s="173">
        <v>0.1</v>
      </c>
      <c r="X27" s="174">
        <v>0.1</v>
      </c>
      <c r="Y27" s="172">
        <v>0.1</v>
      </c>
      <c r="Z27" s="173">
        <v>0.1</v>
      </c>
      <c r="AA27" s="173">
        <v>0.1</v>
      </c>
      <c r="AB27" s="173">
        <v>0.1</v>
      </c>
      <c r="AC27" s="173">
        <v>0.1</v>
      </c>
      <c r="AD27" s="173">
        <v>0.1</v>
      </c>
      <c r="AE27" s="176">
        <v>0.1</v>
      </c>
      <c r="AF27" s="172">
        <v>0.1</v>
      </c>
      <c r="AG27" s="173">
        <v>0.1</v>
      </c>
      <c r="AH27" s="173">
        <v>0.1</v>
      </c>
      <c r="AI27" s="173">
        <v>0.1</v>
      </c>
      <c r="AJ27" s="173">
        <v>0.1</v>
      </c>
      <c r="AK27" s="173">
        <v>0.1</v>
      </c>
      <c r="AL27" s="174">
        <v>0.1</v>
      </c>
      <c r="AM27" s="172">
        <v>0.1</v>
      </c>
      <c r="AN27" s="173">
        <v>0.1</v>
      </c>
      <c r="AO27" s="173">
        <v>0.1</v>
      </c>
      <c r="AP27" s="173">
        <v>0.1</v>
      </c>
      <c r="AQ27" s="173">
        <v>0.1</v>
      </c>
      <c r="AR27" s="173">
        <v>0.1</v>
      </c>
      <c r="AS27" s="174">
        <v>0.1</v>
      </c>
      <c r="AT27" s="172">
        <v>0.1</v>
      </c>
      <c r="AU27" s="173">
        <v>0.1</v>
      </c>
      <c r="AV27" s="173">
        <v>0.1</v>
      </c>
      <c r="AW27" s="173">
        <v>0.1</v>
      </c>
      <c r="AX27" s="173">
        <v>0.1</v>
      </c>
      <c r="AY27" s="173">
        <v>0.1</v>
      </c>
      <c r="AZ27" s="174">
        <v>0.1</v>
      </c>
      <c r="BA27" s="172">
        <v>0.1</v>
      </c>
      <c r="BB27" s="173">
        <v>0.1</v>
      </c>
      <c r="BC27" s="173">
        <v>0.1</v>
      </c>
      <c r="BD27" s="173">
        <v>0.1</v>
      </c>
      <c r="BE27" s="173">
        <v>0.1</v>
      </c>
      <c r="BF27" s="174">
        <v>0.1</v>
      </c>
      <c r="BG27" s="172">
        <v>0.1</v>
      </c>
      <c r="BH27" s="173">
        <v>0.1</v>
      </c>
      <c r="BI27" s="173">
        <v>0.1</v>
      </c>
      <c r="BJ27" s="173">
        <v>0.1</v>
      </c>
      <c r="BK27" s="173">
        <v>0.1</v>
      </c>
      <c r="BL27" s="174">
        <v>0.1</v>
      </c>
      <c r="BM27" s="175">
        <v>0.1</v>
      </c>
      <c r="BN27" s="173">
        <v>0.1</v>
      </c>
      <c r="BO27" s="173">
        <v>0.1</v>
      </c>
      <c r="BP27" s="173">
        <v>0.1</v>
      </c>
      <c r="BQ27" s="174">
        <v>0.1</v>
      </c>
      <c r="BR27" s="173">
        <v>0.1</v>
      </c>
      <c r="BS27" s="173">
        <v>0.1</v>
      </c>
      <c r="BT27" s="173">
        <v>0.1</v>
      </c>
      <c r="BU27" s="173">
        <v>0.1</v>
      </c>
      <c r="BV27" s="174">
        <v>0.1</v>
      </c>
      <c r="BX27" s="177"/>
      <c r="BY27" s="177"/>
      <c r="BZ27" s="177"/>
      <c r="CA27" s="177"/>
      <c r="CB27" s="177"/>
      <c r="CC27" s="177"/>
      <c r="CE27" s="177"/>
      <c r="CF27" s="177"/>
      <c r="CG27" s="177"/>
      <c r="CH27" s="177"/>
      <c r="CI27" s="177"/>
      <c r="CJ27" s="177"/>
      <c r="CL27" s="177"/>
      <c r="CM27" s="177"/>
      <c r="CN27" s="177"/>
      <c r="CO27" s="177"/>
      <c r="CP27" s="177"/>
      <c r="CQ27" s="177"/>
      <c r="CS27" s="177"/>
      <c r="CT27" s="177"/>
      <c r="CU27" s="177"/>
      <c r="CV27" s="177"/>
      <c r="CW27" s="177"/>
      <c r="CX27" s="177"/>
    </row>
    <row r="28" spans="1:102">
      <c r="A28" s="25" t="s">
        <v>70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02"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</row>
    <row r="33" spans="1:79" ht="13.5" thickBot="1">
      <c r="A33" s="25" t="s">
        <v>85</v>
      </c>
      <c r="Q33" s="28"/>
    </row>
    <row r="34" spans="1:79" ht="27.75" customHeight="1" thickBot="1">
      <c r="A34" s="30" t="s">
        <v>34</v>
      </c>
      <c r="B34" s="31" t="s">
        <v>35</v>
      </c>
      <c r="C34" s="32"/>
      <c r="D34" s="253" t="s">
        <v>36</v>
      </c>
      <c r="E34" s="253" t="s">
        <v>36</v>
      </c>
      <c r="F34" s="253" t="s">
        <v>36</v>
      </c>
      <c r="G34" s="253" t="s">
        <v>36</v>
      </c>
      <c r="H34" s="253" t="s">
        <v>36</v>
      </c>
      <c r="I34" s="253" t="s">
        <v>36</v>
      </c>
      <c r="J34" s="253" t="s">
        <v>36</v>
      </c>
      <c r="K34" s="254" t="s">
        <v>37</v>
      </c>
      <c r="L34" s="254" t="s">
        <v>37</v>
      </c>
      <c r="M34" s="254" t="s">
        <v>37</v>
      </c>
      <c r="N34" s="254" t="s">
        <v>37</v>
      </c>
      <c r="O34" s="254" t="s">
        <v>37</v>
      </c>
      <c r="P34" s="254" t="s">
        <v>37</v>
      </c>
      <c r="Q34" s="254" t="s">
        <v>37</v>
      </c>
      <c r="R34" s="255" t="s">
        <v>38</v>
      </c>
      <c r="S34" s="255" t="s">
        <v>38</v>
      </c>
      <c r="T34" s="255" t="s">
        <v>38</v>
      </c>
      <c r="U34" s="255" t="s">
        <v>38</v>
      </c>
      <c r="V34" s="255" t="s">
        <v>38</v>
      </c>
      <c r="W34" s="255" t="s">
        <v>38</v>
      </c>
      <c r="X34" s="255" t="s">
        <v>38</v>
      </c>
      <c r="Y34" s="256" t="s">
        <v>39</v>
      </c>
      <c r="Z34" s="256" t="s">
        <v>39</v>
      </c>
      <c r="AA34" s="256" t="s">
        <v>39</v>
      </c>
      <c r="AB34" s="256" t="s">
        <v>39</v>
      </c>
      <c r="AC34" s="256" t="s">
        <v>39</v>
      </c>
      <c r="AD34" s="256" t="s">
        <v>39</v>
      </c>
      <c r="AE34" s="256" t="s">
        <v>39</v>
      </c>
      <c r="AF34" s="256" t="s">
        <v>39</v>
      </c>
      <c r="AG34" s="256" t="s">
        <v>39</v>
      </c>
      <c r="AH34" s="256" t="s">
        <v>39</v>
      </c>
      <c r="AI34" s="256" t="s">
        <v>39</v>
      </c>
      <c r="AJ34" s="256" t="s">
        <v>39</v>
      </c>
      <c r="AK34" s="256" t="s">
        <v>39</v>
      </c>
      <c r="AL34" s="257" t="s">
        <v>39</v>
      </c>
      <c r="AM34" s="190" t="s">
        <v>144</v>
      </c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1"/>
      <c r="BB34" s="191"/>
      <c r="BC34" s="191"/>
      <c r="BD34" s="191"/>
      <c r="BE34" s="191"/>
      <c r="BF34" s="191"/>
      <c r="BG34" s="191"/>
      <c r="BH34" s="191"/>
      <c r="BI34" s="191"/>
      <c r="BJ34" s="191"/>
      <c r="BK34" s="191"/>
      <c r="BL34" s="191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2"/>
      <c r="BX34" s="192"/>
      <c r="BY34" s="192"/>
      <c r="BZ34" s="192"/>
      <c r="CA34" s="192"/>
    </row>
    <row r="35" spans="1:79">
      <c r="A35" s="34" t="s">
        <v>43</v>
      </c>
      <c r="B35" s="35"/>
      <c r="C35" s="36"/>
      <c r="D35" s="245">
        <v>2020</v>
      </c>
      <c r="E35" s="246">
        <v>2025</v>
      </c>
      <c r="F35" s="246">
        <v>2030</v>
      </c>
      <c r="G35" s="246">
        <v>2035</v>
      </c>
      <c r="H35" s="246">
        <v>2040</v>
      </c>
      <c r="I35" s="246">
        <v>2045</v>
      </c>
      <c r="J35" s="247">
        <v>2050</v>
      </c>
      <c r="K35" s="248">
        <v>2020</v>
      </c>
      <c r="L35" s="246">
        <v>2025</v>
      </c>
      <c r="M35" s="246">
        <v>2030</v>
      </c>
      <c r="N35" s="246">
        <v>2035</v>
      </c>
      <c r="O35" s="246">
        <v>2040</v>
      </c>
      <c r="P35" s="246">
        <v>2045</v>
      </c>
      <c r="Q35" s="249">
        <v>2050</v>
      </c>
      <c r="R35" s="250">
        <v>2020</v>
      </c>
      <c r="S35" s="251">
        <v>2025</v>
      </c>
      <c r="T35" s="251">
        <v>2030</v>
      </c>
      <c r="U35" s="251">
        <v>2035</v>
      </c>
      <c r="V35" s="251">
        <v>2040</v>
      </c>
      <c r="W35" s="251">
        <v>2045</v>
      </c>
      <c r="X35" s="252">
        <v>2050</v>
      </c>
      <c r="Y35" s="245">
        <v>2020</v>
      </c>
      <c r="Z35" s="246">
        <v>2025</v>
      </c>
      <c r="AA35" s="246">
        <v>2030</v>
      </c>
      <c r="AB35" s="246">
        <v>2035</v>
      </c>
      <c r="AC35" s="246">
        <v>2040</v>
      </c>
      <c r="AD35" s="246">
        <v>2045</v>
      </c>
      <c r="AE35" s="249">
        <v>2050</v>
      </c>
      <c r="AF35" s="245">
        <v>2020</v>
      </c>
      <c r="AG35" s="246">
        <v>2025</v>
      </c>
      <c r="AH35" s="246">
        <v>2030</v>
      </c>
      <c r="AI35" s="246">
        <v>2035</v>
      </c>
      <c r="AJ35" s="246">
        <v>2040</v>
      </c>
      <c r="AK35" s="246">
        <v>2045</v>
      </c>
      <c r="AL35" s="247">
        <v>2050</v>
      </c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192"/>
      <c r="BX35" s="192"/>
      <c r="BY35" s="192"/>
      <c r="BZ35" s="192"/>
      <c r="CA35" s="192"/>
    </row>
    <row r="36" spans="1:79">
      <c r="A36" s="34" t="s">
        <v>44</v>
      </c>
      <c r="B36" s="35" t="s">
        <v>45</v>
      </c>
      <c r="C36" s="36"/>
      <c r="D36" s="43">
        <v>10</v>
      </c>
      <c r="E36" s="44">
        <v>10</v>
      </c>
      <c r="F36" s="44">
        <v>10</v>
      </c>
      <c r="G36" s="44">
        <v>10</v>
      </c>
      <c r="H36" s="44">
        <v>10</v>
      </c>
      <c r="I36" s="44">
        <v>10</v>
      </c>
      <c r="J36" s="45">
        <v>10</v>
      </c>
      <c r="K36" s="46">
        <v>10</v>
      </c>
      <c r="L36" s="44">
        <v>10</v>
      </c>
      <c r="M36" s="44">
        <v>10</v>
      </c>
      <c r="N36" s="44">
        <v>10</v>
      </c>
      <c r="O36" s="44">
        <v>10</v>
      </c>
      <c r="P36" s="44">
        <v>10</v>
      </c>
      <c r="Q36" s="47">
        <v>10</v>
      </c>
      <c r="R36" s="222">
        <v>10</v>
      </c>
      <c r="S36" s="223">
        <v>10</v>
      </c>
      <c r="T36" s="223">
        <v>10</v>
      </c>
      <c r="U36" s="223">
        <v>10</v>
      </c>
      <c r="V36" s="223">
        <v>10</v>
      </c>
      <c r="W36" s="223">
        <v>10</v>
      </c>
      <c r="X36" s="224">
        <v>10</v>
      </c>
      <c r="Y36" s="43">
        <v>300</v>
      </c>
      <c r="Z36" s="44">
        <v>300</v>
      </c>
      <c r="AA36" s="44">
        <v>300</v>
      </c>
      <c r="AB36" s="44">
        <v>300</v>
      </c>
      <c r="AC36" s="44">
        <v>300</v>
      </c>
      <c r="AD36" s="44">
        <v>300</v>
      </c>
      <c r="AE36" s="47">
        <v>300</v>
      </c>
      <c r="AF36" s="43">
        <v>1000</v>
      </c>
      <c r="AG36" s="48">
        <v>1000</v>
      </c>
      <c r="AH36" s="48">
        <v>1000</v>
      </c>
      <c r="AI36" s="48">
        <v>1000</v>
      </c>
      <c r="AJ36" s="48">
        <v>1000</v>
      </c>
      <c r="AK36" s="48">
        <v>1000</v>
      </c>
      <c r="AL36" s="49">
        <v>1000</v>
      </c>
      <c r="AM36" s="192"/>
      <c r="AN36" s="194"/>
      <c r="AO36" s="194"/>
      <c r="AP36" s="194"/>
      <c r="AQ36" s="194"/>
      <c r="AR36" s="194"/>
      <c r="AS36" s="194"/>
      <c r="AT36" s="192"/>
      <c r="AU36" s="194"/>
      <c r="AV36" s="194"/>
      <c r="AW36" s="194"/>
      <c r="AX36" s="194"/>
      <c r="AY36" s="194"/>
      <c r="AZ36" s="194"/>
      <c r="BA36" s="192"/>
      <c r="BB36" s="192"/>
      <c r="BC36" s="192"/>
      <c r="BD36" s="192"/>
      <c r="BE36" s="192"/>
      <c r="BF36" s="192"/>
      <c r="BG36" s="194"/>
      <c r="BH36" s="194"/>
      <c r="BI36" s="194"/>
      <c r="BJ36" s="194"/>
      <c r="BK36" s="194"/>
      <c r="BL36" s="194"/>
      <c r="BM36" s="192"/>
      <c r="BN36" s="192"/>
      <c r="BO36" s="192"/>
      <c r="BP36" s="192"/>
      <c r="BQ36" s="192"/>
      <c r="BR36" s="192"/>
      <c r="BS36" s="192"/>
      <c r="BT36" s="192"/>
      <c r="BU36" s="192"/>
      <c r="BV36" s="192"/>
      <c r="BW36" s="192"/>
      <c r="BX36" s="192"/>
      <c r="BY36" s="192"/>
      <c r="BZ36" s="192"/>
      <c r="CA36" s="192"/>
    </row>
    <row r="37" spans="1:79">
      <c r="A37" s="52" t="s">
        <v>46</v>
      </c>
      <c r="B37" s="53" t="s">
        <v>47</v>
      </c>
      <c r="C37" s="54"/>
      <c r="D37" s="55">
        <v>0.98</v>
      </c>
      <c r="E37" s="56">
        <v>0.98</v>
      </c>
      <c r="F37" s="56">
        <v>0.98</v>
      </c>
      <c r="G37" s="56">
        <v>0.98</v>
      </c>
      <c r="H37" s="56">
        <v>0.98</v>
      </c>
      <c r="I37" s="56">
        <v>0.98</v>
      </c>
      <c r="J37" s="57">
        <v>0.98</v>
      </c>
      <c r="K37" s="58">
        <v>0.98</v>
      </c>
      <c r="L37" s="56">
        <v>0.98</v>
      </c>
      <c r="M37" s="56">
        <v>0.98</v>
      </c>
      <c r="N37" s="56">
        <v>0.98</v>
      </c>
      <c r="O37" s="56">
        <v>0.98</v>
      </c>
      <c r="P37" s="56">
        <v>0.98</v>
      </c>
      <c r="Q37" s="59">
        <v>0.98</v>
      </c>
      <c r="R37" s="225">
        <v>0.9</v>
      </c>
      <c r="S37" s="226">
        <v>0.9</v>
      </c>
      <c r="T37" s="226">
        <v>0.9</v>
      </c>
      <c r="U37" s="226">
        <v>0.9</v>
      </c>
      <c r="V37" s="226">
        <v>0.9</v>
      </c>
      <c r="W37" s="226">
        <v>0.9</v>
      </c>
      <c r="X37" s="227">
        <v>0.9</v>
      </c>
      <c r="Y37" s="60">
        <v>0.95</v>
      </c>
      <c r="Z37" s="61">
        <v>0.95</v>
      </c>
      <c r="AA37" s="61">
        <v>0.95</v>
      </c>
      <c r="AB37" s="61">
        <v>0.95</v>
      </c>
      <c r="AC37" s="61">
        <v>0.95</v>
      </c>
      <c r="AD37" s="61">
        <v>0.95</v>
      </c>
      <c r="AE37" s="62">
        <v>0.95</v>
      </c>
      <c r="AF37" s="60">
        <v>0.95</v>
      </c>
      <c r="AG37" s="61">
        <v>0.95</v>
      </c>
      <c r="AH37" s="61">
        <v>0.95</v>
      </c>
      <c r="AI37" s="61">
        <v>0.95</v>
      </c>
      <c r="AJ37" s="61">
        <v>0.95</v>
      </c>
      <c r="AK37" s="61">
        <v>0.95</v>
      </c>
      <c r="AL37" s="63">
        <v>0.95</v>
      </c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195"/>
      <c r="BN37" s="195"/>
      <c r="BO37" s="195"/>
      <c r="BP37" s="195"/>
      <c r="BQ37" s="195"/>
      <c r="BR37" s="195"/>
      <c r="BS37" s="195"/>
      <c r="BT37" s="195"/>
      <c r="BU37" s="195"/>
      <c r="BV37" s="195"/>
      <c r="BW37" s="192"/>
      <c r="BX37" s="192"/>
      <c r="BY37" s="192"/>
      <c r="BZ37" s="192"/>
      <c r="CA37" s="192"/>
    </row>
    <row r="38" spans="1:79">
      <c r="A38" s="52" t="s">
        <v>48</v>
      </c>
      <c r="B38" s="53" t="s">
        <v>47</v>
      </c>
      <c r="C38" s="54"/>
      <c r="D38" s="55"/>
      <c r="E38" s="56"/>
      <c r="F38" s="56"/>
      <c r="G38" s="56"/>
      <c r="H38" s="56"/>
      <c r="I38" s="56"/>
      <c r="J38" s="57"/>
      <c r="K38" s="58"/>
      <c r="L38" s="56"/>
      <c r="M38" s="56"/>
      <c r="N38" s="56"/>
      <c r="O38" s="56"/>
      <c r="P38" s="56"/>
      <c r="Q38" s="59"/>
      <c r="R38" s="225"/>
      <c r="S38" s="226"/>
      <c r="T38" s="226"/>
      <c r="U38" s="226"/>
      <c r="V38" s="226"/>
      <c r="W38" s="226"/>
      <c r="X38" s="227"/>
      <c r="Y38" s="60">
        <v>0.9</v>
      </c>
      <c r="Z38" s="61">
        <v>0.9</v>
      </c>
      <c r="AA38" s="61">
        <v>0.9</v>
      </c>
      <c r="AB38" s="61">
        <v>0.9</v>
      </c>
      <c r="AC38" s="61">
        <v>0.9</v>
      </c>
      <c r="AD38" s="61">
        <v>0.9</v>
      </c>
      <c r="AE38" s="62">
        <v>0.9</v>
      </c>
      <c r="AF38" s="60">
        <v>0.9</v>
      </c>
      <c r="AG38" s="61">
        <v>0.9</v>
      </c>
      <c r="AH38" s="61">
        <v>0.9</v>
      </c>
      <c r="AI38" s="61">
        <v>0.9</v>
      </c>
      <c r="AJ38" s="61">
        <v>0.9</v>
      </c>
      <c r="AK38" s="61">
        <v>0.9</v>
      </c>
      <c r="AL38" s="63">
        <v>0.9</v>
      </c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195"/>
      <c r="BN38" s="195"/>
      <c r="BO38" s="195"/>
      <c r="BP38" s="195"/>
      <c r="BQ38" s="195"/>
      <c r="BR38" s="195"/>
      <c r="BS38" s="195"/>
      <c r="BT38" s="195"/>
      <c r="BU38" s="195"/>
      <c r="BV38" s="195"/>
      <c r="BW38" s="192"/>
      <c r="BX38" s="192"/>
      <c r="BY38" s="192"/>
      <c r="BZ38" s="192"/>
      <c r="CA38" s="192"/>
    </row>
    <row r="39" spans="1:79">
      <c r="A39" s="487" t="s">
        <v>91</v>
      </c>
      <c r="B39" s="488" t="s">
        <v>81</v>
      </c>
      <c r="C39" s="36" t="s">
        <v>51</v>
      </c>
      <c r="D39" s="69"/>
      <c r="E39" s="70"/>
      <c r="F39" s="70"/>
      <c r="G39" s="70"/>
      <c r="H39" s="70"/>
      <c r="I39" s="70"/>
      <c r="J39" s="71"/>
      <c r="K39" s="72"/>
      <c r="L39" s="73"/>
      <c r="M39" s="73"/>
      <c r="N39" s="73"/>
      <c r="O39" s="73"/>
      <c r="P39" s="73"/>
      <c r="Q39" s="74"/>
      <c r="R39" s="228">
        <f>R7*$A$69</f>
        <v>16.012159999999998</v>
      </c>
      <c r="S39" s="228">
        <f t="shared" ref="S39:X39" si="0">S7*$A$69</f>
        <v>15.51178</v>
      </c>
      <c r="T39" s="228">
        <f t="shared" si="0"/>
        <v>15.0114</v>
      </c>
      <c r="U39" s="228">
        <f t="shared" si="0"/>
        <v>14.761209999999998</v>
      </c>
      <c r="V39" s="228">
        <f t="shared" si="0"/>
        <v>14.51102</v>
      </c>
      <c r="W39" s="228">
        <f t="shared" si="0"/>
        <v>14.260829999999999</v>
      </c>
      <c r="X39" s="228">
        <f t="shared" si="0"/>
        <v>14.010639999999999</v>
      </c>
      <c r="Y39" s="78"/>
      <c r="Z39" s="79"/>
      <c r="AA39" s="79"/>
      <c r="AB39" s="79"/>
      <c r="AC39" s="79"/>
      <c r="AD39" s="79"/>
      <c r="AE39" s="80"/>
      <c r="AF39" s="78"/>
      <c r="AG39" s="79"/>
      <c r="AH39" s="79"/>
      <c r="AI39" s="79"/>
      <c r="AJ39" s="79"/>
      <c r="AK39" s="79"/>
      <c r="AL39" s="81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7"/>
      <c r="BB39" s="197"/>
      <c r="BC39" s="197"/>
      <c r="BD39" s="197"/>
      <c r="BE39" s="197"/>
      <c r="BF39" s="197"/>
      <c r="BG39" s="196"/>
      <c r="BH39" s="196"/>
      <c r="BI39" s="196"/>
      <c r="BJ39" s="196"/>
      <c r="BK39" s="196"/>
      <c r="BL39" s="196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2"/>
      <c r="BX39" s="192"/>
      <c r="BY39" s="192"/>
      <c r="BZ39" s="192"/>
      <c r="CA39" s="192"/>
    </row>
    <row r="40" spans="1:79">
      <c r="A40" s="485"/>
      <c r="B40" s="488"/>
      <c r="C40" s="36" t="s">
        <v>52</v>
      </c>
      <c r="D40" s="86"/>
      <c r="E40" s="87"/>
      <c r="F40" s="87"/>
      <c r="G40" s="87"/>
      <c r="H40" s="87"/>
      <c r="I40" s="87"/>
      <c r="J40" s="88"/>
      <c r="K40" s="72"/>
      <c r="L40" s="73"/>
      <c r="M40" s="73"/>
      <c r="N40" s="73"/>
      <c r="O40" s="73"/>
      <c r="P40" s="73"/>
      <c r="Q40" s="74"/>
      <c r="R40" s="228">
        <f t="shared" ref="R40:AL40" si="1">R8*$A$69</f>
        <v>14.010639999999999</v>
      </c>
      <c r="S40" s="228">
        <f t="shared" si="1"/>
        <v>13.510259999999999</v>
      </c>
      <c r="T40" s="228">
        <f t="shared" si="1"/>
        <v>13.009879999999999</v>
      </c>
      <c r="U40" s="228">
        <f t="shared" si="1"/>
        <v>12.509499999999999</v>
      </c>
      <c r="V40" s="228">
        <f t="shared" si="1"/>
        <v>12.009119999999999</v>
      </c>
      <c r="W40" s="228">
        <f t="shared" si="1"/>
        <v>11.508739999999998</v>
      </c>
      <c r="X40" s="228">
        <f t="shared" si="1"/>
        <v>11.00836</v>
      </c>
      <c r="Y40" s="75">
        <f t="shared" si="1"/>
        <v>53.387</v>
      </c>
      <c r="Z40" s="75">
        <f t="shared" si="1"/>
        <v>53.387</v>
      </c>
      <c r="AA40" s="75">
        <f t="shared" si="1"/>
        <v>53.387</v>
      </c>
      <c r="AB40" s="75">
        <f t="shared" si="1"/>
        <v>53.387</v>
      </c>
      <c r="AC40" s="75">
        <f t="shared" si="1"/>
        <v>53.387</v>
      </c>
      <c r="AD40" s="75">
        <f t="shared" si="1"/>
        <v>53.387</v>
      </c>
      <c r="AE40" s="75">
        <f t="shared" si="1"/>
        <v>53.387</v>
      </c>
      <c r="AF40" s="75">
        <f t="shared" si="1"/>
        <v>53.387</v>
      </c>
      <c r="AG40" s="75">
        <f t="shared" si="1"/>
        <v>53.387</v>
      </c>
      <c r="AH40" s="75">
        <f t="shared" si="1"/>
        <v>53.387</v>
      </c>
      <c r="AI40" s="75">
        <f t="shared" si="1"/>
        <v>53.387</v>
      </c>
      <c r="AJ40" s="75">
        <f t="shared" si="1"/>
        <v>53.387</v>
      </c>
      <c r="AK40" s="75">
        <f t="shared" si="1"/>
        <v>53.387</v>
      </c>
      <c r="AL40" s="75">
        <f t="shared" si="1"/>
        <v>53.387</v>
      </c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8"/>
      <c r="AX40" s="198"/>
      <c r="AY40" s="198"/>
      <c r="AZ40" s="198"/>
      <c r="BA40" s="199"/>
      <c r="BB40" s="199"/>
      <c r="BC40" s="199"/>
      <c r="BD40" s="199"/>
      <c r="BE40" s="199"/>
      <c r="BF40" s="199"/>
      <c r="BG40" s="198"/>
      <c r="BH40" s="198"/>
      <c r="BI40" s="198"/>
      <c r="BJ40" s="198"/>
      <c r="BK40" s="198"/>
      <c r="BL40" s="198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192"/>
      <c r="BX40" s="192"/>
      <c r="BY40" s="192"/>
      <c r="BZ40" s="192"/>
      <c r="CA40" s="192"/>
    </row>
    <row r="41" spans="1:79">
      <c r="A41" s="485"/>
      <c r="B41" s="488"/>
      <c r="C41" s="36" t="s">
        <v>53</v>
      </c>
      <c r="D41" s="86"/>
      <c r="E41" s="87"/>
      <c r="F41" s="87"/>
      <c r="G41" s="87"/>
      <c r="H41" s="87"/>
      <c r="I41" s="87"/>
      <c r="J41" s="88"/>
      <c r="K41" s="72"/>
      <c r="L41" s="73"/>
      <c r="M41" s="73"/>
      <c r="N41" s="73"/>
      <c r="O41" s="73"/>
      <c r="P41" s="73"/>
      <c r="Q41" s="74"/>
      <c r="R41" s="228">
        <f t="shared" ref="R41:X41" si="2">R9*$A$69</f>
        <v>8.006079999999999</v>
      </c>
      <c r="S41" s="228">
        <f t="shared" si="2"/>
        <v>7.8059279999999998</v>
      </c>
      <c r="T41" s="228">
        <f t="shared" si="2"/>
        <v>7.4056240000000004</v>
      </c>
      <c r="U41" s="228">
        <f t="shared" si="2"/>
        <v>7.2054719999999994</v>
      </c>
      <c r="V41" s="228">
        <f t="shared" si="2"/>
        <v>7.0053199999999993</v>
      </c>
      <c r="W41" s="228">
        <f t="shared" si="2"/>
        <v>7.0053199999999993</v>
      </c>
      <c r="X41" s="228">
        <f t="shared" si="2"/>
        <v>7.0053199999999993</v>
      </c>
      <c r="Y41" s="92"/>
      <c r="Z41" s="93"/>
      <c r="AA41" s="93"/>
      <c r="AB41" s="93"/>
      <c r="AC41" s="93"/>
      <c r="AD41" s="93"/>
      <c r="AE41" s="94"/>
      <c r="AF41" s="92"/>
      <c r="AG41" s="93"/>
      <c r="AH41" s="93"/>
      <c r="AI41" s="93"/>
      <c r="AJ41" s="93"/>
      <c r="AK41" s="93"/>
      <c r="AL41" s="95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  <c r="BA41" s="199"/>
      <c r="BB41" s="199"/>
      <c r="BC41" s="199"/>
      <c r="BD41" s="199"/>
      <c r="BE41" s="199"/>
      <c r="BF41" s="199"/>
      <c r="BG41" s="198"/>
      <c r="BH41" s="198"/>
      <c r="BI41" s="198"/>
      <c r="BJ41" s="198"/>
      <c r="BK41" s="198"/>
      <c r="BL41" s="198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2"/>
      <c r="BX41" s="192"/>
      <c r="BY41" s="192"/>
      <c r="BZ41" s="192"/>
      <c r="CA41" s="192"/>
    </row>
    <row r="42" spans="1:79">
      <c r="A42" s="487" t="s">
        <v>92</v>
      </c>
      <c r="B42" s="488" t="s">
        <v>82</v>
      </c>
      <c r="C42" s="36" t="s">
        <v>51</v>
      </c>
      <c r="D42" s="75">
        <f t="shared" ref="D42:Q42" si="3">D10*$A$69</f>
        <v>60.0456</v>
      </c>
      <c r="E42" s="75">
        <f t="shared" si="3"/>
        <v>57.543699999999994</v>
      </c>
      <c r="F42" s="75">
        <f t="shared" si="3"/>
        <v>56.042559999999995</v>
      </c>
      <c r="G42" s="75">
        <f t="shared" si="3"/>
        <v>55.041800000000002</v>
      </c>
      <c r="H42" s="75">
        <f t="shared" si="3"/>
        <v>54.041039999999995</v>
      </c>
      <c r="I42" s="75">
        <f t="shared" si="3"/>
        <v>53.540659999999995</v>
      </c>
      <c r="J42" s="75">
        <f t="shared" si="3"/>
        <v>53.040280000000003</v>
      </c>
      <c r="K42" s="75">
        <f t="shared" si="3"/>
        <v>64.048639999999992</v>
      </c>
      <c r="L42" s="75">
        <f t="shared" si="3"/>
        <v>59.044839999999994</v>
      </c>
      <c r="M42" s="75">
        <f t="shared" si="3"/>
        <v>55.542179999999995</v>
      </c>
      <c r="N42" s="75">
        <f t="shared" si="3"/>
        <v>54.041039999999995</v>
      </c>
      <c r="O42" s="75">
        <f t="shared" si="3"/>
        <v>52.539899999999996</v>
      </c>
      <c r="P42" s="75">
        <f t="shared" si="3"/>
        <v>52.039519999999996</v>
      </c>
      <c r="Q42" s="75">
        <f t="shared" si="3"/>
        <v>51.539140000000003</v>
      </c>
      <c r="R42" s="228">
        <f t="shared" ref="R42:X42" si="4">R10*$A$69</f>
        <v>40.0304</v>
      </c>
      <c r="S42" s="228">
        <f t="shared" si="4"/>
        <v>39.029639999999993</v>
      </c>
      <c r="T42" s="228">
        <f t="shared" si="4"/>
        <v>38.028879999999994</v>
      </c>
      <c r="U42" s="228">
        <f t="shared" si="4"/>
        <v>37.653594999999996</v>
      </c>
      <c r="V42" s="228">
        <f t="shared" si="4"/>
        <v>37.278309999999998</v>
      </c>
      <c r="W42" s="228">
        <f t="shared" si="4"/>
        <v>37.153214999999996</v>
      </c>
      <c r="X42" s="228">
        <f t="shared" si="4"/>
        <v>37.028119999999994</v>
      </c>
      <c r="Y42" s="86"/>
      <c r="Z42" s="87"/>
      <c r="AA42" s="87"/>
      <c r="AB42" s="87"/>
      <c r="AC42" s="87"/>
      <c r="AD42" s="87"/>
      <c r="AE42" s="104"/>
      <c r="AF42" s="86"/>
      <c r="AG42" s="87"/>
      <c r="AH42" s="87"/>
      <c r="AI42" s="87"/>
      <c r="AJ42" s="87"/>
      <c r="AK42" s="87"/>
      <c r="AL42" s="88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201"/>
      <c r="BB42" s="201"/>
      <c r="BC42" s="201"/>
      <c r="BD42" s="201"/>
      <c r="BE42" s="201"/>
      <c r="BF42" s="201"/>
      <c r="BG42" s="202"/>
      <c r="BH42" s="202"/>
      <c r="BI42" s="202"/>
      <c r="BJ42" s="202"/>
      <c r="BK42" s="202"/>
      <c r="BL42" s="202"/>
      <c r="BM42" s="203"/>
      <c r="BN42" s="203"/>
      <c r="BO42" s="203"/>
      <c r="BP42" s="203"/>
      <c r="BQ42" s="203"/>
      <c r="BR42" s="203"/>
      <c r="BS42" s="203"/>
      <c r="BT42" s="203"/>
      <c r="BU42" s="203"/>
      <c r="BV42" s="203"/>
      <c r="BW42" s="192"/>
      <c r="BX42" s="192"/>
      <c r="BY42" s="192"/>
      <c r="BZ42" s="192"/>
      <c r="CA42" s="192"/>
    </row>
    <row r="43" spans="1:79">
      <c r="A43" s="487"/>
      <c r="B43" s="486"/>
      <c r="C43" s="36" t="s">
        <v>52</v>
      </c>
      <c r="D43" s="75">
        <f t="shared" ref="D43:Q43" si="5">D11*$A$69</f>
        <v>51.038759999999996</v>
      </c>
      <c r="E43" s="75">
        <f t="shared" si="5"/>
        <v>50.037999999999997</v>
      </c>
      <c r="F43" s="75">
        <f t="shared" si="5"/>
        <v>49.287430000000001</v>
      </c>
      <c r="G43" s="75">
        <f t="shared" si="5"/>
        <v>48.912144999999995</v>
      </c>
      <c r="H43" s="75">
        <f t="shared" si="5"/>
        <v>48.536859999999997</v>
      </c>
      <c r="I43" s="75">
        <f t="shared" si="5"/>
        <v>48.286669999999994</v>
      </c>
      <c r="J43" s="75">
        <f t="shared" si="5"/>
        <v>48.036479999999997</v>
      </c>
      <c r="K43" s="75">
        <f t="shared" si="5"/>
        <v>55.041800000000002</v>
      </c>
      <c r="L43" s="75">
        <f t="shared" si="5"/>
        <v>52.039519999999996</v>
      </c>
      <c r="M43" s="75">
        <f t="shared" si="5"/>
        <v>50.037999999999997</v>
      </c>
      <c r="N43" s="75">
        <f t="shared" si="5"/>
        <v>49.287430000000001</v>
      </c>
      <c r="O43" s="75">
        <f t="shared" si="5"/>
        <v>48.536859999999997</v>
      </c>
      <c r="P43" s="75">
        <f t="shared" si="5"/>
        <v>48.286669999999994</v>
      </c>
      <c r="Q43" s="75">
        <f t="shared" si="5"/>
        <v>48.036479999999997</v>
      </c>
      <c r="R43" s="228">
        <f t="shared" ref="R43:X43" si="6">R11*$A$69</f>
        <v>39.029639999999993</v>
      </c>
      <c r="S43" s="228">
        <f t="shared" si="6"/>
        <v>37.778689999999997</v>
      </c>
      <c r="T43" s="228">
        <f t="shared" si="6"/>
        <v>36.777929999999998</v>
      </c>
      <c r="U43" s="228">
        <f t="shared" si="6"/>
        <v>36.152454999999996</v>
      </c>
      <c r="V43" s="228">
        <f t="shared" si="6"/>
        <v>35.526979999999995</v>
      </c>
      <c r="W43" s="228">
        <f t="shared" si="6"/>
        <v>35.276789999999998</v>
      </c>
      <c r="X43" s="228">
        <f t="shared" si="6"/>
        <v>35.026600000000002</v>
      </c>
      <c r="Y43" s="86"/>
      <c r="Z43" s="87"/>
      <c r="AA43" s="87"/>
      <c r="AB43" s="87"/>
      <c r="AC43" s="87"/>
      <c r="AD43" s="87"/>
      <c r="AE43" s="104"/>
      <c r="AF43" s="86"/>
      <c r="AG43" s="87"/>
      <c r="AH43" s="87"/>
      <c r="AI43" s="87"/>
      <c r="AJ43" s="87"/>
      <c r="AK43" s="87"/>
      <c r="AL43" s="88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201"/>
      <c r="BB43" s="201"/>
      <c r="BC43" s="201"/>
      <c r="BD43" s="201"/>
      <c r="BE43" s="201"/>
      <c r="BF43" s="201"/>
      <c r="BG43" s="202"/>
      <c r="BH43" s="202"/>
      <c r="BI43" s="202"/>
      <c r="BJ43" s="202"/>
      <c r="BK43" s="202"/>
      <c r="BL43" s="202"/>
      <c r="BM43" s="203"/>
      <c r="BN43" s="203"/>
      <c r="BO43" s="203"/>
      <c r="BP43" s="203"/>
      <c r="BQ43" s="203"/>
      <c r="BR43" s="203"/>
      <c r="BS43" s="203"/>
      <c r="BT43" s="203"/>
      <c r="BU43" s="203"/>
      <c r="BV43" s="203"/>
      <c r="BW43" s="192"/>
      <c r="BX43" s="192"/>
      <c r="BY43" s="192"/>
      <c r="BZ43" s="192"/>
      <c r="CA43" s="192"/>
    </row>
    <row r="44" spans="1:79">
      <c r="A44" s="487"/>
      <c r="B44" s="486"/>
      <c r="C44" s="36" t="s">
        <v>53</v>
      </c>
      <c r="D44" s="75">
        <f t="shared" ref="D44:Q44" si="7">D12*$A$69</f>
        <v>49.037239999999997</v>
      </c>
      <c r="E44" s="75">
        <f t="shared" si="7"/>
        <v>48.036479999999997</v>
      </c>
      <c r="F44" s="75">
        <f t="shared" si="7"/>
        <v>47.536099999999998</v>
      </c>
      <c r="G44" s="75">
        <f t="shared" si="7"/>
        <v>47.285910000000001</v>
      </c>
      <c r="H44" s="75">
        <f t="shared" si="7"/>
        <v>47.035719999999998</v>
      </c>
      <c r="I44" s="75">
        <f t="shared" si="7"/>
        <v>47.035719999999998</v>
      </c>
      <c r="J44" s="75">
        <f t="shared" si="7"/>
        <v>47.035719999999998</v>
      </c>
      <c r="K44" s="75">
        <f t="shared" si="7"/>
        <v>48.536859999999997</v>
      </c>
      <c r="L44" s="75">
        <f t="shared" si="7"/>
        <v>47.536099999999998</v>
      </c>
      <c r="M44" s="75">
        <f t="shared" si="7"/>
        <v>46.785529999999994</v>
      </c>
      <c r="N44" s="75">
        <f t="shared" si="7"/>
        <v>46.160055</v>
      </c>
      <c r="O44" s="75">
        <f t="shared" si="7"/>
        <v>46.535339999999998</v>
      </c>
      <c r="P44" s="75">
        <f t="shared" si="7"/>
        <v>45.284389999999995</v>
      </c>
      <c r="Q44" s="75">
        <f t="shared" si="7"/>
        <v>45.034199999999998</v>
      </c>
      <c r="R44" s="228">
        <f t="shared" ref="R44:X44" si="8">R12*$A$69</f>
        <v>37.028119999999994</v>
      </c>
      <c r="S44" s="228">
        <f t="shared" si="8"/>
        <v>35.276789999999998</v>
      </c>
      <c r="T44" s="228">
        <f t="shared" si="8"/>
        <v>34.776409999999998</v>
      </c>
      <c r="U44" s="228">
        <f t="shared" si="8"/>
        <v>34.526219999999995</v>
      </c>
      <c r="V44" s="228">
        <f t="shared" si="8"/>
        <v>34.276029999999999</v>
      </c>
      <c r="W44" s="228">
        <f t="shared" si="8"/>
        <v>34.200972999999998</v>
      </c>
      <c r="X44" s="228">
        <f t="shared" si="8"/>
        <v>34.125915999999997</v>
      </c>
      <c r="Y44" s="86"/>
      <c r="Z44" s="87"/>
      <c r="AA44" s="87"/>
      <c r="AB44" s="87"/>
      <c r="AC44" s="87"/>
      <c r="AD44" s="87"/>
      <c r="AE44" s="104"/>
      <c r="AF44" s="86"/>
      <c r="AG44" s="87"/>
      <c r="AH44" s="87"/>
      <c r="AI44" s="87"/>
      <c r="AJ44" s="87"/>
      <c r="AK44" s="87"/>
      <c r="AL44" s="88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201"/>
      <c r="BB44" s="201"/>
      <c r="BC44" s="201"/>
      <c r="BD44" s="201"/>
      <c r="BE44" s="201"/>
      <c r="BF44" s="201"/>
      <c r="BG44" s="202"/>
      <c r="BH44" s="202"/>
      <c r="BI44" s="202"/>
      <c r="BJ44" s="202"/>
      <c r="BK44" s="202"/>
      <c r="BL44" s="202"/>
      <c r="BM44" s="203"/>
      <c r="BN44" s="203"/>
      <c r="BO44" s="203"/>
      <c r="BP44" s="203"/>
      <c r="BQ44" s="203"/>
      <c r="BR44" s="203"/>
      <c r="BS44" s="203"/>
      <c r="BT44" s="203"/>
      <c r="BU44" s="203"/>
      <c r="BV44" s="203"/>
      <c r="BW44" s="192"/>
      <c r="BX44" s="192"/>
      <c r="BY44" s="192"/>
      <c r="BZ44" s="192"/>
      <c r="CA44" s="192"/>
    </row>
    <row r="45" spans="1:79">
      <c r="A45" s="34" t="s">
        <v>56</v>
      </c>
      <c r="B45" s="35" t="s">
        <v>57</v>
      </c>
      <c r="C45" s="36"/>
      <c r="D45" s="111">
        <v>30</v>
      </c>
      <c r="E45" s="112">
        <v>30</v>
      </c>
      <c r="F45" s="112">
        <v>30</v>
      </c>
      <c r="G45" s="112">
        <v>30</v>
      </c>
      <c r="H45" s="112">
        <v>30</v>
      </c>
      <c r="I45" s="112">
        <v>30</v>
      </c>
      <c r="J45" s="113">
        <v>30</v>
      </c>
      <c r="K45" s="114">
        <v>30</v>
      </c>
      <c r="L45" s="112">
        <v>30</v>
      </c>
      <c r="M45" s="112">
        <v>30</v>
      </c>
      <c r="N45" s="112">
        <v>30</v>
      </c>
      <c r="O45" s="112">
        <v>30</v>
      </c>
      <c r="P45" s="112">
        <v>30</v>
      </c>
      <c r="Q45" s="115">
        <v>30</v>
      </c>
      <c r="R45" s="229">
        <v>30</v>
      </c>
      <c r="S45" s="230">
        <v>30</v>
      </c>
      <c r="T45" s="230">
        <v>30</v>
      </c>
      <c r="U45" s="230">
        <v>30</v>
      </c>
      <c r="V45" s="230">
        <v>30</v>
      </c>
      <c r="W45" s="230">
        <v>30</v>
      </c>
      <c r="X45" s="231">
        <v>30</v>
      </c>
      <c r="Y45" s="50">
        <v>40</v>
      </c>
      <c r="Z45" s="48">
        <v>40</v>
      </c>
      <c r="AA45" s="48">
        <v>40</v>
      </c>
      <c r="AB45" s="48">
        <v>40</v>
      </c>
      <c r="AC45" s="48">
        <v>40</v>
      </c>
      <c r="AD45" s="48">
        <v>40</v>
      </c>
      <c r="AE45" s="119">
        <v>40</v>
      </c>
      <c r="AF45" s="50">
        <v>40</v>
      </c>
      <c r="AG45" s="48">
        <v>40</v>
      </c>
      <c r="AH45" s="48">
        <v>40</v>
      </c>
      <c r="AI45" s="48">
        <v>40</v>
      </c>
      <c r="AJ45" s="48">
        <v>40</v>
      </c>
      <c r="AK45" s="48">
        <v>40</v>
      </c>
      <c r="AL45" s="49">
        <v>40</v>
      </c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2"/>
      <c r="BX45" s="192"/>
      <c r="BY45" s="192"/>
      <c r="BZ45" s="192"/>
      <c r="CA45" s="192"/>
    </row>
    <row r="46" spans="1:79">
      <c r="A46" s="489" t="s">
        <v>58</v>
      </c>
      <c r="B46" s="492" t="s">
        <v>76</v>
      </c>
      <c r="C46" s="36" t="s">
        <v>51</v>
      </c>
      <c r="D46" s="111">
        <f>D14*$A$72*$A$64</f>
        <v>499.30196695515349</v>
      </c>
      <c r="E46" s="111">
        <f t="shared" ref="E46:X46" si="9">E14*$A$72*$A$64</f>
        <v>396.82541306058221</v>
      </c>
      <c r="F46" s="111">
        <f t="shared" si="9"/>
        <v>337.90361919748233</v>
      </c>
      <c r="G46" s="111">
        <f t="shared" si="9"/>
        <v>320.222974036192</v>
      </c>
      <c r="H46" s="111">
        <f t="shared" si="9"/>
        <v>302.71345397324944</v>
      </c>
      <c r="I46" s="111">
        <f t="shared" si="9"/>
        <v>298.1957513768686</v>
      </c>
      <c r="J46" s="111">
        <f t="shared" si="9"/>
        <v>293.67804878048781</v>
      </c>
      <c r="K46" s="111">
        <f t="shared" si="9"/>
        <v>652.73273013375297</v>
      </c>
      <c r="L46" s="111">
        <f t="shared" si="9"/>
        <v>410.96034618410698</v>
      </c>
      <c r="M46" s="111">
        <f t="shared" si="9"/>
        <v>296.61455546813534</v>
      </c>
      <c r="N46" s="111">
        <f t="shared" si="9"/>
        <v>268.26254917387882</v>
      </c>
      <c r="O46" s="111">
        <f t="shared" si="9"/>
        <v>245.85200629425651</v>
      </c>
      <c r="P46" s="111">
        <f t="shared" si="9"/>
        <v>234.8931549960661</v>
      </c>
      <c r="Q46" s="111">
        <f t="shared" si="9"/>
        <v>229.27340676632571</v>
      </c>
      <c r="R46" s="232">
        <f t="shared" si="9"/>
        <v>924.78056648308416</v>
      </c>
      <c r="S46" s="232">
        <f t="shared" si="9"/>
        <v>609.95145554681358</v>
      </c>
      <c r="T46" s="232">
        <f t="shared" si="9"/>
        <v>467.67804878048781</v>
      </c>
      <c r="U46" s="232">
        <f t="shared" si="9"/>
        <v>431.14626278520848</v>
      </c>
      <c r="V46" s="232">
        <f t="shared" si="9"/>
        <v>395.10047206923684</v>
      </c>
      <c r="W46" s="232">
        <f t="shared" si="9"/>
        <v>377.80999213217945</v>
      </c>
      <c r="X46" s="232">
        <f t="shared" si="9"/>
        <v>360.58796223446097</v>
      </c>
      <c r="Y46" s="50"/>
      <c r="Z46" s="48"/>
      <c r="AA46" s="48"/>
      <c r="AB46" s="48"/>
      <c r="AC46" s="48"/>
      <c r="AD46" s="48"/>
      <c r="AE46" s="119"/>
      <c r="AF46" s="50"/>
      <c r="AG46" s="48"/>
      <c r="AH46" s="48"/>
      <c r="AI46" s="48"/>
      <c r="AJ46" s="48"/>
      <c r="AK46" s="48"/>
      <c r="AL46" s="49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2"/>
      <c r="BS46" s="192"/>
      <c r="BT46" s="192"/>
      <c r="BU46" s="192"/>
      <c r="BV46" s="192"/>
      <c r="BW46" s="192"/>
      <c r="BX46" s="192"/>
      <c r="BY46" s="192"/>
      <c r="BZ46" s="192"/>
      <c r="CA46" s="192"/>
    </row>
    <row r="47" spans="1:79">
      <c r="A47" s="490"/>
      <c r="B47" s="493"/>
      <c r="C47" s="36" t="s">
        <v>52</v>
      </c>
      <c r="D47" s="111">
        <f t="shared" ref="D47:AL47" si="10">D15*$A$72*$A$64</f>
        <v>588.3212431156569</v>
      </c>
      <c r="E47" s="111">
        <f t="shared" si="10"/>
        <v>509.49417781274587</v>
      </c>
      <c r="F47" s="111">
        <f t="shared" si="10"/>
        <v>459.24500393391025</v>
      </c>
      <c r="G47" s="111">
        <f t="shared" si="10"/>
        <v>446.34901652242337</v>
      </c>
      <c r="H47" s="111">
        <f t="shared" si="10"/>
        <v>433.59677419354841</v>
      </c>
      <c r="I47" s="111">
        <f t="shared" si="10"/>
        <v>426.72439024390241</v>
      </c>
      <c r="J47" s="111">
        <f t="shared" si="10"/>
        <v>419.8999213217939</v>
      </c>
      <c r="K47" s="111">
        <f t="shared" si="10"/>
        <v>793.08269079464992</v>
      </c>
      <c r="L47" s="111">
        <f t="shared" si="10"/>
        <v>499.88379228953579</v>
      </c>
      <c r="M47" s="111">
        <f t="shared" si="10"/>
        <v>384.52494099134537</v>
      </c>
      <c r="N47" s="111">
        <f t="shared" si="10"/>
        <v>355.08457907159715</v>
      </c>
      <c r="O47" s="111">
        <f t="shared" si="10"/>
        <v>326.36294256490953</v>
      </c>
      <c r="P47" s="111">
        <f t="shared" si="10"/>
        <v>320.04500393391027</v>
      </c>
      <c r="Q47" s="111">
        <f t="shared" si="10"/>
        <v>313.7749803304485</v>
      </c>
      <c r="R47" s="232">
        <f t="shared" si="10"/>
        <v>1229.7049567269867</v>
      </c>
      <c r="S47" s="232">
        <f t="shared" si="10"/>
        <v>892.71856805664834</v>
      </c>
      <c r="T47" s="232">
        <f t="shared" si="10"/>
        <v>706.56184107002355</v>
      </c>
      <c r="U47" s="232">
        <f t="shared" si="10"/>
        <v>625.09260424862316</v>
      </c>
      <c r="V47" s="232">
        <f t="shared" si="10"/>
        <v>546.02596380802515</v>
      </c>
      <c r="W47" s="232">
        <f t="shared" si="10"/>
        <v>508.28945712037768</v>
      </c>
      <c r="X47" s="232">
        <f t="shared" si="10"/>
        <v>471.03894571203779</v>
      </c>
      <c r="Y47" s="111">
        <f t="shared" si="10"/>
        <v>529.85806451612905</v>
      </c>
      <c r="Z47" s="111">
        <f t="shared" si="10"/>
        <v>497.80291109362702</v>
      </c>
      <c r="AA47" s="111">
        <f t="shared" si="10"/>
        <v>466.75397324940991</v>
      </c>
      <c r="AB47" s="111">
        <f t="shared" si="10"/>
        <v>437.70377655389456</v>
      </c>
      <c r="AC47" s="111">
        <f t="shared" si="10"/>
        <v>410.66601101494888</v>
      </c>
      <c r="AD47" s="111">
        <f t="shared" si="10"/>
        <v>385.62014162077105</v>
      </c>
      <c r="AE47" s="111">
        <f t="shared" si="10"/>
        <v>361.58733280881199</v>
      </c>
      <c r="AF47" s="111">
        <f t="shared" si="10"/>
        <v>400.41904012588515</v>
      </c>
      <c r="AG47" s="111">
        <f t="shared" si="10"/>
        <v>376.19457120377655</v>
      </c>
      <c r="AH47" s="111">
        <f t="shared" si="10"/>
        <v>352.72989771833204</v>
      </c>
      <c r="AI47" s="111">
        <f t="shared" si="10"/>
        <v>330.78481510621555</v>
      </c>
      <c r="AJ47" s="111">
        <f t="shared" si="10"/>
        <v>310.34563335955943</v>
      </c>
      <c r="AK47" s="111">
        <f t="shared" si="10"/>
        <v>291.41919748229742</v>
      </c>
      <c r="AL47" s="111">
        <f t="shared" si="10"/>
        <v>273.25255704169945</v>
      </c>
      <c r="AM47" s="204"/>
      <c r="AN47" s="204"/>
      <c r="AO47" s="204"/>
      <c r="AP47" s="204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  <c r="BA47" s="204"/>
      <c r="BB47" s="204"/>
      <c r="BC47" s="204"/>
      <c r="BD47" s="204"/>
      <c r="BE47" s="204"/>
      <c r="BF47" s="204"/>
      <c r="BG47" s="204"/>
      <c r="BH47" s="204"/>
      <c r="BI47" s="204"/>
      <c r="BJ47" s="204"/>
      <c r="BK47" s="204"/>
      <c r="BL47" s="204"/>
      <c r="BM47" s="205"/>
      <c r="BN47" s="205"/>
      <c r="BO47" s="205"/>
      <c r="BP47" s="205"/>
      <c r="BQ47" s="205"/>
      <c r="BR47" s="206"/>
      <c r="BS47" s="206"/>
      <c r="BT47" s="206"/>
      <c r="BU47" s="206"/>
      <c r="BV47" s="206"/>
      <c r="BW47" s="192"/>
      <c r="BX47" s="192"/>
      <c r="BY47" s="192"/>
      <c r="BZ47" s="192"/>
      <c r="CA47" s="192"/>
    </row>
    <row r="48" spans="1:79">
      <c r="A48" s="490"/>
      <c r="B48" s="493"/>
      <c r="C48" s="36" t="s">
        <v>239</v>
      </c>
      <c r="D48" s="111">
        <f t="shared" ref="D48:X48" si="11">D16*$A$72*$A$64</f>
        <v>807.49826907946499</v>
      </c>
      <c r="E48" s="111">
        <f t="shared" si="11"/>
        <v>707.52698662470493</v>
      </c>
      <c r="F48" s="111">
        <f t="shared" si="11"/>
        <v>667.53162863886701</v>
      </c>
      <c r="G48" s="111">
        <f t="shared" si="11"/>
        <v>645.03894571203784</v>
      </c>
      <c r="H48" s="111">
        <f t="shared" si="11"/>
        <v>622.92958300550754</v>
      </c>
      <c r="I48" s="111">
        <f t="shared" si="11"/>
        <v>612.01864673485443</v>
      </c>
      <c r="J48" s="111">
        <f t="shared" si="11"/>
        <v>601.2035405192762</v>
      </c>
      <c r="K48" s="111">
        <f t="shared" si="11"/>
        <v>1292.0013375295043</v>
      </c>
      <c r="L48" s="111">
        <f t="shared" si="11"/>
        <v>998.22745869394168</v>
      </c>
      <c r="M48" s="111">
        <f t="shared" si="11"/>
        <v>832.304563335956</v>
      </c>
      <c r="N48" s="111">
        <f t="shared" si="11"/>
        <v>747.51549960660896</v>
      </c>
      <c r="O48" s="111">
        <f t="shared" si="11"/>
        <v>666.19000786782067</v>
      </c>
      <c r="P48" s="111">
        <f t="shared" si="11"/>
        <v>639.85043273013366</v>
      </c>
      <c r="Q48" s="111">
        <f t="shared" si="11"/>
        <v>613.89417781274585</v>
      </c>
      <c r="R48" s="232">
        <f t="shared" si="11"/>
        <v>1768.8106215578287</v>
      </c>
      <c r="S48" s="232">
        <f t="shared" si="11"/>
        <v>1424.6643587726201</v>
      </c>
      <c r="T48" s="232">
        <f t="shared" si="11"/>
        <v>1168.9555468135327</v>
      </c>
      <c r="U48" s="232">
        <f t="shared" si="11"/>
        <v>1085.0768686073957</v>
      </c>
      <c r="V48" s="232">
        <f t="shared" si="11"/>
        <v>966.83627065302903</v>
      </c>
      <c r="W48" s="232">
        <f t="shared" si="11"/>
        <v>927.90188827694726</v>
      </c>
      <c r="X48" s="232">
        <f t="shared" si="11"/>
        <v>889.21392604248615</v>
      </c>
      <c r="Y48" s="50"/>
      <c r="Z48" s="48"/>
      <c r="AA48" s="48"/>
      <c r="AB48" s="48"/>
      <c r="AC48" s="48"/>
      <c r="AD48" s="48"/>
      <c r="AE48" s="119"/>
      <c r="AF48" s="50"/>
      <c r="AG48" s="48"/>
      <c r="AH48" s="48"/>
      <c r="AI48" s="48"/>
      <c r="AJ48" s="48"/>
      <c r="AK48" s="48"/>
      <c r="AL48" s="49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2"/>
      <c r="BS48" s="192"/>
      <c r="BT48" s="192"/>
      <c r="BU48" s="192"/>
      <c r="BV48" s="192"/>
      <c r="BW48" s="192"/>
      <c r="BX48" s="192"/>
      <c r="BY48" s="192"/>
      <c r="BZ48" s="192"/>
      <c r="CA48" s="192"/>
    </row>
    <row r="49" spans="1:79">
      <c r="A49" s="491"/>
      <c r="B49" s="494"/>
      <c r="C49" s="36" t="s">
        <v>238</v>
      </c>
      <c r="D49" s="111">
        <f>'Electrolysis Validation UK'!D8*'H2 production UK'!$A$72</f>
        <v>533.07289346501364</v>
      </c>
      <c r="E49" s="111">
        <f>'Electrolysis Validation UK'!E8*'H2 production UK'!$A$72</f>
        <v>430.06015864677448</v>
      </c>
      <c r="F49" s="111">
        <f>'Electrolysis Validation UK'!F8*'H2 production UK'!$A$72</f>
        <v>355.1418060516915</v>
      </c>
      <c r="G49" s="111">
        <f>'Electrolysis Validation UK'!G8*'H2 production UK'!$A$72</f>
        <v>295.3511977306157</v>
      </c>
      <c r="H49" s="111">
        <f>'Electrolysis Validation UK'!H8*'H2 production UK'!$A$72</f>
        <v>260.77349653288508</v>
      </c>
      <c r="I49" s="111">
        <f>'Electrolysis Validation UK'!I8*'H2 production UK'!$A$72</f>
        <v>233.39948308468163</v>
      </c>
      <c r="J49" s="111">
        <f>'Electrolysis Validation UK'!J8*'H2 production UK'!$A$72</f>
        <v>209.62731351124185</v>
      </c>
      <c r="K49" s="111">
        <f>'Electrolysis Validation UK'!D12*'H2 production UK'!$A$72</f>
        <v>851.4758919941163</v>
      </c>
      <c r="L49" s="111">
        <f>'Electrolysis Validation UK'!E12*'H2 production UK'!$A$72</f>
        <v>630.32267808363099</v>
      </c>
      <c r="M49" s="111">
        <f>'Electrolysis Validation UK'!F12*'H2 production UK'!$A$72</f>
        <v>500.65629859214118</v>
      </c>
      <c r="N49" s="111">
        <f>'Electrolysis Validation UK'!G12*'H2 production UK'!$A$72</f>
        <v>409.16946417314563</v>
      </c>
      <c r="O49" s="111">
        <f>'Electrolysis Validation UK'!H12*'H2 production UK'!$A$72</f>
        <v>350.09922462702247</v>
      </c>
      <c r="P49" s="111">
        <f>'Electrolysis Validation UK'!I12*'H2 production UK'!$A$72</f>
        <v>309.03820445471735</v>
      </c>
      <c r="Q49" s="111">
        <f>'Electrolysis Validation UK'!J12*'H2 production UK'!$A$72</f>
        <v>274.46050325698673</v>
      </c>
      <c r="R49" s="232"/>
      <c r="S49" s="273"/>
      <c r="T49" s="273"/>
      <c r="U49" s="273"/>
      <c r="V49" s="273"/>
      <c r="W49" s="273"/>
      <c r="X49" s="274"/>
      <c r="Y49" s="50"/>
      <c r="Z49" s="48"/>
      <c r="AA49" s="48"/>
      <c r="AB49" s="48"/>
      <c r="AC49" s="48"/>
      <c r="AD49" s="48"/>
      <c r="AE49" s="119"/>
      <c r="AF49" s="50"/>
      <c r="AG49" s="48"/>
      <c r="AH49" s="48"/>
      <c r="AI49" s="48"/>
      <c r="AJ49" s="48"/>
      <c r="AK49" s="48"/>
      <c r="AL49" s="49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2"/>
      <c r="BS49" s="192"/>
      <c r="BT49" s="192"/>
      <c r="BU49" s="192"/>
      <c r="BV49" s="192"/>
      <c r="BW49" s="192"/>
      <c r="BX49" s="192"/>
      <c r="BY49" s="192"/>
      <c r="BZ49" s="192"/>
      <c r="CA49" s="192"/>
    </row>
    <row r="50" spans="1:79">
      <c r="A50" s="34" t="s">
        <v>60</v>
      </c>
      <c r="B50" s="35" t="s">
        <v>57</v>
      </c>
      <c r="C50" s="36"/>
      <c r="D50" s="43">
        <v>3</v>
      </c>
      <c r="E50" s="130">
        <v>3</v>
      </c>
      <c r="F50" s="48">
        <v>3</v>
      </c>
      <c r="G50" s="48">
        <v>3</v>
      </c>
      <c r="H50" s="48">
        <v>3</v>
      </c>
      <c r="I50" s="48">
        <v>3</v>
      </c>
      <c r="J50" s="49">
        <v>3</v>
      </c>
      <c r="K50" s="46">
        <v>3</v>
      </c>
      <c r="L50" s="130">
        <v>3</v>
      </c>
      <c r="M50" s="48">
        <v>3</v>
      </c>
      <c r="N50" s="48">
        <v>3</v>
      </c>
      <c r="O50" s="48">
        <v>3</v>
      </c>
      <c r="P50" s="48">
        <v>3</v>
      </c>
      <c r="Q50" s="119">
        <v>3</v>
      </c>
      <c r="R50" s="233">
        <v>3</v>
      </c>
      <c r="S50" s="234">
        <v>3</v>
      </c>
      <c r="T50" s="235">
        <v>3</v>
      </c>
      <c r="U50" s="235">
        <v>3</v>
      </c>
      <c r="V50" s="235">
        <v>3</v>
      </c>
      <c r="W50" s="235">
        <v>3</v>
      </c>
      <c r="X50" s="236">
        <v>3</v>
      </c>
      <c r="Y50" s="43">
        <v>3</v>
      </c>
      <c r="Z50" s="130">
        <v>3</v>
      </c>
      <c r="AA50" s="48">
        <v>3</v>
      </c>
      <c r="AB50" s="48">
        <v>3</v>
      </c>
      <c r="AC50" s="48">
        <v>3</v>
      </c>
      <c r="AD50" s="48">
        <v>3</v>
      </c>
      <c r="AE50" s="119">
        <v>3</v>
      </c>
      <c r="AF50" s="43">
        <v>3</v>
      </c>
      <c r="AG50" s="130">
        <v>3</v>
      </c>
      <c r="AH50" s="48">
        <v>3</v>
      </c>
      <c r="AI50" s="48">
        <v>3</v>
      </c>
      <c r="AJ50" s="48">
        <v>3</v>
      </c>
      <c r="AK50" s="48">
        <v>3</v>
      </c>
      <c r="AL50" s="49">
        <v>3</v>
      </c>
      <c r="AM50" s="192"/>
      <c r="AN50" s="132"/>
      <c r="AO50" s="194"/>
      <c r="AP50" s="194"/>
      <c r="AQ50" s="194"/>
      <c r="AR50" s="194"/>
      <c r="AS50" s="194"/>
      <c r="AT50" s="192"/>
      <c r="AU50" s="132"/>
      <c r="AV50" s="194"/>
      <c r="AW50" s="194"/>
      <c r="AX50" s="194"/>
      <c r="AY50" s="194"/>
      <c r="AZ50" s="194"/>
      <c r="BA50" s="132"/>
      <c r="BB50" s="194"/>
      <c r="BC50" s="194"/>
      <c r="BD50" s="194"/>
      <c r="BE50" s="194"/>
      <c r="BF50" s="194"/>
      <c r="BG50" s="132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2"/>
      <c r="BX50" s="192"/>
      <c r="BY50" s="192"/>
      <c r="BZ50" s="192"/>
      <c r="CA50" s="192"/>
    </row>
    <row r="51" spans="1:79">
      <c r="A51" s="487" t="s">
        <v>61</v>
      </c>
      <c r="B51" s="35" t="s">
        <v>47</v>
      </c>
      <c r="C51" s="36" t="s">
        <v>62</v>
      </c>
      <c r="D51" s="133">
        <v>0.33333333333333331</v>
      </c>
      <c r="E51" s="134">
        <v>0.33333333333333331</v>
      </c>
      <c r="F51" s="134">
        <v>0.33333333333333331</v>
      </c>
      <c r="G51" s="134">
        <v>0.33333333333333331</v>
      </c>
      <c r="H51" s="134">
        <v>0.33333333333333331</v>
      </c>
      <c r="I51" s="134">
        <v>0.33333333333333331</v>
      </c>
      <c r="J51" s="135">
        <v>0.33333333333333331</v>
      </c>
      <c r="K51" s="136">
        <v>0.33333333333333331</v>
      </c>
      <c r="L51" s="134">
        <v>0.33333333333333331</v>
      </c>
      <c r="M51" s="134">
        <v>0.33333333333333331</v>
      </c>
      <c r="N51" s="134">
        <v>0.33333333333333331</v>
      </c>
      <c r="O51" s="134">
        <v>0.33333333333333331</v>
      </c>
      <c r="P51" s="134">
        <v>0.33333333333333331</v>
      </c>
      <c r="Q51" s="137">
        <v>0.33333333333333331</v>
      </c>
      <c r="R51" s="237">
        <v>0.33333333333333331</v>
      </c>
      <c r="S51" s="238">
        <v>0.33333333333333331</v>
      </c>
      <c r="T51" s="238">
        <v>0.33333333333333331</v>
      </c>
      <c r="U51" s="238">
        <v>0.33333333333333331</v>
      </c>
      <c r="V51" s="238">
        <v>0.33333333333333331</v>
      </c>
      <c r="W51" s="238">
        <v>0.33333333333333331</v>
      </c>
      <c r="X51" s="239">
        <v>0.33333333333333331</v>
      </c>
      <c r="Y51" s="133">
        <v>0.33333333333333331</v>
      </c>
      <c r="Z51" s="134">
        <v>0.33333333333333331</v>
      </c>
      <c r="AA51" s="134">
        <v>0.33333333333333331</v>
      </c>
      <c r="AB51" s="134">
        <v>0.33333333333333331</v>
      </c>
      <c r="AC51" s="134">
        <v>0.33333333333333331</v>
      </c>
      <c r="AD51" s="134">
        <v>0.33333333333333331</v>
      </c>
      <c r="AE51" s="137">
        <v>0.33333333333333331</v>
      </c>
      <c r="AF51" s="133">
        <v>0.33333333333333331</v>
      </c>
      <c r="AG51" s="134">
        <v>0.33333333333333331</v>
      </c>
      <c r="AH51" s="134">
        <v>0.33333333333333331</v>
      </c>
      <c r="AI51" s="134">
        <v>0.33333333333333331</v>
      </c>
      <c r="AJ51" s="134">
        <v>0.33333333333333331</v>
      </c>
      <c r="AK51" s="134">
        <v>0.33333333333333331</v>
      </c>
      <c r="AL51" s="135">
        <v>0.33333333333333331</v>
      </c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92"/>
      <c r="BX51" s="192"/>
      <c r="BY51" s="192"/>
      <c r="BZ51" s="192"/>
      <c r="CA51" s="192"/>
    </row>
    <row r="52" spans="1:79">
      <c r="A52" s="487"/>
      <c r="B52" s="35" t="s">
        <v>47</v>
      </c>
      <c r="C52" s="36" t="s">
        <v>63</v>
      </c>
      <c r="D52" s="133">
        <v>0.33333333333333331</v>
      </c>
      <c r="E52" s="134">
        <v>0.33333333333333331</v>
      </c>
      <c r="F52" s="134">
        <v>0.33333333333333331</v>
      </c>
      <c r="G52" s="134">
        <v>0.33333333333333331</v>
      </c>
      <c r="H52" s="134">
        <v>0.33333333333333331</v>
      </c>
      <c r="I52" s="134">
        <v>0.33333333333333331</v>
      </c>
      <c r="J52" s="135">
        <v>0.33333333333333331</v>
      </c>
      <c r="K52" s="136">
        <v>0.33333333333333331</v>
      </c>
      <c r="L52" s="134">
        <v>0.33333333333333331</v>
      </c>
      <c r="M52" s="134">
        <v>0.33333333333333331</v>
      </c>
      <c r="N52" s="134">
        <v>0.33333333333333331</v>
      </c>
      <c r="O52" s="134">
        <v>0.33333333333333331</v>
      </c>
      <c r="P52" s="134">
        <v>0.33333333333333331</v>
      </c>
      <c r="Q52" s="137">
        <v>0.33333333333333331</v>
      </c>
      <c r="R52" s="237">
        <v>0.33333333333333331</v>
      </c>
      <c r="S52" s="238">
        <v>0.33333333333333331</v>
      </c>
      <c r="T52" s="238">
        <v>0.33333333333333331</v>
      </c>
      <c r="U52" s="238">
        <v>0.33333333333333331</v>
      </c>
      <c r="V52" s="238">
        <v>0.33333333333333331</v>
      </c>
      <c r="W52" s="238">
        <v>0.33333333333333331</v>
      </c>
      <c r="X52" s="239">
        <v>0.33333333333333331</v>
      </c>
      <c r="Y52" s="133">
        <v>0.33333333333333331</v>
      </c>
      <c r="Z52" s="134">
        <v>0.33333333333333331</v>
      </c>
      <c r="AA52" s="134">
        <v>0.33333333333333331</v>
      </c>
      <c r="AB52" s="134">
        <v>0.33333333333333331</v>
      </c>
      <c r="AC52" s="134">
        <v>0.33333333333333331</v>
      </c>
      <c r="AD52" s="134">
        <v>0.33333333333333331</v>
      </c>
      <c r="AE52" s="137">
        <v>0.33333333333333331</v>
      </c>
      <c r="AF52" s="133">
        <v>0.33333333333333331</v>
      </c>
      <c r="AG52" s="134">
        <v>0.33333333333333331</v>
      </c>
      <c r="AH52" s="134">
        <v>0.33333333333333331</v>
      </c>
      <c r="AI52" s="134">
        <v>0.33333333333333331</v>
      </c>
      <c r="AJ52" s="134">
        <v>0.33333333333333331</v>
      </c>
      <c r="AK52" s="134">
        <v>0.33333333333333331</v>
      </c>
      <c r="AL52" s="135">
        <v>0.33333333333333331</v>
      </c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92"/>
      <c r="BX52" s="192"/>
      <c r="BY52" s="192"/>
      <c r="BZ52" s="192"/>
      <c r="CA52" s="192"/>
    </row>
    <row r="53" spans="1:79">
      <c r="A53" s="487"/>
      <c r="B53" s="35" t="s">
        <v>47</v>
      </c>
      <c r="C53" s="36" t="s">
        <v>64</v>
      </c>
      <c r="D53" s="133">
        <v>0.33333333333333331</v>
      </c>
      <c r="E53" s="134">
        <v>0.33333333333333331</v>
      </c>
      <c r="F53" s="134">
        <v>0.33333333333333331</v>
      </c>
      <c r="G53" s="134">
        <v>0.33333333333333331</v>
      </c>
      <c r="H53" s="134">
        <v>0.33333333333333331</v>
      </c>
      <c r="I53" s="134">
        <v>0.33333333333333331</v>
      </c>
      <c r="J53" s="135">
        <v>0.33333333333333331</v>
      </c>
      <c r="K53" s="136">
        <v>0.33333333333333331</v>
      </c>
      <c r="L53" s="134">
        <v>0.33333333333333331</v>
      </c>
      <c r="M53" s="134">
        <v>0.33333333333333331</v>
      </c>
      <c r="N53" s="134">
        <v>0.33333333333333331</v>
      </c>
      <c r="O53" s="134">
        <v>0.33333333333333331</v>
      </c>
      <c r="P53" s="134">
        <v>0.33333333333333331</v>
      </c>
      <c r="Q53" s="135">
        <v>0.33333333333333331</v>
      </c>
      <c r="R53" s="240">
        <v>0.33333333333333331</v>
      </c>
      <c r="S53" s="238">
        <v>0.33333333333333331</v>
      </c>
      <c r="T53" s="238">
        <v>0.33333333333333331</v>
      </c>
      <c r="U53" s="238">
        <v>0.33333333333333331</v>
      </c>
      <c r="V53" s="238">
        <v>0.33333333333333331</v>
      </c>
      <c r="W53" s="238">
        <v>0.33333333333333331</v>
      </c>
      <c r="X53" s="239">
        <v>0.33333333333333331</v>
      </c>
      <c r="Y53" s="136">
        <v>0.33333333333333331</v>
      </c>
      <c r="Z53" s="134">
        <v>0.33333333333333331</v>
      </c>
      <c r="AA53" s="134">
        <v>0.33333333333333331</v>
      </c>
      <c r="AB53" s="134">
        <v>0.33333333333333331</v>
      </c>
      <c r="AC53" s="134">
        <v>0.33333333333333331</v>
      </c>
      <c r="AD53" s="134">
        <v>0.33333333333333331</v>
      </c>
      <c r="AE53" s="137">
        <v>0.33333333333333331</v>
      </c>
      <c r="AF53" s="133">
        <v>0.33333333333333331</v>
      </c>
      <c r="AG53" s="134">
        <v>0.33333333333333331</v>
      </c>
      <c r="AH53" s="134">
        <v>0.33333333333333331</v>
      </c>
      <c r="AI53" s="134">
        <v>0.33333333333333331</v>
      </c>
      <c r="AJ53" s="134">
        <v>0.33333333333333331</v>
      </c>
      <c r="AK53" s="134">
        <v>0.33333333333333331</v>
      </c>
      <c r="AL53" s="135">
        <v>0.33333333333333331</v>
      </c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92"/>
      <c r="BX53" s="192"/>
      <c r="BY53" s="192"/>
      <c r="BZ53" s="192"/>
      <c r="CA53" s="192"/>
    </row>
    <row r="54" spans="1:79">
      <c r="A54" s="485" t="s">
        <v>65</v>
      </c>
      <c r="B54" s="486" t="s">
        <v>79</v>
      </c>
      <c r="C54" s="36" t="s">
        <v>51</v>
      </c>
      <c r="D54" s="43">
        <f>D21*$A$64*$A$72</f>
        <v>20.459716758457905</v>
      </c>
      <c r="E54" s="43">
        <f t="shared" ref="E54:W54" si="12">E21*$A$64*$A$72</f>
        <v>20.042171518489379</v>
      </c>
      <c r="F54" s="43">
        <f t="shared" si="12"/>
        <v>19.836821400472068</v>
      </c>
      <c r="G54" s="43">
        <f t="shared" si="12"/>
        <v>19.734146341463415</v>
      </c>
      <c r="H54" s="43">
        <f t="shared" si="12"/>
        <v>19.624626278520854</v>
      </c>
      <c r="I54" s="43">
        <f t="shared" si="12"/>
        <v>19.624626278520854</v>
      </c>
      <c r="J54" s="43">
        <f t="shared" si="12"/>
        <v>19.624626278520854</v>
      </c>
      <c r="K54" s="43">
        <f t="shared" si="12"/>
        <v>22.164122738001577</v>
      </c>
      <c r="L54" s="43">
        <f t="shared" si="12"/>
        <v>21.705507474429581</v>
      </c>
      <c r="M54" s="43">
        <f t="shared" si="12"/>
        <v>21.363257277734068</v>
      </c>
      <c r="N54" s="43">
        <f t="shared" si="12"/>
        <v>21.082612116443745</v>
      </c>
      <c r="O54" s="43">
        <f t="shared" si="12"/>
        <v>21.253737214791503</v>
      </c>
      <c r="P54" s="43">
        <f t="shared" si="12"/>
        <v>20.678756884343038</v>
      </c>
      <c r="Q54" s="43">
        <f t="shared" si="12"/>
        <v>20.562391817466562</v>
      </c>
      <c r="R54" s="222">
        <f t="shared" si="12"/>
        <v>35.566640440597958</v>
      </c>
      <c r="S54" s="222">
        <f t="shared" si="12"/>
        <v>33.882769472856019</v>
      </c>
      <c r="T54" s="222">
        <f t="shared" si="12"/>
        <v>33.4036191974823</v>
      </c>
      <c r="U54" s="222">
        <f t="shared" si="12"/>
        <v>33.164044059795437</v>
      </c>
      <c r="V54" s="222">
        <f t="shared" si="12"/>
        <v>32.924468922108581</v>
      </c>
      <c r="W54" s="222">
        <f t="shared" si="12"/>
        <v>32.856018882769476</v>
      </c>
      <c r="X54" s="222">
        <f>X21*$A$64*$A$72</f>
        <v>32.78072383949646</v>
      </c>
      <c r="Y54" s="120"/>
      <c r="Z54" s="48"/>
      <c r="AA54" s="48"/>
      <c r="AB54" s="48"/>
      <c r="AC54" s="48"/>
      <c r="AD54" s="48"/>
      <c r="AE54" s="49"/>
      <c r="AF54" s="120"/>
      <c r="AG54" s="48"/>
      <c r="AH54" s="48"/>
      <c r="AI54" s="48"/>
      <c r="AJ54" s="48"/>
      <c r="AK54" s="48"/>
      <c r="AL54" s="49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2"/>
      <c r="BX54" s="192"/>
      <c r="BY54" s="192"/>
      <c r="BZ54" s="192"/>
      <c r="CA54" s="192"/>
    </row>
    <row r="55" spans="1:79">
      <c r="A55" s="485"/>
      <c r="B55" s="486"/>
      <c r="C55" s="36" t="s">
        <v>52</v>
      </c>
      <c r="D55" s="43">
        <f t="shared" ref="D55:AL55" si="13">D22*$A$64*$A$72</f>
        <v>21.294807238394963</v>
      </c>
      <c r="E55" s="43">
        <f t="shared" si="13"/>
        <v>20.877261998426437</v>
      </c>
      <c r="F55" s="43">
        <f t="shared" si="13"/>
        <v>20.569236821400473</v>
      </c>
      <c r="G55" s="43">
        <f t="shared" si="13"/>
        <v>20.411801730920534</v>
      </c>
      <c r="H55" s="43">
        <f t="shared" si="13"/>
        <v>20.254366640440598</v>
      </c>
      <c r="I55" s="43">
        <f t="shared" si="13"/>
        <v>20.151691581431944</v>
      </c>
      <c r="J55" s="43">
        <f t="shared" si="13"/>
        <v>20.042171518489379</v>
      </c>
      <c r="K55" s="43">
        <f t="shared" si="13"/>
        <v>25.134854445318645</v>
      </c>
      <c r="L55" s="43">
        <f t="shared" si="13"/>
        <v>23.765853658536585</v>
      </c>
      <c r="M55" s="43">
        <f t="shared" si="13"/>
        <v>22.848623131392607</v>
      </c>
      <c r="N55" s="43">
        <f t="shared" si="13"/>
        <v>22.506372934697094</v>
      </c>
      <c r="O55" s="43">
        <f t="shared" si="13"/>
        <v>22.164122738001577</v>
      </c>
      <c r="P55" s="43">
        <f t="shared" si="13"/>
        <v>22.047757671125098</v>
      </c>
      <c r="Q55" s="43">
        <f t="shared" si="13"/>
        <v>21.938237608182529</v>
      </c>
      <c r="R55" s="222">
        <f t="shared" si="13"/>
        <v>37.490086546026753</v>
      </c>
      <c r="S55" s="222">
        <f t="shared" si="13"/>
        <v>36.292210857592451</v>
      </c>
      <c r="T55" s="222">
        <f t="shared" si="13"/>
        <v>35.327065302911095</v>
      </c>
      <c r="U55" s="222">
        <f t="shared" si="13"/>
        <v>34.724704956726988</v>
      </c>
      <c r="V55" s="222">
        <f t="shared" si="13"/>
        <v>34.129189614476793</v>
      </c>
      <c r="W55" s="222">
        <f t="shared" si="13"/>
        <v>33.882769472856019</v>
      </c>
      <c r="X55" s="222">
        <f t="shared" si="13"/>
        <v>33.643194335169156</v>
      </c>
      <c r="Y55" s="43">
        <f t="shared" si="13"/>
        <v>19.213926042486232</v>
      </c>
      <c r="Z55" s="43">
        <f t="shared" si="13"/>
        <v>19.213926042486232</v>
      </c>
      <c r="AA55" s="43">
        <f t="shared" si="13"/>
        <v>19.213926042486232</v>
      </c>
      <c r="AB55" s="43">
        <f t="shared" si="13"/>
        <v>19.213926042486232</v>
      </c>
      <c r="AC55" s="43">
        <f t="shared" si="13"/>
        <v>19.213926042486232</v>
      </c>
      <c r="AD55" s="43">
        <f t="shared" si="13"/>
        <v>19.213926042486232</v>
      </c>
      <c r="AE55" s="43">
        <f t="shared" si="13"/>
        <v>19.213926042486232</v>
      </c>
      <c r="AF55" s="43">
        <f t="shared" si="13"/>
        <v>19.213926042486232</v>
      </c>
      <c r="AG55" s="43">
        <f t="shared" si="13"/>
        <v>19.213926042486232</v>
      </c>
      <c r="AH55" s="43">
        <f t="shared" si="13"/>
        <v>19.213926042486232</v>
      </c>
      <c r="AI55" s="43">
        <f t="shared" si="13"/>
        <v>19.213926042486232</v>
      </c>
      <c r="AJ55" s="43">
        <f t="shared" si="13"/>
        <v>19.213926042486232</v>
      </c>
      <c r="AK55" s="43">
        <f t="shared" si="13"/>
        <v>19.213926042486232</v>
      </c>
      <c r="AL55" s="43">
        <f t="shared" si="13"/>
        <v>19.213926042486232</v>
      </c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207"/>
      <c r="BN55" s="207"/>
      <c r="BO55" s="207"/>
      <c r="BP55" s="207"/>
      <c r="BQ55" s="207"/>
      <c r="BR55" s="208"/>
      <c r="BS55" s="207"/>
      <c r="BT55" s="207"/>
      <c r="BU55" s="207"/>
      <c r="BV55" s="207"/>
      <c r="BW55" s="192"/>
      <c r="BX55" s="192"/>
      <c r="BY55" s="192"/>
      <c r="BZ55" s="192"/>
      <c r="CA55" s="192"/>
    </row>
    <row r="56" spans="1:79">
      <c r="A56" s="485"/>
      <c r="B56" s="486"/>
      <c r="C56" s="36" t="s">
        <v>53</v>
      </c>
      <c r="D56" s="43">
        <f t="shared" ref="D56:X56" si="14">D23*$A$64*$A$72</f>
        <v>25.052714398111725</v>
      </c>
      <c r="E56" s="43">
        <f t="shared" si="14"/>
        <v>24.012273800157356</v>
      </c>
      <c r="F56" s="43">
        <f t="shared" si="14"/>
        <v>23.382533438237608</v>
      </c>
      <c r="G56" s="43">
        <f t="shared" si="14"/>
        <v>22.964988198269079</v>
      </c>
      <c r="H56" s="43">
        <f t="shared" si="14"/>
        <v>22.547442958300547</v>
      </c>
      <c r="I56" s="43">
        <f t="shared" si="14"/>
        <v>22.342092840283239</v>
      </c>
      <c r="J56" s="43">
        <f t="shared" si="14"/>
        <v>22.129897718332021</v>
      </c>
      <c r="K56" s="43">
        <f t="shared" si="14"/>
        <v>29.248701809598746</v>
      </c>
      <c r="L56" s="43">
        <f t="shared" si="14"/>
        <v>26.962470495672701</v>
      </c>
      <c r="M56" s="43">
        <f t="shared" si="14"/>
        <v>25.360739575137689</v>
      </c>
      <c r="N56" s="43">
        <f t="shared" si="14"/>
        <v>24.676239181746659</v>
      </c>
      <c r="O56" s="43">
        <f t="shared" si="14"/>
        <v>23.991738788355629</v>
      </c>
      <c r="P56" s="43">
        <f t="shared" si="14"/>
        <v>23.765853658536585</v>
      </c>
      <c r="Q56" s="43">
        <f t="shared" si="14"/>
        <v>23.533123524783637</v>
      </c>
      <c r="R56" s="222">
        <f t="shared" si="14"/>
        <v>38.455232100708102</v>
      </c>
      <c r="S56" s="222">
        <f t="shared" si="14"/>
        <v>37.490086546026753</v>
      </c>
      <c r="T56" s="222">
        <f t="shared" si="14"/>
        <v>36.531785995279314</v>
      </c>
      <c r="U56" s="222">
        <f t="shared" si="14"/>
        <v>36.169000786782064</v>
      </c>
      <c r="V56" s="222">
        <f t="shared" si="14"/>
        <v>35.806215578284821</v>
      </c>
      <c r="W56" s="222">
        <f t="shared" si="14"/>
        <v>35.689850511408338</v>
      </c>
      <c r="X56" s="222">
        <f t="shared" si="14"/>
        <v>35.566640440597958</v>
      </c>
      <c r="Y56" s="120"/>
      <c r="Z56" s="48"/>
      <c r="AA56" s="48"/>
      <c r="AB56" s="48"/>
      <c r="AC56" s="48"/>
      <c r="AD56" s="48"/>
      <c r="AE56" s="49"/>
      <c r="AF56" s="120"/>
      <c r="AG56" s="48"/>
      <c r="AH56" s="48"/>
      <c r="AI56" s="48"/>
      <c r="AJ56" s="48"/>
      <c r="AK56" s="48"/>
      <c r="AL56" s="49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209"/>
      <c r="BH56" s="209"/>
      <c r="BI56" s="209"/>
      <c r="BJ56" s="209"/>
      <c r="BK56" s="209"/>
      <c r="BL56" s="209"/>
      <c r="BM56" s="210"/>
      <c r="BN56" s="210"/>
      <c r="BO56" s="210"/>
      <c r="BP56" s="210"/>
      <c r="BQ56" s="210"/>
      <c r="BR56" s="210"/>
      <c r="BS56" s="210"/>
      <c r="BT56" s="210"/>
      <c r="BU56" s="210"/>
      <c r="BV56" s="210"/>
      <c r="BW56" s="192"/>
      <c r="BX56" s="192"/>
      <c r="BY56" s="192"/>
      <c r="BZ56" s="192"/>
      <c r="CA56" s="192"/>
    </row>
    <row r="57" spans="1:79">
      <c r="A57" s="485" t="s">
        <v>67</v>
      </c>
      <c r="B57" s="486" t="s">
        <v>80</v>
      </c>
      <c r="C57" s="36" t="s">
        <v>51</v>
      </c>
      <c r="D57" s="152">
        <f>D24*$A$69*$A$64</f>
        <v>0.14613914802742498</v>
      </c>
      <c r="E57" s="152">
        <f t="shared" ref="E57:X57" si="15">E24*$A$69*$A$64</f>
        <v>0.13728222996515682</v>
      </c>
      <c r="F57" s="152">
        <f t="shared" si="15"/>
        <v>0.12842531190288861</v>
      </c>
      <c r="G57" s="152">
        <f t="shared" si="15"/>
        <v>0.12399685287175452</v>
      </c>
      <c r="H57" s="152">
        <f t="shared" si="15"/>
        <v>0.12399685287175452</v>
      </c>
      <c r="I57" s="152">
        <f t="shared" si="15"/>
        <v>0.12399685287175452</v>
      </c>
      <c r="J57" s="152">
        <f t="shared" si="15"/>
        <v>0.12399685287175452</v>
      </c>
      <c r="K57" s="152">
        <f t="shared" si="15"/>
        <v>0.12842531190288861</v>
      </c>
      <c r="L57" s="152">
        <f t="shared" si="15"/>
        <v>0.11513993480948635</v>
      </c>
      <c r="M57" s="152">
        <f t="shared" si="15"/>
        <v>0.10185455771608407</v>
      </c>
      <c r="N57" s="152">
        <f t="shared" si="15"/>
        <v>9.7426098684949988E-2</v>
      </c>
      <c r="O57" s="152">
        <f t="shared" si="15"/>
        <v>9.2997639653815897E-2</v>
      </c>
      <c r="P57" s="152">
        <f t="shared" si="15"/>
        <v>9.2997639653815897E-2</v>
      </c>
      <c r="Q57" s="152">
        <f t="shared" si="15"/>
        <v>9.2997639653815897E-2</v>
      </c>
      <c r="R57" s="241">
        <f t="shared" si="15"/>
        <v>0.34984826345959319</v>
      </c>
      <c r="S57" s="241">
        <f t="shared" si="15"/>
        <v>0.30999213217938631</v>
      </c>
      <c r="T57" s="241">
        <f t="shared" si="15"/>
        <v>0.28342137799258177</v>
      </c>
      <c r="U57" s="241">
        <f t="shared" si="15"/>
        <v>0.2701360008991795</v>
      </c>
      <c r="V57" s="241">
        <f t="shared" si="15"/>
        <v>0.25242216477464313</v>
      </c>
      <c r="W57" s="241">
        <f t="shared" si="15"/>
        <v>0.25242216477464313</v>
      </c>
      <c r="X57" s="241">
        <f t="shared" si="15"/>
        <v>0.25242216477464313</v>
      </c>
      <c r="Y57" s="46"/>
      <c r="Z57" s="44"/>
      <c r="AA57" s="44"/>
      <c r="AB57" s="44"/>
      <c r="AC57" s="44"/>
      <c r="AD57" s="44"/>
      <c r="AE57" s="47"/>
      <c r="AF57" s="43"/>
      <c r="AG57" s="44"/>
      <c r="AH57" s="44"/>
      <c r="AI57" s="44"/>
      <c r="AJ57" s="44"/>
      <c r="AK57" s="44"/>
      <c r="AL57" s="45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  <c r="BJ57" s="192"/>
      <c r="BK57" s="192"/>
      <c r="BL57" s="192"/>
      <c r="BM57" s="207"/>
      <c r="BN57" s="207"/>
      <c r="BO57" s="207"/>
      <c r="BP57" s="207"/>
      <c r="BQ57" s="207"/>
      <c r="BR57" s="207"/>
      <c r="BS57" s="207"/>
      <c r="BT57" s="207"/>
      <c r="BU57" s="207"/>
      <c r="BV57" s="207"/>
      <c r="BW57" s="192"/>
      <c r="BX57" s="192"/>
      <c r="BY57" s="192"/>
      <c r="BZ57" s="192"/>
      <c r="CA57" s="192"/>
    </row>
    <row r="58" spans="1:79">
      <c r="A58" s="485"/>
      <c r="B58" s="486"/>
      <c r="C58" s="36" t="s">
        <v>52</v>
      </c>
      <c r="D58" s="152">
        <f t="shared" ref="D58:AL58" si="16">D25*$A$69*$A$64</f>
        <v>0.19928065640103407</v>
      </c>
      <c r="E58" s="152">
        <f t="shared" si="16"/>
        <v>0.19042373833876586</v>
      </c>
      <c r="F58" s="152">
        <f t="shared" si="16"/>
        <v>0.18599527930763179</v>
      </c>
      <c r="G58" s="152">
        <f t="shared" si="16"/>
        <v>0.1815668202764977</v>
      </c>
      <c r="H58" s="152">
        <f t="shared" si="16"/>
        <v>0.17713836124536358</v>
      </c>
      <c r="I58" s="152">
        <f t="shared" si="16"/>
        <v>0.17713836124536358</v>
      </c>
      <c r="J58" s="152">
        <f t="shared" si="16"/>
        <v>0.17713836124536358</v>
      </c>
      <c r="K58" s="152">
        <f t="shared" si="16"/>
        <v>0.17270990221422949</v>
      </c>
      <c r="L58" s="152">
        <f t="shared" si="16"/>
        <v>0.15499606608969316</v>
      </c>
      <c r="M58" s="152">
        <f t="shared" si="16"/>
        <v>0.13728222996515682</v>
      </c>
      <c r="N58" s="152">
        <f t="shared" si="16"/>
        <v>0.1328537709340227</v>
      </c>
      <c r="O58" s="152">
        <f t="shared" si="16"/>
        <v>0.12842531190288861</v>
      </c>
      <c r="P58" s="152">
        <f t="shared" si="16"/>
        <v>0.12842531190288861</v>
      </c>
      <c r="Q58" s="152">
        <f t="shared" si="16"/>
        <v>0.12842531190288861</v>
      </c>
      <c r="R58" s="241">
        <f t="shared" si="16"/>
        <v>0.52698662470495672</v>
      </c>
      <c r="S58" s="241">
        <f t="shared" si="16"/>
        <v>0.46055973923794541</v>
      </c>
      <c r="T58" s="241">
        <f t="shared" si="16"/>
        <v>0.39856131280206814</v>
      </c>
      <c r="U58" s="241">
        <f t="shared" si="16"/>
        <v>0.36756209958412944</v>
      </c>
      <c r="V58" s="241">
        <f t="shared" si="16"/>
        <v>0.33656288636619086</v>
      </c>
      <c r="W58" s="241">
        <f t="shared" si="16"/>
        <v>0.33213442733505677</v>
      </c>
      <c r="X58" s="241">
        <f t="shared" si="16"/>
        <v>0.33213442733505677</v>
      </c>
      <c r="Y58" s="152">
        <f t="shared" si="16"/>
        <v>4.4284590311340901E-3</v>
      </c>
      <c r="Z58" s="152">
        <f t="shared" si="16"/>
        <v>4.4284590311340901E-3</v>
      </c>
      <c r="AA58" s="152">
        <f t="shared" si="16"/>
        <v>4.4284590311340901E-3</v>
      </c>
      <c r="AB58" s="152">
        <f t="shared" si="16"/>
        <v>4.4284590311340901E-3</v>
      </c>
      <c r="AC58" s="152">
        <f t="shared" si="16"/>
        <v>4.4284590311340901E-3</v>
      </c>
      <c r="AD58" s="152">
        <f t="shared" si="16"/>
        <v>4.4284590311340901E-3</v>
      </c>
      <c r="AE58" s="152">
        <f t="shared" si="16"/>
        <v>4.4284590311340901E-3</v>
      </c>
      <c r="AF58" s="152">
        <f t="shared" si="16"/>
        <v>4.4284590311340901E-3</v>
      </c>
      <c r="AG58" s="152">
        <f t="shared" si="16"/>
        <v>4.4284590311340901E-3</v>
      </c>
      <c r="AH58" s="152">
        <f t="shared" si="16"/>
        <v>4.4284590311340901E-3</v>
      </c>
      <c r="AI58" s="152">
        <f t="shared" si="16"/>
        <v>4.4284590311340901E-3</v>
      </c>
      <c r="AJ58" s="152">
        <f t="shared" si="16"/>
        <v>4.4284590311340901E-3</v>
      </c>
      <c r="AK58" s="152">
        <f t="shared" si="16"/>
        <v>4.4284590311340901E-3</v>
      </c>
      <c r="AL58" s="152">
        <f t="shared" si="16"/>
        <v>4.4284590311340901E-3</v>
      </c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1"/>
      <c r="BB58" s="211"/>
      <c r="BC58" s="211"/>
      <c r="BD58" s="211"/>
      <c r="BE58" s="211"/>
      <c r="BF58" s="211"/>
      <c r="BG58" s="211"/>
      <c r="BH58" s="211"/>
      <c r="BI58" s="211"/>
      <c r="BJ58" s="211"/>
      <c r="BK58" s="211"/>
      <c r="BL58" s="211"/>
      <c r="BM58" s="212"/>
      <c r="BN58" s="212"/>
      <c r="BO58" s="212"/>
      <c r="BP58" s="212"/>
      <c r="BQ58" s="212"/>
      <c r="BR58" s="212"/>
      <c r="BS58" s="212"/>
      <c r="BT58" s="212"/>
      <c r="BU58" s="212"/>
      <c r="BV58" s="212"/>
      <c r="BW58" s="192"/>
      <c r="BX58" s="192"/>
      <c r="BY58" s="192"/>
      <c r="BZ58" s="192"/>
      <c r="CA58" s="192"/>
    </row>
    <row r="59" spans="1:79">
      <c r="A59" s="485"/>
      <c r="B59" s="486"/>
      <c r="C59" s="36" t="s">
        <v>53</v>
      </c>
      <c r="D59" s="152">
        <f t="shared" ref="D59:X59" si="17">D26*$A$69*$A$64</f>
        <v>0.30113521411711813</v>
      </c>
      <c r="E59" s="152">
        <f t="shared" si="17"/>
        <v>0.28342137799258177</v>
      </c>
      <c r="F59" s="152">
        <f t="shared" si="17"/>
        <v>0.2701360008991795</v>
      </c>
      <c r="G59" s="152">
        <f t="shared" si="17"/>
        <v>0.26127908283691131</v>
      </c>
      <c r="H59" s="152">
        <f t="shared" si="17"/>
        <v>0.25685062380577722</v>
      </c>
      <c r="I59" s="152">
        <f t="shared" si="17"/>
        <v>0.25242216477464313</v>
      </c>
      <c r="J59" s="152">
        <f t="shared" si="17"/>
        <v>0.25242216477464313</v>
      </c>
      <c r="K59" s="152">
        <f t="shared" si="17"/>
        <v>0.39413285377093399</v>
      </c>
      <c r="L59" s="152">
        <f t="shared" si="17"/>
        <v>0.33656288636619086</v>
      </c>
      <c r="M59" s="152">
        <f t="shared" si="17"/>
        <v>0.28784983702371586</v>
      </c>
      <c r="N59" s="152">
        <f t="shared" si="17"/>
        <v>0.27456445993031364</v>
      </c>
      <c r="O59" s="152">
        <f t="shared" si="17"/>
        <v>0.25685062380577722</v>
      </c>
      <c r="P59" s="152">
        <f t="shared" si="17"/>
        <v>0.25242216477464313</v>
      </c>
      <c r="Q59" s="152">
        <f t="shared" si="17"/>
        <v>0.25242216477464313</v>
      </c>
      <c r="R59" s="241">
        <f t="shared" si="17"/>
        <v>0.89012026525795207</v>
      </c>
      <c r="S59" s="241">
        <f t="shared" si="17"/>
        <v>0.78826570754186798</v>
      </c>
      <c r="T59" s="241">
        <f t="shared" si="17"/>
        <v>0.69083960885691797</v>
      </c>
      <c r="U59" s="241">
        <f t="shared" si="17"/>
        <v>0.65984039563897945</v>
      </c>
      <c r="V59" s="241">
        <f t="shared" si="17"/>
        <v>0.62884118242104081</v>
      </c>
      <c r="W59" s="241">
        <f t="shared" si="17"/>
        <v>0.62884118242104081</v>
      </c>
      <c r="X59" s="241">
        <f t="shared" si="17"/>
        <v>0.62441272338990672</v>
      </c>
      <c r="Y59" s="43"/>
      <c r="Z59" s="44"/>
      <c r="AA59" s="44"/>
      <c r="AB59" s="44"/>
      <c r="AC59" s="44"/>
      <c r="AD59" s="44"/>
      <c r="AE59" s="47"/>
      <c r="AF59" s="43"/>
      <c r="AG59" s="44"/>
      <c r="AH59" s="44"/>
      <c r="AI59" s="44"/>
      <c r="AJ59" s="44"/>
      <c r="AK59" s="44"/>
      <c r="AL59" s="45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92"/>
      <c r="BM59" s="192"/>
      <c r="BN59" s="192"/>
      <c r="BO59" s="192"/>
      <c r="BP59" s="192"/>
      <c r="BQ59" s="192"/>
      <c r="BR59" s="192"/>
      <c r="BS59" s="192"/>
      <c r="BT59" s="192"/>
      <c r="BU59" s="192"/>
      <c r="BV59" s="192"/>
      <c r="BW59" s="192"/>
      <c r="BX59" s="192"/>
      <c r="BY59" s="192"/>
      <c r="BZ59" s="192"/>
      <c r="CA59" s="192"/>
    </row>
    <row r="60" spans="1:79" ht="13.5" thickBot="1">
      <c r="A60" s="169" t="s">
        <v>69</v>
      </c>
      <c r="B60" s="170" t="s">
        <v>47</v>
      </c>
      <c r="C60" s="171"/>
      <c r="D60" s="172">
        <v>0.1</v>
      </c>
      <c r="E60" s="173">
        <v>0.1</v>
      </c>
      <c r="F60" s="173">
        <v>0.1</v>
      </c>
      <c r="G60" s="173">
        <v>0.1</v>
      </c>
      <c r="H60" s="173">
        <v>0.1</v>
      </c>
      <c r="I60" s="173">
        <v>0.1</v>
      </c>
      <c r="J60" s="174">
        <v>0.1</v>
      </c>
      <c r="K60" s="175">
        <v>0.1</v>
      </c>
      <c r="L60" s="173">
        <v>0.1</v>
      </c>
      <c r="M60" s="173">
        <v>0.1</v>
      </c>
      <c r="N60" s="173">
        <v>0.1</v>
      </c>
      <c r="O60" s="173">
        <v>0.1</v>
      </c>
      <c r="P60" s="173">
        <v>0.1</v>
      </c>
      <c r="Q60" s="174">
        <v>0.1</v>
      </c>
      <c r="R60" s="242">
        <v>0.1</v>
      </c>
      <c r="S60" s="243">
        <v>0.1</v>
      </c>
      <c r="T60" s="243">
        <v>0.1</v>
      </c>
      <c r="U60" s="243">
        <v>0.1</v>
      </c>
      <c r="V60" s="243">
        <v>0.1</v>
      </c>
      <c r="W60" s="243">
        <v>0.1</v>
      </c>
      <c r="X60" s="244">
        <v>0.1</v>
      </c>
      <c r="Y60" s="172">
        <v>0.1</v>
      </c>
      <c r="Z60" s="173">
        <v>0.1</v>
      </c>
      <c r="AA60" s="173">
        <v>0.1</v>
      </c>
      <c r="AB60" s="173">
        <v>0.1</v>
      </c>
      <c r="AC60" s="173">
        <v>0.1</v>
      </c>
      <c r="AD60" s="173">
        <v>0.1</v>
      </c>
      <c r="AE60" s="176">
        <v>0.1</v>
      </c>
      <c r="AF60" s="172">
        <v>0.1</v>
      </c>
      <c r="AG60" s="173">
        <v>0.1</v>
      </c>
      <c r="AH60" s="173">
        <v>0.1</v>
      </c>
      <c r="AI60" s="173">
        <v>0.1</v>
      </c>
      <c r="AJ60" s="173">
        <v>0.1</v>
      </c>
      <c r="AK60" s="173">
        <v>0.1</v>
      </c>
      <c r="AL60" s="174">
        <v>0.1</v>
      </c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  <c r="BC60" s="213"/>
      <c r="BD60" s="213"/>
      <c r="BE60" s="213"/>
      <c r="BF60" s="213"/>
      <c r="BG60" s="213"/>
      <c r="BH60" s="213"/>
      <c r="BI60" s="213"/>
      <c r="BJ60" s="213"/>
      <c r="BK60" s="213"/>
      <c r="BL60" s="213"/>
      <c r="BM60" s="213"/>
      <c r="BN60" s="213"/>
      <c r="BO60" s="213"/>
      <c r="BP60" s="213"/>
      <c r="BQ60" s="213"/>
      <c r="BR60" s="213"/>
      <c r="BS60" s="213"/>
      <c r="BT60" s="213"/>
      <c r="BU60" s="213"/>
      <c r="BV60" s="213"/>
      <c r="BW60" s="192"/>
      <c r="BX60" s="192"/>
      <c r="BY60" s="192"/>
      <c r="BZ60" s="192"/>
      <c r="CA60" s="192"/>
    </row>
    <row r="61" spans="1:79"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  <c r="BJ61" s="192"/>
      <c r="BK61" s="192"/>
      <c r="BL61" s="192"/>
      <c r="BM61" s="192"/>
      <c r="BN61" s="192"/>
      <c r="BO61" s="192"/>
      <c r="BP61" s="192"/>
      <c r="BQ61" s="192"/>
      <c r="BR61" s="192"/>
      <c r="BS61" s="192"/>
      <c r="BT61" s="192"/>
      <c r="BU61" s="192"/>
      <c r="BV61" s="192"/>
      <c r="BW61" s="192"/>
      <c r="BX61" s="192"/>
      <c r="BY61" s="192"/>
      <c r="BZ61" s="192"/>
      <c r="CA61" s="192"/>
    </row>
    <row r="62" spans="1:79" ht="13.5" thickBot="1"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</row>
    <row r="63" spans="1:79">
      <c r="A63" s="214" t="s">
        <v>73</v>
      </c>
      <c r="B63" s="215"/>
      <c r="C63" s="216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92"/>
      <c r="BM63" s="192"/>
      <c r="BN63" s="192"/>
      <c r="BO63" s="192"/>
      <c r="BP63" s="192"/>
      <c r="BQ63" s="192"/>
      <c r="BR63" s="192"/>
      <c r="BS63" s="192"/>
      <c r="BT63" s="192"/>
      <c r="BU63" s="192"/>
      <c r="BV63" s="192"/>
      <c r="BW63" s="192"/>
      <c r="BX63" s="192"/>
      <c r="BY63" s="192"/>
      <c r="BZ63" s="192"/>
      <c r="CA63" s="192"/>
    </row>
    <row r="64" spans="1:79">
      <c r="A64" s="217">
        <f>1/0.8897</f>
        <v>1.1239743733842869</v>
      </c>
      <c r="B64" s="211" t="s">
        <v>78</v>
      </c>
      <c r="C64" s="218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</row>
    <row r="65" spans="1:79" ht="13.5" thickBot="1">
      <c r="A65" s="219" t="s">
        <v>71</v>
      </c>
      <c r="B65" s="220"/>
      <c r="C65" s="221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</row>
    <row r="66" spans="1:79" ht="13.5" thickBot="1"/>
    <row r="67" spans="1:79">
      <c r="A67" s="214" t="s">
        <v>74</v>
      </c>
      <c r="B67" s="215"/>
      <c r="C67" s="216"/>
    </row>
    <row r="68" spans="1:79">
      <c r="A68" s="217">
        <v>33.299999999999997</v>
      </c>
      <c r="B68" s="211" t="s">
        <v>90</v>
      </c>
      <c r="C68" s="218"/>
    </row>
    <row r="69" spans="1:79" ht="13.5" thickBot="1">
      <c r="A69" s="219">
        <v>39.4</v>
      </c>
      <c r="B69" s="220" t="s">
        <v>75</v>
      </c>
      <c r="C69" s="221"/>
    </row>
    <row r="70" spans="1:79" ht="13.5" thickBot="1"/>
    <row r="71" spans="1:79">
      <c r="A71" s="214" t="s">
        <v>77</v>
      </c>
      <c r="B71" s="215"/>
      <c r="C71" s="216"/>
    </row>
    <row r="72" spans="1:79" ht="13.5" thickBot="1">
      <c r="A72" s="219">
        <v>0.60899999999999999</v>
      </c>
      <c r="B72" s="220"/>
      <c r="C72" s="221"/>
    </row>
    <row r="74" spans="1:79">
      <c r="A74" s="29" t="s">
        <v>83</v>
      </c>
    </row>
    <row r="75" spans="1:79">
      <c r="A75" s="29" t="s">
        <v>84</v>
      </c>
    </row>
    <row r="76" spans="1:79">
      <c r="A76" s="29" t="s">
        <v>88</v>
      </c>
    </row>
    <row r="77" spans="1:79">
      <c r="A77" s="29" t="s">
        <v>89</v>
      </c>
    </row>
    <row r="79" spans="1:79">
      <c r="A79" s="450" t="s">
        <v>391</v>
      </c>
    </row>
  </sheetData>
  <mergeCells count="22">
    <mergeCell ref="A51:A53"/>
    <mergeCell ref="A54:A56"/>
    <mergeCell ref="B54:B56"/>
    <mergeCell ref="A57:A59"/>
    <mergeCell ref="B57:B59"/>
    <mergeCell ref="A46:A49"/>
    <mergeCell ref="B46:B49"/>
    <mergeCell ref="A24:A26"/>
    <mergeCell ref="B24:B26"/>
    <mergeCell ref="A39:A41"/>
    <mergeCell ref="B39:B41"/>
    <mergeCell ref="A42:A44"/>
    <mergeCell ref="B42:B44"/>
    <mergeCell ref="A21:A23"/>
    <mergeCell ref="B21:B23"/>
    <mergeCell ref="A7:A9"/>
    <mergeCell ref="B7:B9"/>
    <mergeCell ref="A10:A12"/>
    <mergeCell ref="B10:B12"/>
    <mergeCell ref="A14:A16"/>
    <mergeCell ref="B14:B16"/>
    <mergeCell ref="A18:A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1090-CC9B-4FAF-9800-8BF6111E3051}">
  <sheetPr>
    <tabColor rgb="FF0070C0"/>
  </sheetPr>
  <dimension ref="A3:J12"/>
  <sheetViews>
    <sheetView workbookViewId="0">
      <selection activeCell="F11" sqref="F11"/>
    </sheetView>
  </sheetViews>
  <sheetFormatPr baseColWidth="10" defaultRowHeight="15"/>
  <cols>
    <col min="2" max="2" width="12.7109375" bestFit="1" customWidth="1"/>
  </cols>
  <sheetData>
    <row r="3" spans="1:10" ht="15.75" thickBot="1"/>
    <row r="4" spans="1:10" ht="15.75" thickBot="1">
      <c r="D4" s="259">
        <v>2020</v>
      </c>
      <c r="E4" s="260">
        <v>2025</v>
      </c>
      <c r="F4" s="260">
        <v>2030</v>
      </c>
      <c r="G4" s="260">
        <v>2035</v>
      </c>
      <c r="H4" s="260">
        <v>2040</v>
      </c>
      <c r="I4" s="260">
        <v>2045</v>
      </c>
      <c r="J4" s="261">
        <v>2050</v>
      </c>
    </row>
    <row r="5" spans="1:10">
      <c r="A5" s="495" t="s">
        <v>86</v>
      </c>
      <c r="B5" s="496" t="s">
        <v>72</v>
      </c>
      <c r="C5" s="185" t="s">
        <v>51</v>
      </c>
      <c r="D5" s="266">
        <f>'H2 production UK'!D14*'H2 production UK'!$A$64</f>
        <v>819.87186692143428</v>
      </c>
      <c r="E5" s="267">
        <f>'H2 production UK'!E14*'H2 production UK'!$A$64</f>
        <v>651.60166348207258</v>
      </c>
      <c r="F5" s="267">
        <f>'H2 production UK'!F14*'H2 production UK'!$A$64</f>
        <v>554.84994942115327</v>
      </c>
      <c r="G5" s="267">
        <f>'H2 production UK'!G14*'H2 production UK'!$A$64</f>
        <v>525.81769135663706</v>
      </c>
      <c r="H5" s="267">
        <f>'H2 production UK'!H14*'H2 production UK'!$A$64</f>
        <v>497.06642688546702</v>
      </c>
      <c r="I5" s="267">
        <f>'H2 production UK'!I14*'H2 production UK'!$A$64</f>
        <v>489.64819602113073</v>
      </c>
      <c r="J5" s="268">
        <f>'H2 production UK'!J14*'H2 production UK'!$A$64</f>
        <v>482.22996515679444</v>
      </c>
    </row>
    <row r="6" spans="1:10">
      <c r="A6" s="485"/>
      <c r="B6" s="486"/>
      <c r="C6" s="263" t="s">
        <v>52</v>
      </c>
      <c r="D6" s="114">
        <f>'H2 production UK'!D15*'H2 production UK'!$A$64</f>
        <v>966.04473418006069</v>
      </c>
      <c r="E6" s="111">
        <f>'H2 production UK'!E15*'H2 production UK'!$A$64</f>
        <v>836.60784534112622</v>
      </c>
      <c r="F6" s="111">
        <f>'H2 production UK'!F15*'H2 production UK'!$A$64</f>
        <v>754.09688659098572</v>
      </c>
      <c r="G6" s="111">
        <f>'H2 production UK'!G15*'H2 production UK'!$A$64</f>
        <v>732.92120939642587</v>
      </c>
      <c r="H6" s="111">
        <f>'H2 production UK'!H15*'H2 production UK'!$A$64</f>
        <v>711.98156682027661</v>
      </c>
      <c r="I6" s="111">
        <f>'H2 production UK'!I15*'H2 production UK'!$A$64</f>
        <v>700.69686411149826</v>
      </c>
      <c r="J6" s="269">
        <f>'H2 production UK'!J15*'H2 production UK'!$A$64</f>
        <v>689.49083960885696</v>
      </c>
    </row>
    <row r="7" spans="1:10">
      <c r="A7" s="485"/>
      <c r="B7" s="486"/>
      <c r="C7" s="263" t="s">
        <v>53</v>
      </c>
      <c r="D7" s="114">
        <f>'H2 production UK'!D16*'H2 production UK'!$A$64</f>
        <v>1325.9413285377095</v>
      </c>
      <c r="E7" s="111">
        <f>'H2 production UK'!E16*'H2 production UK'!$A$64</f>
        <v>1161.7848713049343</v>
      </c>
      <c r="F7" s="111">
        <f>'H2 production UK'!F16*'H2 production UK'!$A$64</f>
        <v>1096.1110486680905</v>
      </c>
      <c r="G7" s="111">
        <f>'H2 production UK'!G16*'H2 production UK'!$A$64</f>
        <v>1059.1772507586827</v>
      </c>
      <c r="H7" s="111">
        <f>'H2 production UK'!H16*'H2 production UK'!$A$64</f>
        <v>1022.8728784983704</v>
      </c>
      <c r="I7" s="111">
        <f>'H2 production UK'!I16*'H2 production UK'!$A$64</f>
        <v>1004.9567269866247</v>
      </c>
      <c r="J7" s="269">
        <f>'H2 production UK'!J16*'H2 production UK'!$A$64</f>
        <v>987.197931887153</v>
      </c>
    </row>
    <row r="8" spans="1:10" ht="15.75" thickBot="1">
      <c r="A8" s="485"/>
      <c r="B8" s="486"/>
      <c r="C8" s="264" t="s">
        <v>93</v>
      </c>
      <c r="D8" s="265">
        <v>875.32494821841317</v>
      </c>
      <c r="E8" s="265">
        <v>706.17431633296303</v>
      </c>
      <c r="F8" s="265">
        <v>583.15567496172662</v>
      </c>
      <c r="G8" s="265">
        <v>484.9773361750668</v>
      </c>
      <c r="H8" s="265">
        <v>428.19950169603459</v>
      </c>
      <c r="I8" s="265">
        <v>383.2503827334674</v>
      </c>
      <c r="J8" s="270">
        <v>344.21562152913276</v>
      </c>
    </row>
    <row r="9" spans="1:10">
      <c r="A9" s="495" t="s">
        <v>87</v>
      </c>
      <c r="B9" s="496" t="s">
        <v>72</v>
      </c>
      <c r="C9" s="185" t="s">
        <v>51</v>
      </c>
      <c r="D9" s="262">
        <f>'H2 production UK'!K14*'H2 production UK'!$A$64</f>
        <v>1071.8107227155222</v>
      </c>
      <c r="E9" s="258">
        <f>'H2 production UK'!L14*'H2 production UK'!$A$64</f>
        <v>674.81173429245814</v>
      </c>
      <c r="F9" s="258">
        <f>'H2 production UK'!M14*'H2 production UK'!$A$64</f>
        <v>487.051815218613</v>
      </c>
      <c r="G9" s="258">
        <f>'H2 production UK'!N14*'H2 production UK'!$A$64</f>
        <v>440.49679667303587</v>
      </c>
      <c r="H9" s="258">
        <f>'H2 production UK'!O14*'H2 production UK'!$A$64</f>
        <v>403.69787568843435</v>
      </c>
      <c r="I9" s="258">
        <f>'H2 production UK'!P14*'H2 production UK'!$A$64</f>
        <v>385.7030459705519</v>
      </c>
      <c r="J9" s="271">
        <f>'H2 production UK'!Q14*'H2 production UK'!$A$64</f>
        <v>376.47521636506684</v>
      </c>
    </row>
    <row r="10" spans="1:10">
      <c r="A10" s="485"/>
      <c r="B10" s="486"/>
      <c r="C10" s="263" t="s">
        <v>52</v>
      </c>
      <c r="D10" s="114">
        <f>'H2 production UK'!K15*'H2 production UK'!$A$64</f>
        <v>1302.2704282342363</v>
      </c>
      <c r="E10" s="111">
        <f>'H2 production UK'!L15*'H2 production UK'!$A$64</f>
        <v>820.82724513881078</v>
      </c>
      <c r="F10" s="111">
        <f>'H2 production UK'!M15*'H2 production UK'!$A$64</f>
        <v>631.403843992357</v>
      </c>
      <c r="G10" s="111">
        <f>'H2 production UK'!N15*'H2 production UK'!$A$64</f>
        <v>583.06170619309876</v>
      </c>
      <c r="H10" s="111">
        <f>'H2 production UK'!O15*'H2 production UK'!$A$64</f>
        <v>535.8997414858942</v>
      </c>
      <c r="I10" s="111">
        <f>'H2 production UK'!P15*'H2 production UK'!$A$64</f>
        <v>525.52545801955716</v>
      </c>
      <c r="J10" s="269">
        <f>'H2 production UK'!Q15*'H2 production UK'!$A$64</f>
        <v>515.22985275935719</v>
      </c>
    </row>
    <row r="11" spans="1:10">
      <c r="A11" s="485"/>
      <c r="B11" s="486"/>
      <c r="C11" s="263" t="s">
        <v>53</v>
      </c>
      <c r="D11" s="114">
        <f>'H2 production UK'!K16*'H2 production UK'!$A$64</f>
        <v>2121.512869506575</v>
      </c>
      <c r="E11" s="111">
        <f>'H2 production UK'!L16*'H2 production UK'!$A$64</f>
        <v>1639.125547937507</v>
      </c>
      <c r="F11" s="111">
        <f>'H2 production UK'!M16*'H2 production UK'!$A$64</f>
        <v>1366.674159829156</v>
      </c>
      <c r="G11" s="111">
        <f>'H2 production UK'!N16*'H2 production UK'!$A$64</f>
        <v>1227.4474541980442</v>
      </c>
      <c r="H11" s="111">
        <f>'H2 production UK'!O16*'H2 production UK'!$A$64</f>
        <v>1093.9080588962572</v>
      </c>
      <c r="I11" s="111">
        <f>'H2 production UK'!P16*'H2 production UK'!$A$64</f>
        <v>1050.6575250084297</v>
      </c>
      <c r="J11" s="269">
        <f>'H2 production UK'!Q16*'H2 production UK'!$A$64</f>
        <v>1008.0364167696977</v>
      </c>
    </row>
    <row r="12" spans="1:10" ht="15.75" thickBot="1">
      <c r="A12" s="497"/>
      <c r="B12" s="498"/>
      <c r="C12" s="272" t="s">
        <v>93</v>
      </c>
      <c r="D12" s="265">
        <v>1398.154174046168</v>
      </c>
      <c r="E12" s="265">
        <v>1035.0126076906913</v>
      </c>
      <c r="F12" s="265">
        <v>822.09572839432053</v>
      </c>
      <c r="G12" s="265">
        <v>671.8710413352145</v>
      </c>
      <c r="H12" s="265">
        <v>574.87557410020111</v>
      </c>
      <c r="I12" s="265">
        <v>507.4518956563503</v>
      </c>
      <c r="J12" s="270">
        <v>450.67406117731815</v>
      </c>
    </row>
  </sheetData>
  <mergeCells count="4">
    <mergeCell ref="A5:A8"/>
    <mergeCell ref="B5:B8"/>
    <mergeCell ref="A9:A12"/>
    <mergeCell ref="B9:B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3636-B6C6-4874-A090-5FA17CB093A9}">
  <sheetPr>
    <tabColor theme="4" tint="0.59999389629810485"/>
  </sheetPr>
  <dimension ref="A1:R29"/>
  <sheetViews>
    <sheetView workbookViewId="0">
      <selection activeCell="A15" sqref="A15"/>
    </sheetView>
  </sheetViews>
  <sheetFormatPr baseColWidth="10" defaultRowHeight="15"/>
  <cols>
    <col min="1" max="1" width="24.140625" customWidth="1"/>
    <col min="2" max="2" width="18.28515625" bestFit="1" customWidth="1"/>
    <col min="3" max="9" width="18.28515625" customWidth="1"/>
    <col min="10" max="11" width="25" customWidth="1"/>
    <col min="12" max="12" width="28.28515625" bestFit="1" customWidth="1"/>
    <col min="13" max="13" width="12.85546875" bestFit="1" customWidth="1"/>
    <col min="17" max="17" width="39.85546875" bestFit="1" customWidth="1"/>
  </cols>
  <sheetData>
    <row r="1" spans="1:18" ht="45">
      <c r="A1" s="8" t="s">
        <v>17</v>
      </c>
      <c r="B1" s="8" t="s">
        <v>18</v>
      </c>
      <c r="C1" s="8" t="s">
        <v>381</v>
      </c>
      <c r="D1" s="8" t="s">
        <v>21</v>
      </c>
      <c r="E1" s="8" t="s">
        <v>24</v>
      </c>
      <c r="F1" s="8" t="s">
        <v>23</v>
      </c>
      <c r="G1" s="8" t="s">
        <v>28</v>
      </c>
      <c r="H1" s="8" t="s">
        <v>25</v>
      </c>
      <c r="I1" s="8" t="s">
        <v>8</v>
      </c>
      <c r="J1" s="8" t="s">
        <v>30</v>
      </c>
      <c r="K1" s="8" t="s">
        <v>29</v>
      </c>
      <c r="L1" s="8" t="s">
        <v>27</v>
      </c>
      <c r="M1" s="8" t="s">
        <v>3</v>
      </c>
    </row>
    <row r="2" spans="1:18">
      <c r="A2" s="7">
        <v>12.581188237822399</v>
      </c>
      <c r="B2" s="7">
        <v>4.0694413584856104</v>
      </c>
      <c r="C2" s="7">
        <f>B2*1000/Monetary!$V$4</f>
        <v>3569.6854021803601</v>
      </c>
      <c r="D2" s="7">
        <f>0.04*B2</f>
        <v>0.16277765433942443</v>
      </c>
      <c r="E2" s="15">
        <v>1.80513441</v>
      </c>
      <c r="F2" s="15">
        <v>0.55715263999999998</v>
      </c>
      <c r="G2" s="15">
        <v>0.629</v>
      </c>
      <c r="H2" s="15">
        <v>1.0064</v>
      </c>
      <c r="I2" s="15">
        <v>5.0319999999999997E-2</v>
      </c>
      <c r="J2" s="7">
        <f>E2+F2+G2+I2</f>
        <v>3.0416070500000001</v>
      </c>
      <c r="K2" s="7">
        <f t="shared" ref="K2:K12" si="0">E2+F2+H2+I2</f>
        <v>3.4190070500000003</v>
      </c>
      <c r="L2" s="15">
        <v>2.75</v>
      </c>
      <c r="M2" t="s">
        <v>12</v>
      </c>
    </row>
    <row r="3" spans="1:18">
      <c r="A3" s="7">
        <v>6.4348312273940804</v>
      </c>
      <c r="B3" s="7">
        <v>2.6389091246844698</v>
      </c>
      <c r="C3" s="7">
        <f>B3*1000/Monetary!$V$4</f>
        <v>2314.8325655126928</v>
      </c>
      <c r="D3" s="7">
        <f t="shared" ref="D3:D12" si="1">0.04*B3</f>
        <v>0.10555636498737879</v>
      </c>
      <c r="E3">
        <v>1.170898</v>
      </c>
      <c r="F3">
        <v>0.3613963</v>
      </c>
      <c r="G3">
        <v>0.32150000000000001</v>
      </c>
      <c r="H3">
        <v>0.51439999999999997</v>
      </c>
      <c r="I3">
        <v>2.572E-2</v>
      </c>
      <c r="J3" s="7">
        <f t="shared" ref="J3:J12" si="2">E3+F3+G3+I3</f>
        <v>1.8795143000000001</v>
      </c>
      <c r="K3" s="7">
        <f t="shared" si="0"/>
        <v>2.0724143000000002</v>
      </c>
      <c r="L3">
        <f>0.7*L2</f>
        <v>1.9249999999999998</v>
      </c>
      <c r="M3" t="s">
        <v>13</v>
      </c>
    </row>
    <row r="4" spans="1:18">
      <c r="A4" s="7">
        <v>9.0424198935678</v>
      </c>
      <c r="B4" s="7">
        <v>2.7106525072757801</v>
      </c>
      <c r="C4" s="7">
        <f>B4*1000/Monetary!$V$4</f>
        <v>2377.7653572594563</v>
      </c>
      <c r="D4" s="7">
        <f t="shared" si="1"/>
        <v>0.10842610029103121</v>
      </c>
      <c r="E4">
        <v>1.20194454</v>
      </c>
      <c r="F4">
        <v>0.37097878000000001</v>
      </c>
      <c r="G4">
        <v>0.45200000000000001</v>
      </c>
      <c r="H4">
        <v>0.72319999999999995</v>
      </c>
      <c r="I4">
        <v>3.6159999999999998E-2</v>
      </c>
      <c r="J4" s="7">
        <f t="shared" si="2"/>
        <v>2.0610833200000003</v>
      </c>
      <c r="K4" s="7">
        <f t="shared" si="0"/>
        <v>2.3322833200000002</v>
      </c>
      <c r="L4">
        <v>2.75</v>
      </c>
      <c r="M4" t="s">
        <v>12</v>
      </c>
    </row>
    <row r="5" spans="1:18">
      <c r="A5" s="7">
        <v>6.81206085794107</v>
      </c>
      <c r="B5" s="7">
        <v>2.4869236288933099</v>
      </c>
      <c r="C5" s="7">
        <f>B5*1000/Monetary!$V$4</f>
        <v>2181.5119551695702</v>
      </c>
      <c r="D5" s="7">
        <f t="shared" si="1"/>
        <v>9.9476945155732396E-2</v>
      </c>
      <c r="E5">
        <v>1.1043696999999999</v>
      </c>
      <c r="F5">
        <v>0.34086242</v>
      </c>
      <c r="G5">
        <v>0.34050000000000002</v>
      </c>
      <c r="H5">
        <v>0.54479999999999995</v>
      </c>
      <c r="I5">
        <v>2.724E-2</v>
      </c>
      <c r="J5" s="7">
        <f t="shared" si="2"/>
        <v>1.81297212</v>
      </c>
      <c r="K5" s="7">
        <f t="shared" si="0"/>
        <v>2.0172721199999999</v>
      </c>
      <c r="M5" t="s">
        <v>1</v>
      </c>
    </row>
    <row r="6" spans="1:18">
      <c r="A6" s="7">
        <v>11.0620963717623</v>
      </c>
      <c r="B6" s="7">
        <v>2.25431083153335</v>
      </c>
      <c r="C6" s="7">
        <f>B6*1000/Monetary!$V$4</f>
        <v>1977.4656416959215</v>
      </c>
      <c r="D6" s="7">
        <f t="shared" si="1"/>
        <v>9.0172433261334006E-2</v>
      </c>
      <c r="E6">
        <v>0.99792442999999997</v>
      </c>
      <c r="F6">
        <v>0.30800821</v>
      </c>
      <c r="G6">
        <v>0.55300000000000005</v>
      </c>
      <c r="H6">
        <v>0.88480000000000003</v>
      </c>
      <c r="I6">
        <v>4.4240000000000002E-2</v>
      </c>
      <c r="J6" s="7">
        <f t="shared" si="2"/>
        <v>1.90317264</v>
      </c>
      <c r="K6" s="7">
        <f t="shared" si="0"/>
        <v>2.2349726400000001</v>
      </c>
      <c r="M6" t="s">
        <v>14</v>
      </c>
      <c r="Q6" s="5" t="s">
        <v>11</v>
      </c>
      <c r="R6" s="6"/>
    </row>
    <row r="7" spans="1:18">
      <c r="A7" s="7">
        <v>6.01507242998313</v>
      </c>
      <c r="B7" s="7">
        <v>1.66135841276894</v>
      </c>
      <c r="C7" s="7">
        <f>B7*1000/Monetary!$V$4</f>
        <v>1457.3319410253862</v>
      </c>
      <c r="D7" s="7">
        <f t="shared" si="1"/>
        <v>6.6454336510757606E-2</v>
      </c>
      <c r="E7" s="15">
        <v>0.73624646999999999</v>
      </c>
      <c r="F7" s="15">
        <v>0.22724162000000001</v>
      </c>
      <c r="G7">
        <v>0.30099999999999999</v>
      </c>
      <c r="H7">
        <v>0.48159999999999997</v>
      </c>
      <c r="I7">
        <v>2.4080000000000001E-2</v>
      </c>
      <c r="J7" s="7">
        <f t="shared" si="2"/>
        <v>1.2885680900000001</v>
      </c>
      <c r="K7" s="7">
        <f t="shared" si="0"/>
        <v>1.4691680900000001</v>
      </c>
      <c r="M7" t="s">
        <v>15</v>
      </c>
      <c r="Q7" s="1" t="s">
        <v>4</v>
      </c>
      <c r="R7" s="2">
        <v>20</v>
      </c>
    </row>
    <row r="8" spans="1:18">
      <c r="A8" s="7">
        <v>6.9586946940529799</v>
      </c>
      <c r="B8" s="7">
        <v>1.4119612371194099</v>
      </c>
      <c r="C8" s="7">
        <f>B8*1000/Monetary!$V$4</f>
        <v>1238.5624887012368</v>
      </c>
      <c r="D8" s="7">
        <f t="shared" si="1"/>
        <v>5.64784494847764E-2</v>
      </c>
      <c r="E8">
        <v>0.62536597999999999</v>
      </c>
      <c r="F8">
        <v>0.19301847999999999</v>
      </c>
      <c r="G8">
        <v>0.34799999999999998</v>
      </c>
      <c r="H8">
        <v>0.55679999999999996</v>
      </c>
      <c r="I8">
        <v>2.784E-2</v>
      </c>
      <c r="J8" s="7">
        <f t="shared" si="2"/>
        <v>1.19422446</v>
      </c>
      <c r="K8" s="7">
        <f t="shared" si="0"/>
        <v>1.4030244599999999</v>
      </c>
      <c r="L8">
        <f>0.3*L2</f>
        <v>0.82499999999999996</v>
      </c>
      <c r="M8" t="s">
        <v>16</v>
      </c>
      <c r="Q8" s="1" t="s">
        <v>5</v>
      </c>
      <c r="R8" s="2">
        <v>4</v>
      </c>
    </row>
    <row r="9" spans="1:18">
      <c r="A9" s="7">
        <v>11.170382565809801</v>
      </c>
      <c r="B9" s="7">
        <v>1.04576183520858</v>
      </c>
      <c r="C9" s="7">
        <f>B9*1000/Monetary!$V$4</f>
        <v>917.33494316542124</v>
      </c>
      <c r="D9" s="7">
        <f t="shared" si="1"/>
        <v>4.1830473408343199E-2</v>
      </c>
      <c r="E9">
        <v>0.46569807000000002</v>
      </c>
      <c r="F9">
        <v>0.14373717</v>
      </c>
      <c r="G9">
        <v>0.5585</v>
      </c>
      <c r="H9">
        <v>0.89359999999999995</v>
      </c>
      <c r="I9" s="15">
        <v>4.4679999999999997E-2</v>
      </c>
      <c r="J9" s="7">
        <f t="shared" si="2"/>
        <v>1.2126152400000001</v>
      </c>
      <c r="K9" s="7">
        <f t="shared" si="0"/>
        <v>1.54771524</v>
      </c>
      <c r="M9" t="s">
        <v>0</v>
      </c>
      <c r="Q9" s="1" t="s">
        <v>9</v>
      </c>
      <c r="R9" s="2">
        <v>8</v>
      </c>
    </row>
    <row r="10" spans="1:18">
      <c r="A10" s="7">
        <v>11.056843968660401</v>
      </c>
      <c r="B10" s="7">
        <v>1.0033009641547099</v>
      </c>
      <c r="C10" s="7">
        <f>B10*1000/Monetary!$V$4</f>
        <v>880.08856504799132</v>
      </c>
      <c r="D10" s="7">
        <f t="shared" si="1"/>
        <v>4.0132038566188397E-2</v>
      </c>
      <c r="E10">
        <v>0.44352196999999999</v>
      </c>
      <c r="F10">
        <v>0.13689254000000001</v>
      </c>
      <c r="G10" s="15">
        <v>0.55300000000000005</v>
      </c>
      <c r="H10" s="15">
        <v>0.88480000000000003</v>
      </c>
      <c r="I10">
        <v>4.4240000000000002E-2</v>
      </c>
      <c r="J10" s="7">
        <f t="shared" si="2"/>
        <v>1.1776545100000002</v>
      </c>
      <c r="K10" s="7">
        <f t="shared" si="0"/>
        <v>1.5094545100000001</v>
      </c>
      <c r="M10" t="s">
        <v>14</v>
      </c>
      <c r="Q10" s="3" t="s">
        <v>10</v>
      </c>
      <c r="R10" s="4">
        <v>6.76</v>
      </c>
    </row>
    <row r="11" spans="1:18">
      <c r="A11" s="7">
        <v>7.5419409122863197</v>
      </c>
      <c r="B11" s="7">
        <v>0.82871228705366395</v>
      </c>
      <c r="C11" s="7">
        <f>B11*1000/Monetary!$V$4</f>
        <v>726.94060267865268</v>
      </c>
      <c r="D11" s="7">
        <f t="shared" si="1"/>
        <v>3.3148491482146561E-2</v>
      </c>
      <c r="E11">
        <v>0.36812323000000002</v>
      </c>
      <c r="F11">
        <v>0.11362081</v>
      </c>
      <c r="G11">
        <v>0.377</v>
      </c>
      <c r="H11">
        <v>0.60319999999999996</v>
      </c>
      <c r="I11">
        <v>3.0159999999999999E-2</v>
      </c>
      <c r="J11" s="7">
        <f t="shared" si="2"/>
        <v>0.88890404000000001</v>
      </c>
      <c r="K11" s="7">
        <f t="shared" si="0"/>
        <v>1.1151040399999999</v>
      </c>
      <c r="M11" t="s">
        <v>2</v>
      </c>
      <c r="Q11" s="11" t="s">
        <v>19</v>
      </c>
      <c r="R11" s="12">
        <v>10</v>
      </c>
    </row>
    <row r="12" spans="1:18">
      <c r="A12" s="7">
        <v>5.5763182912570404</v>
      </c>
      <c r="B12" s="7">
        <v>0.65952444261512799</v>
      </c>
      <c r="C12" s="7">
        <f>B12*1000/Monetary!$V$4</f>
        <v>578.53021282028783</v>
      </c>
      <c r="D12" s="7">
        <f t="shared" si="1"/>
        <v>2.6380977704605121E-2</v>
      </c>
      <c r="E12" s="15">
        <v>0.2927245</v>
      </c>
      <c r="F12" s="15">
        <v>9.0349079999999998E-2</v>
      </c>
      <c r="G12">
        <v>0.27900000000000003</v>
      </c>
      <c r="H12">
        <v>0.44640000000000002</v>
      </c>
      <c r="I12">
        <v>2.232E-2</v>
      </c>
      <c r="J12" s="7">
        <f t="shared" si="2"/>
        <v>0.68439358000000006</v>
      </c>
      <c r="K12" s="7">
        <f t="shared" si="0"/>
        <v>0.85179358000000005</v>
      </c>
      <c r="M12" t="s">
        <v>0</v>
      </c>
      <c r="Q12" s="13" t="s">
        <v>20</v>
      </c>
      <c r="R12" s="14">
        <v>80</v>
      </c>
    </row>
    <row r="13" spans="1:18">
      <c r="L13">
        <f>0.8*L2</f>
        <v>2.2000000000000002</v>
      </c>
      <c r="M13" t="s">
        <v>26</v>
      </c>
      <c r="Q13" s="9" t="s">
        <v>22</v>
      </c>
      <c r="R13" s="10">
        <v>0.8</v>
      </c>
    </row>
    <row r="14" spans="1:18">
      <c r="A14" t="s">
        <v>382</v>
      </c>
      <c r="L14">
        <f>0.25*L2</f>
        <v>0.6875</v>
      </c>
      <c r="M14" t="s">
        <v>26</v>
      </c>
    </row>
    <row r="15" spans="1:18">
      <c r="A15" s="7">
        <f>_xlfn.QUARTILE.INC(A2:A12,1)</f>
        <v>6.6234460426675756</v>
      </c>
      <c r="B15" s="7"/>
      <c r="C15" s="7">
        <f t="shared" ref="C15" si="3">_xlfn.QUARTILE.INC(C2:C12,1)</f>
        <v>898.71175410670628</v>
      </c>
      <c r="L15">
        <f>0.45*2.75</f>
        <v>1.2375</v>
      </c>
      <c r="M15" t="s">
        <v>26</v>
      </c>
    </row>
    <row r="16" spans="1:18">
      <c r="A16" s="7">
        <f>_xlfn.QUARTILE.INC(A2:A12,2)</f>
        <v>7.5419409122863197</v>
      </c>
      <c r="B16" s="7"/>
      <c r="C16" s="7">
        <f t="shared" ref="C16" si="4">_xlfn.QUARTILE.INC(C2:C12,2)</f>
        <v>1457.3319410253862</v>
      </c>
      <c r="L16">
        <f>0.7*2.75</f>
        <v>1.9249999999999998</v>
      </c>
      <c r="M16" t="s">
        <v>26</v>
      </c>
    </row>
    <row r="17" spans="1:13">
      <c r="A17" s="7">
        <f>_xlfn.QUARTILE.INC(A2:A12,3)</f>
        <v>11.05947017021135</v>
      </c>
      <c r="B17" s="7"/>
      <c r="C17" s="7">
        <f t="shared" ref="C17" si="5">_xlfn.QUARTILE.INC(C2:C12,3)</f>
        <v>2248.1722603411317</v>
      </c>
      <c r="L17">
        <f>0.32*2.75</f>
        <v>0.88</v>
      </c>
      <c r="M17" t="s">
        <v>26</v>
      </c>
    </row>
    <row r="19" spans="1:13" ht="15.75" thickBot="1"/>
    <row r="20" spans="1:13">
      <c r="I20" s="16" t="s">
        <v>31</v>
      </c>
      <c r="J20" s="17">
        <f>_xlfn.QUARTILE.INC(J2:J12,1)</f>
        <v>1.185939485</v>
      </c>
      <c r="K20" s="17">
        <f>_xlfn.QUARTILE.INC(K2:K12,1)</f>
        <v>1.4360962750000001</v>
      </c>
      <c r="L20" s="18">
        <f>_xlfn.QUARTILE.INC(L2:L17,1)</f>
        <v>0.88</v>
      </c>
    </row>
    <row r="21" spans="1:13">
      <c r="F21" s="15"/>
      <c r="G21" s="15"/>
      <c r="I21" s="19" t="s">
        <v>32</v>
      </c>
      <c r="J21" s="20">
        <f>_xlfn.QUARTILE.INC(J2:J12,2)</f>
        <v>1.2885680900000001</v>
      </c>
      <c r="K21" s="20">
        <f>_xlfn.QUARTILE.INC(K2:K12,2)</f>
        <v>1.54771524</v>
      </c>
      <c r="L21" s="21">
        <f>_xlfn.QUARTILE.INC(L2:L17,2)</f>
        <v>1.9249999999999998</v>
      </c>
    </row>
    <row r="22" spans="1:13" ht="15.75" thickBot="1">
      <c r="F22" s="15"/>
      <c r="G22" s="15"/>
      <c r="I22" s="22" t="s">
        <v>33</v>
      </c>
      <c r="J22" s="23">
        <f>_xlfn.QUARTILE.INC(J2:J12,3)</f>
        <v>1.89134347</v>
      </c>
      <c r="K22" s="23">
        <f>_xlfn.QUARTILE.INC(K2:K12,3)</f>
        <v>2.1536934700000003</v>
      </c>
      <c r="L22" s="24">
        <f>_xlfn.QUARTILE.INC(L2:L17,3)</f>
        <v>2.2000000000000002</v>
      </c>
    </row>
    <row r="23" spans="1:13">
      <c r="F23" s="15"/>
      <c r="G23" s="15"/>
    </row>
    <row r="26" spans="1:13">
      <c r="E26" s="15"/>
    </row>
    <row r="27" spans="1:13">
      <c r="A27" t="s">
        <v>426</v>
      </c>
      <c r="E27" s="15"/>
    </row>
    <row r="28" spans="1:13">
      <c r="E28" s="15"/>
    </row>
    <row r="29" spans="1:13">
      <c r="E29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A976-EC4D-4AC4-814D-BEED3E369574}">
  <sheetPr>
    <tabColor theme="4" tint="0.39997558519241921"/>
  </sheetPr>
  <dimension ref="A1:V104"/>
  <sheetViews>
    <sheetView tabSelected="1" topLeftCell="D6" zoomScale="89" workbookViewId="0">
      <selection activeCell="R39" sqref="R39"/>
    </sheetView>
  </sheetViews>
  <sheetFormatPr baseColWidth="10" defaultRowHeight="15"/>
  <cols>
    <col min="1" max="1" width="25.7109375" bestFit="1" customWidth="1"/>
    <col min="2" max="2" width="17.28515625" customWidth="1"/>
    <col min="3" max="3" width="32.28515625" bestFit="1" customWidth="1"/>
    <col min="4" max="4" width="31.5703125" customWidth="1"/>
    <col min="6" max="6" width="28.42578125" bestFit="1" customWidth="1"/>
    <col min="11" max="11" width="17.28515625" bestFit="1" customWidth="1"/>
    <col min="12" max="12" width="24.85546875" bestFit="1" customWidth="1"/>
    <col min="16" max="16" width="24.28515625" customWidth="1"/>
    <col min="17" max="17" width="21.42578125" bestFit="1" customWidth="1"/>
    <col min="18" max="18" width="19.140625" bestFit="1" customWidth="1"/>
    <col min="19" max="19" width="17.42578125" bestFit="1" customWidth="1"/>
    <col min="20" max="22" width="17.85546875" bestFit="1" customWidth="1"/>
  </cols>
  <sheetData>
    <row r="1" spans="1:22" ht="15.75" thickBot="1">
      <c r="A1" s="277" t="s">
        <v>94</v>
      </c>
    </row>
    <row r="2" spans="1:22">
      <c r="A2" s="16" t="s">
        <v>58</v>
      </c>
      <c r="B2" s="279">
        <v>669000000</v>
      </c>
      <c r="C2" s="294">
        <v>2014</v>
      </c>
      <c r="D2" t="s">
        <v>411</v>
      </c>
    </row>
    <row r="3" spans="1:22">
      <c r="A3" s="19" t="s">
        <v>95</v>
      </c>
      <c r="B3" s="278">
        <v>282500</v>
      </c>
      <c r="C3" s="21" t="s">
        <v>102</v>
      </c>
    </row>
    <row r="4" spans="1:22">
      <c r="A4" s="19" t="s">
        <v>96</v>
      </c>
      <c r="B4" s="278">
        <v>2206000</v>
      </c>
      <c r="C4" s="21" t="s">
        <v>106</v>
      </c>
    </row>
    <row r="5" spans="1:22">
      <c r="A5" s="19" t="s">
        <v>108</v>
      </c>
      <c r="B5" s="278">
        <f>3700000-7500000</f>
        <v>-3800000</v>
      </c>
      <c r="C5" s="21" t="s">
        <v>107</v>
      </c>
    </row>
    <row r="6" spans="1:22">
      <c r="A6" s="19" t="s">
        <v>98</v>
      </c>
      <c r="B6" s="278">
        <v>0</v>
      </c>
      <c r="C6" s="21" t="s">
        <v>113</v>
      </c>
      <c r="K6" s="513" t="s">
        <v>230</v>
      </c>
      <c r="L6" s="514"/>
      <c r="M6" s="514"/>
      <c r="N6" s="514"/>
      <c r="O6" s="514"/>
      <c r="P6" s="514"/>
      <c r="Q6" s="514"/>
      <c r="R6" s="514"/>
      <c r="S6" s="514"/>
      <c r="T6" s="514"/>
      <c r="U6" s="514"/>
      <c r="V6" s="514"/>
    </row>
    <row r="7" spans="1:22" ht="15.75" thickBot="1">
      <c r="A7" s="19" t="s">
        <v>65</v>
      </c>
      <c r="B7" s="278">
        <v>52000000</v>
      </c>
      <c r="C7" s="21" t="s">
        <v>107</v>
      </c>
      <c r="K7" s="19" t="s">
        <v>122</v>
      </c>
      <c r="L7" s="20"/>
      <c r="M7" s="303">
        <v>2014</v>
      </c>
      <c r="N7" s="20" t="s">
        <v>169</v>
      </c>
      <c r="O7" s="20" t="s">
        <v>173</v>
      </c>
      <c r="P7" s="303">
        <v>2018</v>
      </c>
      <c r="Q7" s="303">
        <v>2018</v>
      </c>
      <c r="R7" s="303">
        <v>2020</v>
      </c>
      <c r="S7" s="303">
        <v>2020</v>
      </c>
      <c r="T7" s="303">
        <v>2020</v>
      </c>
      <c r="U7" s="303">
        <v>2020</v>
      </c>
      <c r="V7" s="307">
        <v>2020</v>
      </c>
    </row>
    <row r="8" spans="1:22">
      <c r="A8" s="19" t="s">
        <v>101</v>
      </c>
      <c r="B8" s="278">
        <v>91300</v>
      </c>
      <c r="C8" s="21" t="s">
        <v>102</v>
      </c>
      <c r="F8" s="16" t="s">
        <v>131</v>
      </c>
      <c r="G8" s="17"/>
      <c r="H8" s="18"/>
      <c r="K8" s="19" t="s">
        <v>130</v>
      </c>
      <c r="L8" s="20"/>
      <c r="M8" s="20" t="s">
        <v>213</v>
      </c>
      <c r="N8" s="20" t="s">
        <v>214</v>
      </c>
      <c r="O8" s="280" t="s">
        <v>218</v>
      </c>
      <c r="P8" s="280" t="s">
        <v>220</v>
      </c>
      <c r="Q8" s="280" t="s">
        <v>221</v>
      </c>
      <c r="R8" s="280" t="s">
        <v>228</v>
      </c>
      <c r="S8" s="280" t="s">
        <v>229</v>
      </c>
      <c r="T8" s="280" t="s">
        <v>420</v>
      </c>
      <c r="U8" s="280" t="s">
        <v>421</v>
      </c>
      <c r="V8" s="308" t="s">
        <v>422</v>
      </c>
    </row>
    <row r="9" spans="1:22">
      <c r="A9" s="19" t="s">
        <v>103</v>
      </c>
      <c r="B9" s="275">
        <v>11</v>
      </c>
      <c r="C9" s="21" t="s">
        <v>104</v>
      </c>
      <c r="F9" s="19" t="s">
        <v>132</v>
      </c>
      <c r="G9" s="20">
        <v>46.4</v>
      </c>
      <c r="H9" s="21" t="s">
        <v>134</v>
      </c>
      <c r="K9" s="19" t="s">
        <v>123</v>
      </c>
      <c r="L9" s="20" t="s">
        <v>126</v>
      </c>
      <c r="M9" s="20">
        <f>B3/(B8*G11)</f>
        <v>2.8674651584394004</v>
      </c>
      <c r="N9" s="20">
        <f>B22*1000/(B27*24*3600/43)</f>
        <v>6.6108766668727732</v>
      </c>
      <c r="O9" s="20">
        <f>B38/(B43/43)</f>
        <v>5.5613333333333328</v>
      </c>
      <c r="P9" s="20">
        <v>0</v>
      </c>
      <c r="Q9" s="20">
        <v>0</v>
      </c>
      <c r="R9" s="20">
        <f>12/2.5</f>
        <v>4.8</v>
      </c>
      <c r="S9" s="20">
        <f>12/2.9</f>
        <v>4.1379310344827589</v>
      </c>
      <c r="T9" s="20"/>
      <c r="U9" s="20"/>
      <c r="V9" s="21"/>
    </row>
    <row r="10" spans="1:22">
      <c r="A10" s="19" t="s">
        <v>105</v>
      </c>
      <c r="B10" s="276">
        <f>(B8/B9/24)/365.25</f>
        <v>0.94684006388318498</v>
      </c>
      <c r="C10" s="21"/>
      <c r="F10" s="19" t="s">
        <v>133</v>
      </c>
      <c r="G10" s="20">
        <v>43</v>
      </c>
      <c r="H10" s="21" t="s">
        <v>134</v>
      </c>
      <c r="K10" s="19" t="s">
        <v>124</v>
      </c>
      <c r="L10" s="20" t="s">
        <v>127</v>
      </c>
      <c r="M10" s="20">
        <f>B4*1000/(B8*1000*G11)</f>
        <v>22.391604033689617</v>
      </c>
      <c r="N10" s="20">
        <f>B23*24*1000/(B27*24*3600/43)</f>
        <v>0.23928770172509742</v>
      </c>
      <c r="O10" s="20">
        <f>B39*1000/(B43*3600/43)</f>
        <v>21.699074074074073</v>
      </c>
      <c r="P10" s="20">
        <f>B55*1000/(B59*3600/43)</f>
        <v>31.140873015873016</v>
      </c>
      <c r="Q10" s="20">
        <f>C55*1000/(C59*3600/43)</f>
        <v>28.088709677419356</v>
      </c>
      <c r="R10" s="289">
        <f>B71*1000/(B75*1000)</f>
        <v>28.88</v>
      </c>
      <c r="S10" s="289">
        <f>C71*1000/(C75*1000)</f>
        <v>23.379310344827587</v>
      </c>
      <c r="T10" s="20"/>
      <c r="U10" s="289"/>
      <c r="V10" s="309"/>
    </row>
    <row r="11" spans="1:22" ht="15.75" thickBot="1">
      <c r="A11" s="19" t="s">
        <v>99</v>
      </c>
      <c r="B11" s="20">
        <v>2014</v>
      </c>
      <c r="C11" s="21"/>
      <c r="F11" s="22" t="s">
        <v>135</v>
      </c>
      <c r="G11" s="23">
        <f>G9/G10</f>
        <v>1.0790697674418603</v>
      </c>
      <c r="H11" s="24"/>
      <c r="K11" s="19" t="s">
        <v>125</v>
      </c>
      <c r="L11" s="20" t="s">
        <v>126</v>
      </c>
      <c r="M11" s="20">
        <v>0</v>
      </c>
      <c r="N11" s="20">
        <f>(B25*24*3600/120)/(B27*24*3600/43)</f>
        <v>0.61616583194212593</v>
      </c>
      <c r="O11" s="20">
        <v>0</v>
      </c>
      <c r="P11" s="20">
        <v>0</v>
      </c>
      <c r="Q11" s="20">
        <v>0</v>
      </c>
      <c r="R11" s="280">
        <v>0</v>
      </c>
      <c r="S11" s="280">
        <v>0</v>
      </c>
      <c r="T11" s="20"/>
      <c r="U11" s="280"/>
      <c r="V11" s="308"/>
    </row>
    <row r="12" spans="1:22">
      <c r="A12" s="19" t="s">
        <v>109</v>
      </c>
      <c r="B12" s="20">
        <v>0.7</v>
      </c>
      <c r="C12" s="21"/>
      <c r="K12" s="19" t="s">
        <v>58</v>
      </c>
      <c r="L12" s="20" t="s">
        <v>129</v>
      </c>
      <c r="M12" s="289">
        <f>B2/(B9*G11*24*1000)</f>
        <v>2348.4032131661443</v>
      </c>
      <c r="N12" s="20">
        <f>B21/(B27*24*3600/43)</f>
        <v>1049.6532286320826</v>
      </c>
      <c r="O12" s="20">
        <f>B37/(B43*24*3600/43)</f>
        <v>1812.4035493827157</v>
      </c>
      <c r="P12" s="20">
        <f>B53/(B59*24*3600/43)</f>
        <v>2328.455687830688</v>
      </c>
      <c r="Q12" s="20">
        <f>C53/(C59*24*3600/43)</f>
        <v>998.58124253285541</v>
      </c>
      <c r="R12" s="289">
        <f>B69/(B75*1000*24)</f>
        <v>5231.666666666667</v>
      </c>
      <c r="S12" s="289">
        <f>C69/(C75*1000*24)</f>
        <v>2126.4367816091954</v>
      </c>
      <c r="T12" s="20">
        <f>B102</f>
        <v>945.60185185185173</v>
      </c>
      <c r="U12" s="289">
        <f t="shared" ref="U12:V12" si="0">C102</f>
        <v>510.12731481481478</v>
      </c>
      <c r="V12" s="309">
        <f t="shared" si="0"/>
        <v>315.53240740740739</v>
      </c>
    </row>
    <row r="13" spans="1:22">
      <c r="A13" s="19" t="s">
        <v>116</v>
      </c>
      <c r="B13" s="20">
        <v>37.75</v>
      </c>
      <c r="C13" s="21" t="s">
        <v>117</v>
      </c>
      <c r="F13" t="s">
        <v>148</v>
      </c>
      <c r="K13" s="19" t="s">
        <v>65</v>
      </c>
      <c r="L13" s="20" t="s">
        <v>146</v>
      </c>
      <c r="M13" s="20">
        <f>B7/(B9*G11*24*1000)</f>
        <v>182.53657262277952</v>
      </c>
      <c r="N13" s="20">
        <f>B26/(B27*24*3600/43)</f>
        <v>55.806101733341585</v>
      </c>
      <c r="O13" s="289">
        <f>B42/(B43*24*3600/43)</f>
        <v>110.65200617283951</v>
      </c>
      <c r="P13" s="302">
        <f>0.05*P12</f>
        <v>116.42278439153441</v>
      </c>
      <c r="Q13" s="302">
        <f>0.05*Q12</f>
        <v>49.929062126642776</v>
      </c>
      <c r="R13" s="20">
        <v>0</v>
      </c>
      <c r="S13" s="20">
        <v>0</v>
      </c>
      <c r="T13" s="302" t="s">
        <v>167</v>
      </c>
      <c r="U13" s="20" t="s">
        <v>167</v>
      </c>
      <c r="V13" s="308" t="s">
        <v>167</v>
      </c>
    </row>
    <row r="14" spans="1:22">
      <c r="A14" s="19" t="s">
        <v>118</v>
      </c>
      <c r="B14" s="280">
        <v>105</v>
      </c>
      <c r="C14" s="21" t="s">
        <v>119</v>
      </c>
      <c r="F14" s="291" t="s">
        <v>149</v>
      </c>
      <c r="G14" t="s">
        <v>144</v>
      </c>
      <c r="K14" s="19" t="s">
        <v>8</v>
      </c>
      <c r="L14" s="20" t="s">
        <v>128</v>
      </c>
      <c r="M14" s="20">
        <f>B5/(B8*1000*G11)</f>
        <v>-3.8571212750689282E-2</v>
      </c>
      <c r="N14" s="289">
        <f>B24/(B27*24*3600/43*365)</f>
        <v>6.8289869213783522E-2</v>
      </c>
      <c r="O14" s="20">
        <v>0</v>
      </c>
      <c r="P14" s="20">
        <v>0</v>
      </c>
      <c r="Q14" s="20">
        <v>0</v>
      </c>
      <c r="R14" s="289">
        <f>B72*1000/3600*43</f>
        <v>0.38222222222222224</v>
      </c>
      <c r="S14" s="289">
        <f>C72*1000/3600*43</f>
        <v>0.38222222222222224</v>
      </c>
      <c r="T14" s="20"/>
      <c r="U14" s="289"/>
      <c r="V14" s="309"/>
    </row>
    <row r="15" spans="1:22" ht="15.75" thickBot="1">
      <c r="A15" s="19" t="s">
        <v>110</v>
      </c>
      <c r="B15" s="20">
        <v>7.0000000000000007E-2</v>
      </c>
      <c r="C15" s="21"/>
      <c r="K15" s="304" t="s">
        <v>204</v>
      </c>
      <c r="L15" s="280" t="s">
        <v>206</v>
      </c>
      <c r="M15" s="20">
        <v>3.54</v>
      </c>
      <c r="N15" s="20">
        <f>5.4/3.75/0.8</f>
        <v>1.8</v>
      </c>
      <c r="O15" s="20">
        <f>6.9/3.75/0.8</f>
        <v>2.2999999999999998</v>
      </c>
      <c r="P15" s="280">
        <v>4.2</v>
      </c>
      <c r="Q15" s="280">
        <v>1.84</v>
      </c>
      <c r="R15" s="280">
        <v>3.1</v>
      </c>
      <c r="S15" s="280">
        <v>2.38</v>
      </c>
      <c r="T15" s="306">
        <v>2.5</v>
      </c>
      <c r="U15" s="306">
        <v>1.19</v>
      </c>
      <c r="V15" s="310">
        <v>0.6</v>
      </c>
    </row>
    <row r="16" spans="1:22" ht="15.75" thickBot="1">
      <c r="A16" s="22" t="s">
        <v>111</v>
      </c>
      <c r="B16" s="23">
        <v>30</v>
      </c>
      <c r="C16" s="24" t="s">
        <v>112</v>
      </c>
      <c r="K16" s="305" t="s">
        <v>205</v>
      </c>
      <c r="L16" s="306" t="s">
        <v>128</v>
      </c>
      <c r="M16" s="23">
        <v>3.52</v>
      </c>
      <c r="N16" s="23">
        <v>1.85</v>
      </c>
      <c r="O16" s="23">
        <v>2.34</v>
      </c>
      <c r="P16" s="306">
        <v>4.3499999999999996</v>
      </c>
      <c r="Q16" s="306">
        <v>1.64</v>
      </c>
      <c r="R16" s="306">
        <v>3.21</v>
      </c>
      <c r="S16" s="306">
        <v>2.16</v>
      </c>
    </row>
    <row r="17" spans="1:22" ht="15.75" thickBot="1">
      <c r="A17" t="s">
        <v>97</v>
      </c>
      <c r="B17" t="s">
        <v>211</v>
      </c>
    </row>
    <row r="18" spans="1:22">
      <c r="B18" t="s">
        <v>136</v>
      </c>
      <c r="C18" t="s">
        <v>137</v>
      </c>
      <c r="F18" s="16" t="s">
        <v>150</v>
      </c>
      <c r="G18" s="17"/>
      <c r="H18" s="18"/>
    </row>
    <row r="19" spans="1:22" ht="21.75" thickBot="1">
      <c r="F19" s="19" t="s">
        <v>151</v>
      </c>
      <c r="G19" s="20" t="s">
        <v>152</v>
      </c>
      <c r="H19" s="21"/>
      <c r="K19" s="511" t="s">
        <v>231</v>
      </c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</row>
    <row r="20" spans="1:22" ht="15.75" thickBot="1">
      <c r="F20" s="19" t="s">
        <v>153</v>
      </c>
      <c r="G20" s="20" t="s">
        <v>154</v>
      </c>
      <c r="H20" s="21"/>
      <c r="K20" s="312" t="s">
        <v>122</v>
      </c>
      <c r="L20" s="313"/>
      <c r="M20" s="314">
        <v>2020</v>
      </c>
      <c r="N20" s="314">
        <v>2020</v>
      </c>
      <c r="O20" s="314">
        <v>2020</v>
      </c>
      <c r="P20" s="314">
        <v>2020</v>
      </c>
      <c r="Q20" s="314">
        <v>2020</v>
      </c>
      <c r="R20" s="314">
        <v>2020</v>
      </c>
      <c r="S20" s="314">
        <v>2020</v>
      </c>
      <c r="T20" s="314">
        <v>2020</v>
      </c>
      <c r="U20" s="314">
        <v>2020</v>
      </c>
      <c r="V20" s="314">
        <v>2020</v>
      </c>
    </row>
    <row r="21" spans="1:22">
      <c r="A21" s="281" t="s">
        <v>58</v>
      </c>
      <c r="B21" s="290">
        <v>379000000</v>
      </c>
      <c r="C21" s="283" t="s">
        <v>169</v>
      </c>
      <c r="F21" s="19"/>
      <c r="G21" s="20" t="s">
        <v>144</v>
      </c>
      <c r="H21" s="21"/>
      <c r="K21" s="315" t="s">
        <v>130</v>
      </c>
      <c r="L21" s="311"/>
      <c r="M21" s="311" t="s">
        <v>213</v>
      </c>
      <c r="N21" s="311" t="s">
        <v>214</v>
      </c>
      <c r="O21" s="311" t="s">
        <v>218</v>
      </c>
      <c r="P21" s="311" t="s">
        <v>220</v>
      </c>
      <c r="Q21" s="311" t="s">
        <v>221</v>
      </c>
      <c r="R21" s="311" t="s">
        <v>228</v>
      </c>
      <c r="S21" s="311" t="s">
        <v>229</v>
      </c>
      <c r="T21" s="311" t="s">
        <v>420</v>
      </c>
      <c r="U21" s="311" t="s">
        <v>421</v>
      </c>
      <c r="V21" s="311" t="s">
        <v>422</v>
      </c>
    </row>
    <row r="22" spans="1:22">
      <c r="A22" s="284" t="s">
        <v>95</v>
      </c>
      <c r="B22" s="20">
        <v>2387</v>
      </c>
      <c r="C22" s="285" t="s">
        <v>147</v>
      </c>
      <c r="F22" s="19" t="s">
        <v>156</v>
      </c>
      <c r="G22" s="20" t="s">
        <v>157</v>
      </c>
      <c r="H22" s="21"/>
      <c r="K22" s="315" t="s">
        <v>123</v>
      </c>
      <c r="L22" s="311" t="s">
        <v>126</v>
      </c>
      <c r="M22" s="311">
        <v>2.8674651584394004</v>
      </c>
      <c r="N22" s="311">
        <v>6.6108766668727732</v>
      </c>
      <c r="O22" s="311">
        <v>5.5613333333333328</v>
      </c>
      <c r="P22" s="311">
        <v>0</v>
      </c>
      <c r="Q22" s="311">
        <v>0</v>
      </c>
      <c r="R22" s="311">
        <v>4.8</v>
      </c>
      <c r="S22" s="311">
        <v>4.1379310344827589</v>
      </c>
      <c r="T22" s="311"/>
      <c r="U22" s="311"/>
      <c r="V22" s="472"/>
    </row>
    <row r="23" spans="1:22">
      <c r="A23" s="284" t="s">
        <v>96</v>
      </c>
      <c r="B23" s="20">
        <v>3.6</v>
      </c>
      <c r="C23" s="285" t="s">
        <v>45</v>
      </c>
      <c r="F23" s="322" t="s">
        <v>155</v>
      </c>
      <c r="G23" s="20" t="s">
        <v>144</v>
      </c>
      <c r="H23" s="21"/>
      <c r="K23" s="315" t="s">
        <v>124</v>
      </c>
      <c r="L23" s="311" t="s">
        <v>127</v>
      </c>
      <c r="M23" s="311">
        <v>22.391604033689617</v>
      </c>
      <c r="N23" s="311">
        <v>0.23928770172509742</v>
      </c>
      <c r="O23" s="311">
        <v>21.699074074074073</v>
      </c>
      <c r="P23" s="311">
        <v>31.140873015873016</v>
      </c>
      <c r="Q23" s="311">
        <v>28.088709677419356</v>
      </c>
      <c r="R23" s="311">
        <v>28.88</v>
      </c>
      <c r="S23" s="311">
        <v>23.379310344827587</v>
      </c>
      <c r="T23" s="311"/>
      <c r="U23" s="311"/>
      <c r="V23" s="472"/>
    </row>
    <row r="24" spans="1:22">
      <c r="A24" s="284" t="s">
        <v>108</v>
      </c>
      <c r="B24" s="278">
        <v>9000000</v>
      </c>
      <c r="C24" s="285" t="s">
        <v>140</v>
      </c>
      <c r="F24" s="19" t="s">
        <v>158</v>
      </c>
      <c r="G24" s="20">
        <f>1-0.9</f>
        <v>9.9999999999999978E-2</v>
      </c>
      <c r="H24" s="21" t="s">
        <v>159</v>
      </c>
      <c r="K24" s="315" t="s">
        <v>125</v>
      </c>
      <c r="L24" s="311" t="s">
        <v>126</v>
      </c>
      <c r="M24" s="311">
        <v>0</v>
      </c>
      <c r="N24" s="311">
        <v>0.61616583194212593</v>
      </c>
      <c r="O24" s="311">
        <v>0</v>
      </c>
      <c r="P24" s="311">
        <v>0</v>
      </c>
      <c r="Q24" s="311">
        <v>0</v>
      </c>
      <c r="R24" s="311">
        <v>0</v>
      </c>
      <c r="S24" s="311">
        <v>0</v>
      </c>
      <c r="T24" s="311"/>
      <c r="U24" s="311"/>
      <c r="V24" s="472"/>
    </row>
    <row r="25" spans="1:22" ht="15.75" thickBot="1">
      <c r="A25" s="284" t="s">
        <v>98</v>
      </c>
      <c r="B25" s="20">
        <v>309</v>
      </c>
      <c r="C25" s="285" t="s">
        <v>138</v>
      </c>
      <c r="F25" s="22"/>
      <c r="G25" s="23">
        <f>1-0.6</f>
        <v>0.4</v>
      </c>
      <c r="H25" s="24" t="s">
        <v>160</v>
      </c>
      <c r="K25" s="315" t="s">
        <v>58</v>
      </c>
      <c r="L25" s="311" t="s">
        <v>129</v>
      </c>
      <c r="M25" s="311">
        <f>M12/Monetary!T$9*Monetary!Z$9</f>
        <v>2496.500713095541</v>
      </c>
      <c r="N25" s="311">
        <f>N12/Monetary!R$4/Monetary!V$9*Monetary!Z$9</f>
        <v>1001.7584226885683</v>
      </c>
      <c r="O25" s="311">
        <f>O12/Monetary!K$4/Monetary!O$9*Monetary!Z$9</f>
        <v>1528.3978666956059</v>
      </c>
      <c r="P25" s="311">
        <f>P12/Monetary!$X$9*Monetary!$Z$9</f>
        <v>2380.2290311639144</v>
      </c>
      <c r="Q25" s="311">
        <f>Q12/Monetary!$X$9*Monetary!$Z$9</f>
        <v>1020.7847526902422</v>
      </c>
      <c r="R25" s="311">
        <v>5231.666666666667</v>
      </c>
      <c r="S25" s="311">
        <v>2126.4367816091954</v>
      </c>
      <c r="T25" s="311">
        <v>945.60185185185173</v>
      </c>
      <c r="U25" s="311">
        <v>510.12731481481478</v>
      </c>
      <c r="V25" s="472">
        <v>315.53240740740739</v>
      </c>
    </row>
    <row r="26" spans="1:22">
      <c r="A26" s="284" t="s">
        <v>65</v>
      </c>
      <c r="B26" s="278">
        <v>20150000</v>
      </c>
      <c r="C26" s="285" t="s">
        <v>140</v>
      </c>
      <c r="F26" s="321"/>
      <c r="K26" s="315" t="s">
        <v>65</v>
      </c>
      <c r="L26" s="311" t="s">
        <v>146</v>
      </c>
      <c r="M26" s="311">
        <f>M13/Monetary!T$9*Monetary!Z$9</f>
        <v>194.04788801340524</v>
      </c>
      <c r="N26" s="311">
        <f>N13/Monetary!R$4/Monetary!V$9*Monetary!Z$9</f>
        <v>53.259715612598022</v>
      </c>
      <c r="O26" s="311">
        <f>O13/Monetary!K$4/Monetary!O$9*Monetary!Z$9</f>
        <v>93.312711861415949</v>
      </c>
      <c r="P26" s="311">
        <f>P13/Monetary!$X$9*Monetary!$Z$9</f>
        <v>119.01145155819573</v>
      </c>
      <c r="Q26" s="311">
        <f>Q13/Monetary!$X$9*Monetary!$Z$9</f>
        <v>51.039237634512112</v>
      </c>
      <c r="R26" s="311">
        <v>0</v>
      </c>
      <c r="S26" s="311">
        <v>0</v>
      </c>
      <c r="T26" s="311"/>
      <c r="U26" s="311"/>
      <c r="V26" s="472"/>
    </row>
    <row r="27" spans="1:22">
      <c r="A27" s="284" t="s">
        <v>139</v>
      </c>
      <c r="B27" s="275">
        <v>179.7</v>
      </c>
      <c r="C27" s="285" t="s">
        <v>45</v>
      </c>
      <c r="K27" s="315" t="s">
        <v>8</v>
      </c>
      <c r="L27" s="311" t="s">
        <v>128</v>
      </c>
      <c r="M27" s="311">
        <f>M14/Monetary!T$9*Monetary!Z$9</f>
        <v>-4.1003631572804823E-2</v>
      </c>
      <c r="N27" s="311">
        <f>N14/Monetary!R$4/Monetary!V$9*Monetary!Z$9</f>
        <v>6.5173859140471427E-2</v>
      </c>
      <c r="O27" s="311">
        <f>O14/Monetary!K$4/Monetary!O$9*Monetary!Z$9</f>
        <v>0</v>
      </c>
      <c r="P27" s="311">
        <f>P14/Monetary!$X$9*Monetary!$Z$9</f>
        <v>0</v>
      </c>
      <c r="Q27" s="311">
        <f>Q14/Monetary!$X$9*Monetary!$Z$9</f>
        <v>0</v>
      </c>
      <c r="R27" s="311">
        <v>0.38222222222222224</v>
      </c>
      <c r="S27" s="311">
        <v>0.38222222222222224</v>
      </c>
      <c r="T27" s="311"/>
      <c r="U27" s="311"/>
      <c r="V27" s="472"/>
    </row>
    <row r="28" spans="1:22">
      <c r="A28" s="284" t="s">
        <v>99</v>
      </c>
      <c r="B28" s="20">
        <v>2016</v>
      </c>
      <c r="C28" s="285"/>
      <c r="K28" s="315" t="s">
        <v>385</v>
      </c>
      <c r="L28" s="311" t="s">
        <v>384</v>
      </c>
      <c r="M28" s="311">
        <f>M26/(365*0.9)+M27</f>
        <v>0.54970531215141205</v>
      </c>
      <c r="N28" s="311">
        <f t="shared" ref="N28:S28" si="1">N26/(365*0.9)+N27</f>
        <v>0.22730389144670587</v>
      </c>
      <c r="O28" s="311">
        <f t="shared" si="1"/>
        <v>0.28405696152638038</v>
      </c>
      <c r="P28" s="311">
        <f t="shared" si="1"/>
        <v>0.36228752376924117</v>
      </c>
      <c r="Q28" s="311">
        <f t="shared" si="1"/>
        <v>0.15537058640642956</v>
      </c>
      <c r="R28" s="311">
        <f t="shared" si="1"/>
        <v>0.38222222222222224</v>
      </c>
      <c r="S28" s="311">
        <f t="shared" si="1"/>
        <v>0.38222222222222224</v>
      </c>
      <c r="T28" s="311"/>
      <c r="U28" s="311"/>
      <c r="V28" s="472"/>
    </row>
    <row r="29" spans="1:22" ht="15.75" thickBot="1">
      <c r="A29" s="284" t="s">
        <v>142</v>
      </c>
      <c r="B29" s="280">
        <v>2</v>
      </c>
      <c r="C29" s="285" t="s">
        <v>143</v>
      </c>
      <c r="K29" s="315" t="s">
        <v>204</v>
      </c>
      <c r="L29" s="311" t="s">
        <v>206</v>
      </c>
      <c r="M29" s="311">
        <f>M15/Monetary!T$9*Monetary!Z$9</f>
        <v>3.763243243243243</v>
      </c>
      <c r="N29" s="311">
        <f>N15/Monetary!R$4/Monetary!V$9*Monetary!Z$9</f>
        <v>1.7178674934285907</v>
      </c>
      <c r="O29" s="311">
        <f>O15/Monetary!K$4/Monetary!O$9*Monetary!Z$9</f>
        <v>1.9395874029253422</v>
      </c>
      <c r="P29" s="311">
        <f>P15/Monetary!$X$9*Monetary!$Z$9</f>
        <v>4.2933872365001449</v>
      </c>
      <c r="Q29" s="311">
        <f>Q15/Monetary!$X$9*Monetary!$Z$9</f>
        <v>1.8809125036095873</v>
      </c>
      <c r="R29" s="311">
        <f>R15</f>
        <v>3.1</v>
      </c>
      <c r="S29" s="311">
        <f>S15</f>
        <v>2.38</v>
      </c>
      <c r="T29" s="317">
        <f>T15</f>
        <v>2.5</v>
      </c>
      <c r="U29" s="317">
        <f>U15</f>
        <v>1.19</v>
      </c>
      <c r="V29" s="473">
        <f>V15</f>
        <v>0.6</v>
      </c>
    </row>
    <row r="30" spans="1:22" ht="15.75" thickBot="1">
      <c r="A30" s="284" t="s">
        <v>116</v>
      </c>
      <c r="B30" s="20">
        <v>17.3</v>
      </c>
      <c r="C30" s="285" t="s">
        <v>145</v>
      </c>
      <c r="K30" s="316" t="s">
        <v>205</v>
      </c>
      <c r="L30" s="317" t="s">
        <v>128</v>
      </c>
      <c r="M30" s="317">
        <f>M16/Monetary!T$9*Monetary!Z$9</f>
        <v>3.7419819819819815</v>
      </c>
      <c r="N30" s="317">
        <f>N16/Monetary!R$4/Monetary!V$9*Monetary!Z$9</f>
        <v>1.7655860349127179</v>
      </c>
      <c r="O30" s="317">
        <f>O16/Monetary!K$4/Monetary!O$9*Monetary!Z$9</f>
        <v>1.9733193577588262</v>
      </c>
      <c r="P30" s="317">
        <f>P16/Monetary!$X$9*Monetary!$Z$9</f>
        <v>4.4467224949465773</v>
      </c>
      <c r="Q30" s="317">
        <f>Q16/Monetary!$X$9*Monetary!$Z$9</f>
        <v>1.6764654923476754</v>
      </c>
      <c r="R30" s="317">
        <f>R16</f>
        <v>3.21</v>
      </c>
      <c r="S30" s="317">
        <f>S16</f>
        <v>2.16</v>
      </c>
    </row>
    <row r="31" spans="1:22">
      <c r="A31" s="284" t="s">
        <v>118</v>
      </c>
      <c r="B31" s="280">
        <v>7.0000000000000007E-2</v>
      </c>
      <c r="C31" s="285" t="s">
        <v>141</v>
      </c>
      <c r="K31" s="324" t="s">
        <v>237</v>
      </c>
    </row>
    <row r="32" spans="1:22">
      <c r="A32" s="284" t="s">
        <v>110</v>
      </c>
      <c r="B32" s="20">
        <v>0.08</v>
      </c>
      <c r="C32" s="285"/>
      <c r="K32" t="s">
        <v>203</v>
      </c>
      <c r="L32" t="s">
        <v>232</v>
      </c>
    </row>
    <row r="33" spans="1:18" ht="15.75" thickBot="1">
      <c r="A33" s="286" t="s">
        <v>111</v>
      </c>
      <c r="B33" s="287">
        <v>40</v>
      </c>
      <c r="C33" s="288" t="s">
        <v>112</v>
      </c>
      <c r="K33" s="280" t="s">
        <v>386</v>
      </c>
    </row>
    <row r="34" spans="1:18">
      <c r="A34" t="s">
        <v>97</v>
      </c>
      <c r="B34" t="s">
        <v>212</v>
      </c>
    </row>
    <row r="36" spans="1:18" ht="15.75" thickBot="1"/>
    <row r="37" spans="1:18">
      <c r="A37" s="281" t="s">
        <v>58</v>
      </c>
      <c r="B37" s="290">
        <f>95000000*(1+0.15)</f>
        <v>109249999.99999999</v>
      </c>
      <c r="C37" s="283" t="s">
        <v>162</v>
      </c>
      <c r="N37" s="16" t="s">
        <v>387</v>
      </c>
      <c r="O37" s="17" t="s">
        <v>123</v>
      </c>
      <c r="P37" s="17" t="s">
        <v>124</v>
      </c>
      <c r="Q37" s="17" t="s">
        <v>58</v>
      </c>
      <c r="R37" s="18" t="s">
        <v>389</v>
      </c>
    </row>
    <row r="38" spans="1:18">
      <c r="A38" s="284" t="s">
        <v>95</v>
      </c>
      <c r="B38" s="20">
        <v>3.88</v>
      </c>
      <c r="C38" s="285" t="s">
        <v>161</v>
      </c>
      <c r="N38" s="19" t="s">
        <v>31</v>
      </c>
      <c r="O38" s="446">
        <f>_xlfn.QUARTILE.EXC((M22,O22,R22,S22),1)</f>
        <v>3.18508162745024</v>
      </c>
      <c r="P38" s="446">
        <f>_xlfn.QUARTILE.EXC((M23,O23,R23,S23),1)</f>
        <v>21.872206563977958</v>
      </c>
      <c r="Q38" s="446">
        <f>_xlfn.QUARTILE.EXC((M25,O25,R25,S25:V25),1)</f>
        <v>510.12731481481478</v>
      </c>
      <c r="R38" s="448">
        <f>_xlfn.QUARTILE.EXC((M28,O28:Q28,R28,S28),1)</f>
        <v>0.2518853677463927</v>
      </c>
    </row>
    <row r="39" spans="1:18">
      <c r="A39" s="284" t="s">
        <v>96</v>
      </c>
      <c r="B39" s="20">
        <v>54.5</v>
      </c>
      <c r="C39" s="285" t="s">
        <v>45</v>
      </c>
      <c r="N39" s="19" t="s">
        <v>388</v>
      </c>
      <c r="O39" s="446">
        <f>_xlfn.QUARTILE.EXC((M22,O22,R22,S22),2)</f>
        <v>4.4689655172413794</v>
      </c>
      <c r="P39" s="446">
        <f>_xlfn.QUARTILE.EXC((M23,O23,R23,S23),2)</f>
        <v>22.885457189258602</v>
      </c>
      <c r="Q39" s="446">
        <f>_xlfn.QUARTILE.EXC((M25,O25,R25,S25:V25),2)</f>
        <v>1528.3978666956059</v>
      </c>
      <c r="R39" s="448">
        <f>_xlfn.QUARTILE.EXC((M28,O28:Q28,R28,S28),2)</f>
        <v>0.37225487299573168</v>
      </c>
    </row>
    <row r="40" spans="1:18" ht="15.75" thickBot="1">
      <c r="A40" s="284" t="s">
        <v>108</v>
      </c>
      <c r="B40" s="278"/>
      <c r="C40" s="285" t="s">
        <v>140</v>
      </c>
      <c r="N40" s="22" t="s">
        <v>33</v>
      </c>
      <c r="O40" s="447">
        <f>_xlfn.QUARTILE.EXC((M22,O22,R22,S22),3)</f>
        <v>5.3709999999999996</v>
      </c>
      <c r="P40" s="447">
        <f>_xlfn.QUARTILE.EXC((M23,O23,R23,S23),3)</f>
        <v>27.504827586206897</v>
      </c>
      <c r="Q40" s="447">
        <f>_xlfn.QUARTILE.EXC((M25,O25,R25,S25:V25),3)</f>
        <v>2496.500713095541</v>
      </c>
      <c r="R40" s="449">
        <f>_xlfn.QUARTILE.EXC((M28,O28:Q28,R28,S28),3)</f>
        <v>0.42409299470451967</v>
      </c>
    </row>
    <row r="41" spans="1:18">
      <c r="A41" s="284" t="s">
        <v>98</v>
      </c>
      <c r="B41" s="20">
        <v>0</v>
      </c>
      <c r="C41" s="285" t="s">
        <v>138</v>
      </c>
    </row>
    <row r="42" spans="1:18">
      <c r="A42" s="284" t="s">
        <v>65</v>
      </c>
      <c r="B42" s="278">
        <v>6670000</v>
      </c>
      <c r="C42" s="285" t="s">
        <v>140</v>
      </c>
      <c r="N42" t="s">
        <v>412</v>
      </c>
    </row>
    <row r="43" spans="1:18">
      <c r="A43" s="284" t="s">
        <v>139</v>
      </c>
      <c r="B43" s="275">
        <v>30</v>
      </c>
      <c r="C43" s="285" t="s">
        <v>45</v>
      </c>
    </row>
    <row r="44" spans="1:18">
      <c r="A44" s="284" t="s">
        <v>99</v>
      </c>
      <c r="B44" s="20">
        <v>2009</v>
      </c>
      <c r="C44" s="285"/>
      <c r="N44" t="s">
        <v>424</v>
      </c>
    </row>
    <row r="45" spans="1:18">
      <c r="A45" s="284" t="s">
        <v>142</v>
      </c>
      <c r="B45" s="280"/>
      <c r="C45" s="285" t="s">
        <v>143</v>
      </c>
      <c r="N45" t="s">
        <v>425</v>
      </c>
    </row>
    <row r="46" spans="1:18">
      <c r="A46" s="284" t="s">
        <v>116</v>
      </c>
      <c r="B46" s="280">
        <v>15</v>
      </c>
      <c r="C46" s="285" t="s">
        <v>145</v>
      </c>
    </row>
    <row r="47" spans="1:18">
      <c r="A47" s="284" t="s">
        <v>118</v>
      </c>
      <c r="B47" s="280">
        <v>0.06</v>
      </c>
      <c r="C47" s="285" t="s">
        <v>141</v>
      </c>
    </row>
    <row r="48" spans="1:18">
      <c r="A48" s="284" t="s">
        <v>110</v>
      </c>
      <c r="B48" s="280">
        <v>0.1</v>
      </c>
      <c r="C48" s="285"/>
    </row>
    <row r="49" spans="1:4" ht="15.75" thickBot="1">
      <c r="A49" s="286" t="s">
        <v>111</v>
      </c>
      <c r="B49" s="287">
        <v>40</v>
      </c>
      <c r="C49" s="288" t="s">
        <v>112</v>
      </c>
    </row>
    <row r="50" spans="1:4">
      <c r="A50" t="s">
        <v>97</v>
      </c>
      <c r="B50" t="s">
        <v>219</v>
      </c>
    </row>
    <row r="52" spans="1:4" ht="15.75" thickBot="1">
      <c r="B52">
        <v>2020</v>
      </c>
      <c r="C52">
        <v>2050</v>
      </c>
      <c r="D52" t="s">
        <v>168</v>
      </c>
    </row>
    <row r="53" spans="1:4">
      <c r="A53" s="281" t="s">
        <v>58</v>
      </c>
      <c r="B53" s="290">
        <v>131000000</v>
      </c>
      <c r="C53" s="282">
        <v>622000000</v>
      </c>
      <c r="D53" s="293">
        <v>2018</v>
      </c>
    </row>
    <row r="54" spans="1:4">
      <c r="A54" s="284" t="s">
        <v>95</v>
      </c>
      <c r="B54" s="20">
        <v>0</v>
      </c>
      <c r="C54" s="20">
        <v>0</v>
      </c>
      <c r="D54" s="285" t="s">
        <v>161</v>
      </c>
    </row>
    <row r="55" spans="1:4">
      <c r="A55" s="284" t="s">
        <v>96</v>
      </c>
      <c r="B55" s="20">
        <v>73</v>
      </c>
      <c r="C55" s="20">
        <v>729</v>
      </c>
      <c r="D55" s="285" t="s">
        <v>45</v>
      </c>
    </row>
    <row r="56" spans="1:4">
      <c r="A56" s="284" t="s">
        <v>108</v>
      </c>
      <c r="B56" s="278" t="s">
        <v>167</v>
      </c>
      <c r="C56" s="20" t="s">
        <v>167</v>
      </c>
      <c r="D56" s="285" t="s">
        <v>140</v>
      </c>
    </row>
    <row r="57" spans="1:4">
      <c r="A57" s="284" t="s">
        <v>98</v>
      </c>
      <c r="B57" s="20">
        <v>0</v>
      </c>
      <c r="C57" s="20">
        <v>0</v>
      </c>
      <c r="D57" s="285" t="s">
        <v>138</v>
      </c>
    </row>
    <row r="58" spans="1:4">
      <c r="A58" s="284" t="s">
        <v>65</v>
      </c>
      <c r="B58" s="278" t="s">
        <v>167</v>
      </c>
      <c r="C58" s="20" t="s">
        <v>167</v>
      </c>
      <c r="D58" s="285" t="s">
        <v>140</v>
      </c>
    </row>
    <row r="59" spans="1:4">
      <c r="A59" s="284" t="s">
        <v>139</v>
      </c>
      <c r="B59" s="275">
        <v>28</v>
      </c>
      <c r="C59" s="20">
        <v>310</v>
      </c>
      <c r="D59" s="285" t="s">
        <v>45</v>
      </c>
    </row>
    <row r="60" spans="1:4">
      <c r="A60" s="284" t="s">
        <v>99</v>
      </c>
      <c r="B60" s="20">
        <v>2020</v>
      </c>
      <c r="C60" s="20">
        <v>2050</v>
      </c>
      <c r="D60" s="285"/>
    </row>
    <row r="61" spans="1:4">
      <c r="A61" s="284" t="s">
        <v>142</v>
      </c>
      <c r="B61" s="280" t="s">
        <v>167</v>
      </c>
      <c r="C61" s="20" t="s">
        <v>167</v>
      </c>
      <c r="D61" s="285" t="s">
        <v>143</v>
      </c>
    </row>
    <row r="62" spans="1:4">
      <c r="A62" s="284" t="s">
        <v>116</v>
      </c>
      <c r="B62" s="280" t="s">
        <v>167</v>
      </c>
      <c r="C62" s="20" t="s">
        <v>167</v>
      </c>
      <c r="D62" s="285" t="s">
        <v>145</v>
      </c>
    </row>
    <row r="63" spans="1:4">
      <c r="A63" s="284" t="s">
        <v>118</v>
      </c>
      <c r="B63" s="280">
        <v>0.10299999999999999</v>
      </c>
      <c r="C63" s="20">
        <v>0.04</v>
      </c>
      <c r="D63" s="285" t="s">
        <v>141</v>
      </c>
    </row>
    <row r="64" spans="1:4">
      <c r="A64" s="284" t="s">
        <v>110</v>
      </c>
      <c r="B64" s="280" t="s">
        <v>167</v>
      </c>
      <c r="C64" s="20" t="s">
        <v>167</v>
      </c>
      <c r="D64" s="285"/>
    </row>
    <row r="65" spans="1:4" ht="15.75" thickBot="1">
      <c r="A65" s="286" t="s">
        <v>111</v>
      </c>
      <c r="B65" s="287" t="s">
        <v>167</v>
      </c>
      <c r="C65" s="287" t="s">
        <v>167</v>
      </c>
      <c r="D65" s="288" t="s">
        <v>112</v>
      </c>
    </row>
    <row r="66" spans="1:4">
      <c r="A66" t="s">
        <v>97</v>
      </c>
      <c r="B66" t="s">
        <v>222</v>
      </c>
    </row>
    <row r="68" spans="1:4" ht="15.75" thickBot="1">
      <c r="B68" t="s">
        <v>170</v>
      </c>
      <c r="C68" t="s">
        <v>171</v>
      </c>
    </row>
    <row r="69" spans="1:4">
      <c r="A69" s="281" t="s">
        <v>58</v>
      </c>
      <c r="B69" s="290">
        <v>313900000</v>
      </c>
      <c r="C69" s="282">
        <v>148000000</v>
      </c>
      <c r="D69" s="293">
        <v>2020</v>
      </c>
    </row>
    <row r="70" spans="1:4">
      <c r="A70" s="284" t="s">
        <v>95</v>
      </c>
      <c r="B70" s="20">
        <v>12</v>
      </c>
      <c r="C70" s="20">
        <v>12</v>
      </c>
      <c r="D70" s="285" t="s">
        <v>104</v>
      </c>
    </row>
    <row r="71" spans="1:4">
      <c r="A71" s="284" t="s">
        <v>96</v>
      </c>
      <c r="B71" s="20">
        <v>72.2</v>
      </c>
      <c r="C71" s="20">
        <v>67.8</v>
      </c>
      <c r="D71" s="285" t="s">
        <v>45</v>
      </c>
    </row>
    <row r="72" spans="1:4">
      <c r="A72" s="284" t="s">
        <v>108</v>
      </c>
      <c r="B72" s="278">
        <v>3.2000000000000001E-2</v>
      </c>
      <c r="C72" s="278">
        <v>3.2000000000000001E-2</v>
      </c>
      <c r="D72" s="285" t="s">
        <v>172</v>
      </c>
    </row>
    <row r="73" spans="1:4">
      <c r="A73" s="284" t="s">
        <v>98</v>
      </c>
      <c r="B73" s="20">
        <v>0</v>
      </c>
      <c r="C73" s="20">
        <v>0</v>
      </c>
      <c r="D73" s="285" t="s">
        <v>138</v>
      </c>
    </row>
    <row r="74" spans="1:4">
      <c r="A74" s="284" t="s">
        <v>65</v>
      </c>
      <c r="B74" s="278">
        <v>0</v>
      </c>
      <c r="C74" s="278">
        <v>0</v>
      </c>
      <c r="D74" s="285" t="s">
        <v>140</v>
      </c>
    </row>
    <row r="75" spans="1:4">
      <c r="A75" s="284" t="s">
        <v>139</v>
      </c>
      <c r="B75" s="278">
        <v>2.5</v>
      </c>
      <c r="C75" s="20">
        <v>2.9</v>
      </c>
      <c r="D75" s="285" t="s">
        <v>104</v>
      </c>
    </row>
    <row r="76" spans="1:4">
      <c r="A76" s="284" t="s">
        <v>99</v>
      </c>
      <c r="B76" s="20">
        <v>2020</v>
      </c>
      <c r="C76" s="20">
        <v>2020</v>
      </c>
      <c r="D76" s="285"/>
    </row>
    <row r="77" spans="1:4">
      <c r="A77" s="284" t="s">
        <v>142</v>
      </c>
      <c r="B77" s="280" t="s">
        <v>167</v>
      </c>
      <c r="C77" s="280" t="s">
        <v>167</v>
      </c>
      <c r="D77" s="285" t="s">
        <v>143</v>
      </c>
    </row>
    <row r="78" spans="1:4">
      <c r="A78" s="284" t="s">
        <v>116</v>
      </c>
      <c r="B78" s="280" t="s">
        <v>167</v>
      </c>
      <c r="C78" s="280" t="s">
        <v>167</v>
      </c>
      <c r="D78" s="285" t="s">
        <v>145</v>
      </c>
    </row>
    <row r="79" spans="1:4">
      <c r="A79" s="284" t="s">
        <v>118</v>
      </c>
      <c r="B79" s="280">
        <v>5.3999999999999999E-2</v>
      </c>
      <c r="C79" s="20">
        <v>5.3999999999999999E-2</v>
      </c>
      <c r="D79" s="285" t="s">
        <v>141</v>
      </c>
    </row>
    <row r="80" spans="1:4">
      <c r="A80" s="284" t="s">
        <v>110</v>
      </c>
      <c r="B80" s="280" t="s">
        <v>167</v>
      </c>
      <c r="C80" s="280" t="s">
        <v>167</v>
      </c>
      <c r="D80" s="285"/>
    </row>
    <row r="81" spans="1:6" ht="15.75" thickBot="1">
      <c r="A81" s="286" t="s">
        <v>111</v>
      </c>
      <c r="B81" s="292" t="s">
        <v>167</v>
      </c>
      <c r="C81" s="292" t="s">
        <v>167</v>
      </c>
      <c r="D81" s="288" t="s">
        <v>112</v>
      </c>
    </row>
    <row r="82" spans="1:6">
      <c r="A82" t="s">
        <v>97</v>
      </c>
      <c r="B82" t="s">
        <v>227</v>
      </c>
    </row>
    <row r="83" spans="1:6" ht="15.75" thickBot="1"/>
    <row r="84" spans="1:6">
      <c r="A84" s="16" t="s">
        <v>58</v>
      </c>
      <c r="B84" s="318">
        <v>732</v>
      </c>
      <c r="C84" s="318">
        <f>B84/(24/1000*3600/43)</f>
        <v>364.30555555555554</v>
      </c>
      <c r="D84" s="17">
        <v>2020</v>
      </c>
      <c r="E84" s="17" t="s">
        <v>163</v>
      </c>
      <c r="F84" s="18" t="s">
        <v>166</v>
      </c>
    </row>
    <row r="85" spans="1:6">
      <c r="A85" s="19" t="s">
        <v>58</v>
      </c>
      <c r="B85" s="20">
        <v>788</v>
      </c>
      <c r="C85" s="20">
        <f t="shared" ref="C85:C92" si="2">B85/(24/1000*3600/43)</f>
        <v>392.17592592592587</v>
      </c>
      <c r="D85" s="20">
        <v>2020</v>
      </c>
      <c r="E85" s="20" t="s">
        <v>164</v>
      </c>
      <c r="F85" s="21"/>
    </row>
    <row r="86" spans="1:6">
      <c r="A86" s="19" t="s">
        <v>58</v>
      </c>
      <c r="B86" s="20">
        <v>843</v>
      </c>
      <c r="C86" s="20">
        <f>B86/(24/1000*3600/43)</f>
        <v>419.54861111111109</v>
      </c>
      <c r="D86" s="20">
        <v>2020</v>
      </c>
      <c r="E86" s="20" t="s">
        <v>165</v>
      </c>
      <c r="F86" s="21"/>
    </row>
    <row r="87" spans="1:6">
      <c r="A87" s="19" t="s">
        <v>58</v>
      </c>
      <c r="B87" s="278">
        <v>544</v>
      </c>
      <c r="C87" s="278">
        <f t="shared" si="2"/>
        <v>270.7407407407407</v>
      </c>
      <c r="D87" s="20">
        <v>2030</v>
      </c>
      <c r="E87" s="20" t="s">
        <v>163</v>
      </c>
      <c r="F87" s="21"/>
    </row>
    <row r="88" spans="1:6">
      <c r="A88" s="19" t="s">
        <v>58</v>
      </c>
      <c r="B88" s="280">
        <v>677</v>
      </c>
      <c r="C88" s="280">
        <f t="shared" si="2"/>
        <v>336.93287037037032</v>
      </c>
      <c r="D88" s="20">
        <v>2030</v>
      </c>
      <c r="E88" s="20" t="s">
        <v>164</v>
      </c>
      <c r="F88" s="21"/>
    </row>
    <row r="89" spans="1:6">
      <c r="A89" s="19" t="s">
        <v>58</v>
      </c>
      <c r="B89" s="278">
        <v>828</v>
      </c>
      <c r="C89" s="278">
        <f t="shared" si="2"/>
        <v>412.08333333333331</v>
      </c>
      <c r="D89" s="20">
        <v>2030</v>
      </c>
      <c r="E89" s="20" t="s">
        <v>165</v>
      </c>
      <c r="F89" s="21"/>
    </row>
    <row r="90" spans="1:6">
      <c r="A90" s="19" t="s">
        <v>58</v>
      </c>
      <c r="B90" s="275">
        <v>300</v>
      </c>
      <c r="C90" s="275">
        <f t="shared" si="2"/>
        <v>149.30555555555554</v>
      </c>
      <c r="D90" s="20">
        <v>2050</v>
      </c>
      <c r="E90" s="20" t="s">
        <v>163</v>
      </c>
      <c r="F90" s="21"/>
    </row>
    <row r="91" spans="1:6">
      <c r="A91" s="19" t="s">
        <v>58</v>
      </c>
      <c r="B91" s="20">
        <v>500</v>
      </c>
      <c r="C91" s="20">
        <f t="shared" si="2"/>
        <v>248.84259259259258</v>
      </c>
      <c r="D91" s="20">
        <v>2050</v>
      </c>
      <c r="E91" s="20" t="s">
        <v>164</v>
      </c>
      <c r="F91" s="21"/>
    </row>
    <row r="92" spans="1:6" ht="15.75" thickBot="1">
      <c r="A92" s="22" t="s">
        <v>58</v>
      </c>
      <c r="B92" s="306">
        <v>800</v>
      </c>
      <c r="C92" s="306">
        <f t="shared" si="2"/>
        <v>398.1481481481481</v>
      </c>
      <c r="D92" s="23">
        <v>2050</v>
      </c>
      <c r="E92" s="23" t="s">
        <v>165</v>
      </c>
      <c r="F92" s="24"/>
    </row>
    <row r="93" spans="1:6" ht="15.75" thickBot="1">
      <c r="A93" s="319" t="s">
        <v>97</v>
      </c>
      <c r="B93" s="320" t="s">
        <v>236</v>
      </c>
      <c r="C93" s="323" t="s">
        <v>233</v>
      </c>
      <c r="D93" s="280" t="s">
        <v>144</v>
      </c>
    </row>
    <row r="96" spans="1:6" ht="15.75" thickBot="1"/>
    <row r="97" spans="1:7" ht="15.75" thickBot="1">
      <c r="A97" s="16"/>
      <c r="B97" s="17">
        <v>2020</v>
      </c>
      <c r="C97" s="17">
        <v>2030</v>
      </c>
      <c r="D97" s="18">
        <v>2050</v>
      </c>
    </row>
    <row r="98" spans="1:7" ht="15.75" thickBot="1">
      <c r="A98" s="19" t="s">
        <v>416</v>
      </c>
      <c r="B98" s="20">
        <f>1100</f>
        <v>1100</v>
      </c>
      <c r="C98" s="20">
        <f>625</f>
        <v>625</v>
      </c>
      <c r="D98" s="21">
        <f>334</f>
        <v>334</v>
      </c>
      <c r="G98" s="277"/>
    </row>
    <row r="99" spans="1:7">
      <c r="A99" s="19" t="s">
        <v>417</v>
      </c>
      <c r="B99" s="20">
        <f>B98/(24*3.6/43)</f>
        <v>547.4537037037037</v>
      </c>
      <c r="C99" s="20">
        <f t="shared" ref="C99:D99" si="3">C98/(24*3.6/43)</f>
        <v>311.0532407407407</v>
      </c>
      <c r="D99" s="20">
        <f t="shared" si="3"/>
        <v>166.22685185185185</v>
      </c>
    </row>
    <row r="100" spans="1:7">
      <c r="A100" s="19" t="s">
        <v>418</v>
      </c>
      <c r="B100" s="20">
        <v>800</v>
      </c>
      <c r="C100" s="20">
        <v>400</v>
      </c>
      <c r="D100" s="21">
        <v>300</v>
      </c>
    </row>
    <row r="101" spans="1:7">
      <c r="A101" s="19" t="s">
        <v>419</v>
      </c>
      <c r="B101" s="20">
        <f>B100/(24*3.6/43)</f>
        <v>398.1481481481481</v>
      </c>
      <c r="C101" s="20">
        <f t="shared" ref="C101:D101" si="4">C100/(24*3.6/43)</f>
        <v>199.07407407407405</v>
      </c>
      <c r="D101" s="20">
        <f t="shared" si="4"/>
        <v>149.30555555555554</v>
      </c>
    </row>
    <row r="102" spans="1:7" ht="15.75" thickBot="1">
      <c r="A102" s="22" t="s">
        <v>415</v>
      </c>
      <c r="B102" s="23">
        <f>B99+B101</f>
        <v>945.60185185185173</v>
      </c>
      <c r="C102" s="23">
        <f t="shared" ref="C102:D102" si="5">C99+C101</f>
        <v>510.12731481481478</v>
      </c>
      <c r="D102" s="24">
        <f t="shared" si="5"/>
        <v>315.53240740740739</v>
      </c>
    </row>
    <row r="103" spans="1:7">
      <c r="A103" s="19" t="s">
        <v>414</v>
      </c>
      <c r="B103" s="20"/>
      <c r="C103" s="20"/>
      <c r="D103" s="21"/>
    </row>
    <row r="104" spans="1:7" ht="15.75" thickBot="1">
      <c r="A104" s="22" t="s">
        <v>423</v>
      </c>
      <c r="B104" s="23">
        <v>460</v>
      </c>
      <c r="C104" s="23">
        <v>150</v>
      </c>
      <c r="D104" s="24">
        <v>60</v>
      </c>
    </row>
  </sheetData>
  <mergeCells count="2">
    <mergeCell ref="K19:V19"/>
    <mergeCell ref="K6:V6"/>
  </mergeCells>
  <phoneticPr fontId="24" type="noConversion"/>
  <hyperlinks>
    <hyperlink ref="F14" r:id="rId1" xr:uid="{D031FF33-73C8-4CC8-B550-A2F9A166F0F5}"/>
    <hyperlink ref="F23" r:id="rId2" xr:uid="{6423ADB3-2A0E-4152-B67F-5851BD0D44F2}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F168-B670-4077-A444-8EF9678B8241}">
  <sheetPr>
    <tabColor theme="7" tint="0.39997558519241921"/>
  </sheetPr>
  <dimension ref="A1:C19"/>
  <sheetViews>
    <sheetView zoomScaleNormal="100" workbookViewId="0">
      <selection activeCell="C17" sqref="C17"/>
    </sheetView>
  </sheetViews>
  <sheetFormatPr baseColWidth="10" defaultRowHeight="15"/>
  <cols>
    <col min="1" max="1" width="25.7109375" bestFit="1" customWidth="1"/>
    <col min="2" max="2" width="17.7109375" customWidth="1"/>
  </cols>
  <sheetData>
    <row r="1" spans="1:3" ht="15.75" thickBot="1">
      <c r="A1" s="277" t="s">
        <v>94</v>
      </c>
    </row>
    <row r="2" spans="1:3">
      <c r="A2" s="16" t="s">
        <v>58</v>
      </c>
      <c r="B2" s="279">
        <v>751000000</v>
      </c>
      <c r="C2" s="18" t="s">
        <v>100</v>
      </c>
    </row>
    <row r="3" spans="1:3">
      <c r="A3" s="19" t="s">
        <v>114</v>
      </c>
      <c r="B3" s="278">
        <v>181720</v>
      </c>
      <c r="C3" s="21" t="s">
        <v>102</v>
      </c>
    </row>
    <row r="4" spans="1:3">
      <c r="A4" s="19" t="s">
        <v>95</v>
      </c>
      <c r="B4" s="20">
        <v>0</v>
      </c>
      <c r="C4" s="21" t="s">
        <v>102</v>
      </c>
    </row>
    <row r="5" spans="1:3">
      <c r="A5" s="19" t="s">
        <v>96</v>
      </c>
      <c r="B5" s="278">
        <v>1354000</v>
      </c>
      <c r="C5" s="21" t="s">
        <v>106</v>
      </c>
    </row>
    <row r="6" spans="1:3">
      <c r="A6" s="19" t="s">
        <v>108</v>
      </c>
      <c r="B6" s="278">
        <v>1700000</v>
      </c>
      <c r="C6" s="21" t="s">
        <v>107</v>
      </c>
    </row>
    <row r="7" spans="1:3">
      <c r="A7" s="19" t="s">
        <v>98</v>
      </c>
      <c r="B7" s="20">
        <v>0</v>
      </c>
      <c r="C7" s="21" t="s">
        <v>113</v>
      </c>
    </row>
    <row r="8" spans="1:3">
      <c r="A8" s="19" t="s">
        <v>65</v>
      </c>
      <c r="B8" s="278">
        <v>55600000</v>
      </c>
      <c r="C8" s="21" t="s">
        <v>107</v>
      </c>
    </row>
    <row r="9" spans="1:3">
      <c r="A9" s="19" t="s">
        <v>101</v>
      </c>
      <c r="B9" s="275">
        <v>91300</v>
      </c>
      <c r="C9" s="21" t="s">
        <v>102</v>
      </c>
    </row>
    <row r="10" spans="1:3">
      <c r="A10" s="19" t="s">
        <v>103</v>
      </c>
      <c r="B10" s="275">
        <v>11</v>
      </c>
      <c r="C10" s="21" t="s">
        <v>104</v>
      </c>
    </row>
    <row r="11" spans="1:3">
      <c r="A11" s="19" t="s">
        <v>105</v>
      </c>
      <c r="B11" s="276">
        <f>(B9/B10/24)/365.25</f>
        <v>0.94684006388318498</v>
      </c>
      <c r="C11" s="21"/>
    </row>
    <row r="12" spans="1:3">
      <c r="A12" s="19" t="s">
        <v>99</v>
      </c>
      <c r="B12" s="20">
        <v>2014</v>
      </c>
      <c r="C12" s="21"/>
    </row>
    <row r="13" spans="1:3">
      <c r="A13" s="19" t="s">
        <v>109</v>
      </c>
      <c r="B13" s="20">
        <v>0.7</v>
      </c>
      <c r="C13" s="21"/>
    </row>
    <row r="14" spans="1:3">
      <c r="A14" s="19" t="s">
        <v>120</v>
      </c>
      <c r="B14" s="20">
        <v>97.4</v>
      </c>
      <c r="C14" s="21" t="s">
        <v>117</v>
      </c>
    </row>
    <row r="15" spans="1:3">
      <c r="A15" s="19" t="s">
        <v>121</v>
      </c>
      <c r="B15" s="280">
        <v>105</v>
      </c>
      <c r="C15" s="21" t="s">
        <v>119</v>
      </c>
    </row>
    <row r="16" spans="1:3">
      <c r="A16" s="19" t="s">
        <v>110</v>
      </c>
      <c r="B16" s="20">
        <v>7.0000000000000007E-2</v>
      </c>
      <c r="C16" s="21"/>
    </row>
    <row r="17" spans="1:3" ht="15.75" thickBot="1">
      <c r="A17" s="22" t="s">
        <v>111</v>
      </c>
      <c r="B17" s="23">
        <v>30</v>
      </c>
      <c r="C17" s="24" t="s">
        <v>112</v>
      </c>
    </row>
    <row r="19" spans="1:3">
      <c r="A19" t="s">
        <v>97</v>
      </c>
      <c r="B19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5295-7ABB-41D3-9259-8E647301DA88}">
  <sheetPr>
    <tabColor rgb="FF00B050"/>
  </sheetPr>
  <dimension ref="A1:H37"/>
  <sheetViews>
    <sheetView workbookViewId="0">
      <selection activeCell="E6" sqref="E6"/>
    </sheetView>
  </sheetViews>
  <sheetFormatPr baseColWidth="10" defaultRowHeight="15"/>
  <cols>
    <col min="1" max="1" width="17.7109375" bestFit="1" customWidth="1"/>
    <col min="5" max="5" width="12" bestFit="1" customWidth="1"/>
    <col min="6" max="6" width="18.85546875" bestFit="1" customWidth="1"/>
    <col min="7" max="7" width="33.28515625" bestFit="1" customWidth="1"/>
  </cols>
  <sheetData>
    <row r="1" spans="1:8">
      <c r="A1" s="499" t="s">
        <v>122</v>
      </c>
      <c r="B1" s="500"/>
      <c r="C1" s="500"/>
      <c r="D1" s="500"/>
      <c r="E1" s="500"/>
      <c r="F1" s="500"/>
      <c r="G1" s="501"/>
    </row>
    <row r="2" spans="1:8" ht="15.75" thickBot="1">
      <c r="A2" s="502"/>
      <c r="B2" s="503"/>
      <c r="C2" s="503"/>
      <c r="D2" s="503"/>
      <c r="E2" s="503"/>
      <c r="F2" s="503"/>
      <c r="G2" s="504"/>
    </row>
    <row r="3" spans="1:8" ht="15.75" thickBot="1">
      <c r="A3" s="505" t="s">
        <v>372</v>
      </c>
      <c r="B3" s="506"/>
      <c r="C3" s="506"/>
      <c r="D3" s="506"/>
      <c r="E3" s="506"/>
      <c r="F3" s="506"/>
      <c r="G3" s="507"/>
    </row>
    <row r="4" spans="1:8" ht="60.75" thickBot="1">
      <c r="A4" s="431" t="s">
        <v>34</v>
      </c>
      <c r="B4" s="432" t="s">
        <v>99</v>
      </c>
      <c r="C4" s="432" t="s">
        <v>333</v>
      </c>
      <c r="D4" s="433" t="s">
        <v>355</v>
      </c>
      <c r="E4" s="432" t="s">
        <v>409</v>
      </c>
      <c r="F4" s="432" t="s">
        <v>376</v>
      </c>
      <c r="G4" s="434" t="s">
        <v>399</v>
      </c>
    </row>
    <row r="5" spans="1:8">
      <c r="A5" s="435" t="s">
        <v>371</v>
      </c>
      <c r="B5" s="17"/>
      <c r="C5" s="17"/>
      <c r="D5" s="17"/>
      <c r="E5" s="17"/>
      <c r="F5" s="17"/>
      <c r="G5" s="18"/>
    </row>
    <row r="6" spans="1:8">
      <c r="A6" s="19" t="str">
        <f>Electricity!A151</f>
        <v xml:space="preserve">Europe </v>
      </c>
      <c r="B6" s="20">
        <f>Electricity!B151</f>
        <v>2019</v>
      </c>
      <c r="C6" s="20">
        <f>Electricity!C151</f>
        <v>0</v>
      </c>
      <c r="D6" s="332">
        <f>Electricity!D151</f>
        <v>255</v>
      </c>
      <c r="E6" s="332">
        <f>Electricity!E151</f>
        <v>80.591918042117257</v>
      </c>
      <c r="F6" s="20">
        <v>1</v>
      </c>
      <c r="G6" s="21" t="s">
        <v>167</v>
      </c>
      <c r="H6" s="21" t="str">
        <f>Electricity!F151</f>
        <v>NB: these prices include ETS… and market adjusmetn to the LCOE, they shoul be used as an indication only.</v>
      </c>
    </row>
    <row r="7" spans="1:8">
      <c r="A7" s="19" t="str">
        <f>Electricity!A152</f>
        <v xml:space="preserve">Germany </v>
      </c>
      <c r="B7" s="20">
        <f>Electricity!B152</f>
        <v>2019</v>
      </c>
      <c r="C7" s="20">
        <f>Electricity!C152</f>
        <v>0</v>
      </c>
      <c r="D7" s="332">
        <f>Electricity!D152</f>
        <v>347</v>
      </c>
      <c r="E7" s="332">
        <f>Electricity!E152</f>
        <v>71.525327262379051</v>
      </c>
      <c r="F7" s="20">
        <v>1</v>
      </c>
      <c r="G7" s="21" t="s">
        <v>167</v>
      </c>
    </row>
    <row r="8" spans="1:8">
      <c r="A8" s="19" t="str">
        <f>Electricity!A153</f>
        <v>USA</v>
      </c>
      <c r="B8" s="20">
        <f>Electricity!B153</f>
        <v>2019</v>
      </c>
      <c r="C8" s="20">
        <f>Electricity!C153</f>
        <v>0</v>
      </c>
      <c r="D8" s="332">
        <f>Electricity!D153</f>
        <v>370</v>
      </c>
      <c r="E8" s="332">
        <f>Electricity!E153</f>
        <v>61.163509228392542</v>
      </c>
      <c r="F8" s="20">
        <v>1</v>
      </c>
      <c r="G8" s="21" t="s">
        <v>167</v>
      </c>
    </row>
    <row r="9" spans="1:8">
      <c r="A9" s="436" t="s">
        <v>370</v>
      </c>
      <c r="B9" s="20"/>
      <c r="C9" s="20"/>
      <c r="D9" s="332"/>
      <c r="E9" s="332"/>
      <c r="F9" s="20"/>
      <c r="G9" s="21"/>
    </row>
    <row r="10" spans="1:8">
      <c r="A10" s="19" t="str">
        <f>Electricity!A104</f>
        <v>Photovoltaic</v>
      </c>
      <c r="B10" s="20">
        <f>Electricity!B104</f>
        <v>2020</v>
      </c>
      <c r="C10" s="20" t="str">
        <f>Electricity!C104</f>
        <v>Pessimistic</v>
      </c>
      <c r="D10" s="332">
        <f>Electricity!D104</f>
        <v>43</v>
      </c>
      <c r="E10" s="332">
        <f>Electricity!E104</f>
        <v>58</v>
      </c>
      <c r="F10" s="280">
        <v>0.14000000000000001</v>
      </c>
      <c r="G10" s="21">
        <f>Electricity!F104</f>
        <v>23469</v>
      </c>
      <c r="H10" t="s">
        <v>373</v>
      </c>
    </row>
    <row r="11" spans="1:8">
      <c r="A11" s="19" t="str">
        <f>Electricity!A105</f>
        <v>Photovoltaic</v>
      </c>
      <c r="B11" s="20">
        <f>Electricity!B105</f>
        <v>2020</v>
      </c>
      <c r="C11" s="20" t="str">
        <f>Electricity!C105</f>
        <v>Optimistic</v>
      </c>
      <c r="D11" s="332">
        <f>Electricity!D105</f>
        <v>43</v>
      </c>
      <c r="E11" s="332">
        <f>Electricity!E105</f>
        <v>58</v>
      </c>
      <c r="F11" s="280">
        <v>0.14000000000000001</v>
      </c>
      <c r="G11" s="21">
        <f>Electricity!F105</f>
        <v>23469</v>
      </c>
      <c r="H11" t="s">
        <v>375</v>
      </c>
    </row>
    <row r="12" spans="1:8">
      <c r="A12" s="19" t="str">
        <f>Electricity!A106</f>
        <v>Photovoltaic</v>
      </c>
      <c r="B12" s="20">
        <f>Electricity!B106</f>
        <v>2030</v>
      </c>
      <c r="C12" s="20" t="str">
        <f>Electricity!C106</f>
        <v>Pessimistic</v>
      </c>
      <c r="D12" s="332">
        <f>Electricity!D106</f>
        <v>38</v>
      </c>
      <c r="E12" s="332">
        <f>Electricity!E106</f>
        <v>37</v>
      </c>
      <c r="F12" s="280">
        <v>0.14000000000000001</v>
      </c>
      <c r="G12" s="21">
        <f>Electricity!F106</f>
        <v>23469</v>
      </c>
      <c r="H12" t="s">
        <v>377</v>
      </c>
    </row>
    <row r="13" spans="1:8">
      <c r="A13" s="19" t="str">
        <f>Electricity!A107</f>
        <v>Photovoltaic</v>
      </c>
      <c r="B13" s="20">
        <f>Electricity!B107</f>
        <v>2030</v>
      </c>
      <c r="C13" s="20" t="str">
        <f>Electricity!C107</f>
        <v>Optimistic</v>
      </c>
      <c r="D13" s="332">
        <f>Electricity!D107</f>
        <v>33.333333333333336</v>
      </c>
      <c r="E13" s="332">
        <f>Electricity!E107</f>
        <v>37</v>
      </c>
      <c r="F13" s="280">
        <v>0.14000000000000001</v>
      </c>
      <c r="G13" s="21">
        <f>Electricity!F107</f>
        <v>23469</v>
      </c>
    </row>
    <row r="14" spans="1:8">
      <c r="A14" s="19" t="str">
        <f>Electricity!A108</f>
        <v>Photovoltaic</v>
      </c>
      <c r="B14" s="20">
        <f>Electricity!B108</f>
        <v>2040</v>
      </c>
      <c r="C14" s="20" t="str">
        <f>Electricity!C108</f>
        <v>Pessimistic</v>
      </c>
      <c r="D14" s="332">
        <f>Electricity!D108</f>
        <v>33</v>
      </c>
      <c r="E14" s="332">
        <f>Electricity!E108</f>
        <v>33</v>
      </c>
      <c r="F14" s="280">
        <v>0.14000000000000001</v>
      </c>
      <c r="G14" s="21">
        <f>Electricity!F108</f>
        <v>23469</v>
      </c>
    </row>
    <row r="15" spans="1:8">
      <c r="A15" s="19" t="str">
        <f>Electricity!A109</f>
        <v>Photovoltaic</v>
      </c>
      <c r="B15" s="20">
        <f>Electricity!B109</f>
        <v>2040</v>
      </c>
      <c r="C15" s="20" t="str">
        <f>Electricity!C109</f>
        <v>Optimistic</v>
      </c>
      <c r="D15" s="332">
        <f>Electricity!D109</f>
        <v>27</v>
      </c>
      <c r="E15" s="332">
        <f>Electricity!E109</f>
        <v>33</v>
      </c>
      <c r="F15" s="280">
        <v>0.14000000000000001</v>
      </c>
      <c r="G15" s="21">
        <f>Electricity!F109</f>
        <v>23469</v>
      </c>
    </row>
    <row r="16" spans="1:8">
      <c r="A16" s="19" t="str">
        <f>Electricity!A110</f>
        <v>Photovoltaic</v>
      </c>
      <c r="B16" s="20">
        <f>Electricity!B110</f>
        <v>2050</v>
      </c>
      <c r="C16" s="20" t="str">
        <f>Electricity!C110</f>
        <v>Pessimistic</v>
      </c>
      <c r="D16" s="332">
        <f>Electricity!D110</f>
        <v>28</v>
      </c>
      <c r="E16" s="332">
        <f>Electricity!E110</f>
        <v>26</v>
      </c>
      <c r="F16" s="280">
        <v>0.14000000000000001</v>
      </c>
      <c r="G16" s="21">
        <f>Electricity!F110</f>
        <v>23469</v>
      </c>
    </row>
    <row r="17" spans="1:8">
      <c r="A17" s="19" t="str">
        <f>Electricity!A111</f>
        <v>Photovoltaic</v>
      </c>
      <c r="B17" s="20">
        <f>Electricity!B111</f>
        <v>2050</v>
      </c>
      <c r="C17" s="20" t="str">
        <f>Electricity!C111</f>
        <v>Optimistic</v>
      </c>
      <c r="D17" s="332">
        <f>Electricity!D111</f>
        <v>14</v>
      </c>
      <c r="E17" s="332">
        <f>Electricity!E111</f>
        <v>26</v>
      </c>
      <c r="F17" s="280">
        <v>0.14000000000000001</v>
      </c>
      <c r="G17" s="21">
        <f>Electricity!F111</f>
        <v>23469</v>
      </c>
    </row>
    <row r="18" spans="1:8">
      <c r="A18" s="19" t="str">
        <f>Electricity!A112</f>
        <v xml:space="preserve">Wind </v>
      </c>
      <c r="B18" s="20">
        <f>Electricity!B112</f>
        <v>2020</v>
      </c>
      <c r="C18" s="20" t="str">
        <f>Electricity!C112</f>
        <v>Pessimistic</v>
      </c>
      <c r="D18" s="332">
        <f>Electricity!D112</f>
        <v>15</v>
      </c>
      <c r="E18" s="332">
        <f>Electricity!E112</f>
        <v>61</v>
      </c>
      <c r="F18" s="20">
        <v>0.4</v>
      </c>
      <c r="G18" s="21">
        <f>Electricity!F112</f>
        <v>24785</v>
      </c>
    </row>
    <row r="19" spans="1:8">
      <c r="A19" s="19" t="str">
        <f>Electricity!A113</f>
        <v xml:space="preserve">Wind </v>
      </c>
      <c r="B19" s="20">
        <f>Electricity!B113</f>
        <v>2020</v>
      </c>
      <c r="C19" s="20" t="str">
        <f>Electricity!C113</f>
        <v>Optimistic</v>
      </c>
      <c r="D19" s="332">
        <f>Electricity!D113</f>
        <v>15</v>
      </c>
      <c r="E19" s="332">
        <f>Electricity!E113</f>
        <v>61</v>
      </c>
      <c r="F19" s="20">
        <v>0.4</v>
      </c>
      <c r="G19" s="21">
        <f>Electricity!F113</f>
        <v>24785</v>
      </c>
    </row>
    <row r="20" spans="1:8">
      <c r="A20" s="19" t="str">
        <f>Electricity!A114</f>
        <v xml:space="preserve">Wind </v>
      </c>
      <c r="B20" s="20">
        <f>Electricity!B114</f>
        <v>2030</v>
      </c>
      <c r="C20" s="20" t="str">
        <f>Electricity!C114</f>
        <v>Pessimistic</v>
      </c>
      <c r="D20" s="332">
        <f>Electricity!D114</f>
        <v>14.166666666666666</v>
      </c>
      <c r="E20" s="332">
        <f>Electricity!E114</f>
        <v>57.5</v>
      </c>
      <c r="F20" s="20">
        <v>0.4</v>
      </c>
      <c r="G20" s="21">
        <f>Electricity!F114</f>
        <v>24785</v>
      </c>
    </row>
    <row r="21" spans="1:8">
      <c r="A21" s="19" t="str">
        <f>Electricity!A115</f>
        <v xml:space="preserve">Wind </v>
      </c>
      <c r="B21" s="20">
        <f>Electricity!B115</f>
        <v>2030</v>
      </c>
      <c r="C21" s="20" t="str">
        <f>Electricity!C115</f>
        <v>Optimistic</v>
      </c>
      <c r="D21" s="332">
        <f>Electricity!D115</f>
        <v>13.333333333333332</v>
      </c>
      <c r="E21" s="332">
        <f>Electricity!E115</f>
        <v>57.5</v>
      </c>
      <c r="F21" s="20">
        <v>0.4</v>
      </c>
      <c r="G21" s="21">
        <f>Electricity!F115</f>
        <v>24785</v>
      </c>
    </row>
    <row r="22" spans="1:8">
      <c r="A22" s="19" t="str">
        <f>Electricity!A116</f>
        <v xml:space="preserve">Wind </v>
      </c>
      <c r="B22" s="20">
        <f>Electricity!B116</f>
        <v>2040</v>
      </c>
      <c r="C22" s="20" t="str">
        <f>Electricity!C116</f>
        <v>Pessimistic</v>
      </c>
      <c r="D22" s="332">
        <f>Electricity!D116</f>
        <v>13.333333333333334</v>
      </c>
      <c r="E22" s="332">
        <f>Electricity!E116</f>
        <v>52</v>
      </c>
      <c r="F22" s="20">
        <v>0.4</v>
      </c>
      <c r="G22" s="21">
        <f>Electricity!F116</f>
        <v>24785</v>
      </c>
    </row>
    <row r="23" spans="1:8">
      <c r="A23" s="19" t="str">
        <f>Electricity!A117</f>
        <v xml:space="preserve">Wind </v>
      </c>
      <c r="B23" s="20">
        <f>Electricity!B117</f>
        <v>2040</v>
      </c>
      <c r="C23" s="20" t="str">
        <f>Electricity!C117</f>
        <v>Optimistic</v>
      </c>
      <c r="D23" s="332">
        <f>Electricity!D117</f>
        <v>12.222222222222223</v>
      </c>
      <c r="E23" s="332">
        <f>Electricity!E117</f>
        <v>52</v>
      </c>
      <c r="F23" s="20">
        <v>0.4</v>
      </c>
      <c r="G23" s="21">
        <f>Electricity!F117</f>
        <v>24785</v>
      </c>
    </row>
    <row r="24" spans="1:8">
      <c r="A24" s="19" t="str">
        <f>Electricity!A118</f>
        <v xml:space="preserve">Wind </v>
      </c>
      <c r="B24" s="20">
        <f>Electricity!B118</f>
        <v>2050</v>
      </c>
      <c r="C24" s="20" t="str">
        <f>Electricity!C118</f>
        <v>Pessimistic</v>
      </c>
      <c r="D24" s="332">
        <f>Electricity!D118</f>
        <v>12.5</v>
      </c>
      <c r="E24" s="332">
        <f>Electricity!E118</f>
        <v>45.5</v>
      </c>
      <c r="F24" s="20">
        <v>0.4</v>
      </c>
      <c r="G24" s="21">
        <f>Electricity!F118</f>
        <v>24785</v>
      </c>
    </row>
    <row r="25" spans="1:8">
      <c r="A25" s="19" t="str">
        <f>Electricity!A119</f>
        <v xml:space="preserve">Wind </v>
      </c>
      <c r="B25" s="20">
        <f>Electricity!B119</f>
        <v>2050</v>
      </c>
      <c r="C25" s="20" t="str">
        <f>Electricity!C119</f>
        <v>Optimistic</v>
      </c>
      <c r="D25" s="332">
        <f>Electricity!D119</f>
        <v>10</v>
      </c>
      <c r="E25" s="332">
        <f>Electricity!E119</f>
        <v>45.5</v>
      </c>
      <c r="F25" s="20">
        <v>0.4</v>
      </c>
      <c r="G25" s="21">
        <f>Electricity!F119</f>
        <v>24785</v>
      </c>
    </row>
    <row r="26" spans="1:8">
      <c r="A26" s="19" t="str">
        <f>Electricity!A136</f>
        <v>M0</v>
      </c>
      <c r="B26" s="20">
        <f>Electricity!B136</f>
        <v>2050</v>
      </c>
      <c r="C26" s="20" t="str">
        <f>Electricity!C136</f>
        <v>Optimistic</v>
      </c>
      <c r="D26" s="332">
        <f>Electricity!D136</f>
        <v>16.647024667781665</v>
      </c>
      <c r="E26" s="332">
        <f>Electricity!E136</f>
        <v>121.63600425726014</v>
      </c>
      <c r="F26" s="280">
        <v>1</v>
      </c>
      <c r="G26" s="21">
        <f>Electricity!F136</f>
        <v>71164</v>
      </c>
      <c r="H26" t="s">
        <v>374</v>
      </c>
    </row>
    <row r="27" spans="1:8">
      <c r="A27" s="19" t="str">
        <f>Electricity!A137</f>
        <v>M1</v>
      </c>
      <c r="B27" s="20">
        <f>Electricity!B137</f>
        <v>2050</v>
      </c>
      <c r="C27" s="20" t="str">
        <f>Electricity!C137</f>
        <v>Optimistic</v>
      </c>
      <c r="D27" s="332">
        <f>Electricity!D137</f>
        <v>15.637100991137146</v>
      </c>
      <c r="E27" s="332">
        <f>Electricity!E137</f>
        <v>124.68078714135495</v>
      </c>
      <c r="F27" s="280">
        <v>1</v>
      </c>
      <c r="G27" s="21">
        <f>Electricity!F137</f>
        <v>71164</v>
      </c>
    </row>
    <row r="28" spans="1:8">
      <c r="A28" s="19" t="str">
        <f>Electricity!A138</f>
        <v>M23</v>
      </c>
      <c r="B28" s="20">
        <f>Electricity!B138</f>
        <v>2050</v>
      </c>
      <c r="C28" s="20" t="str">
        <f>Electricity!C138</f>
        <v>Optimistic</v>
      </c>
      <c r="D28" s="332">
        <f>Electricity!D138</f>
        <v>13.436144814859556</v>
      </c>
      <c r="E28" s="332">
        <f>Electricity!E138</f>
        <v>113.25883418906673</v>
      </c>
      <c r="F28" s="280">
        <v>1</v>
      </c>
      <c r="G28" s="21">
        <f>Electricity!F138</f>
        <v>71164</v>
      </c>
    </row>
    <row r="29" spans="1:8">
      <c r="A29" s="19" t="str">
        <f>Electricity!A139</f>
        <v>N1</v>
      </c>
      <c r="B29" s="20">
        <f>Electricity!B139</f>
        <v>2050</v>
      </c>
      <c r="C29" s="20" t="str">
        <f>Electricity!C139</f>
        <v>Optimistic</v>
      </c>
      <c r="D29" s="332">
        <f>Electricity!D139</f>
        <v>12.648273326896968</v>
      </c>
      <c r="E29" s="332">
        <f>Electricity!E139</f>
        <v>105.59662090813094</v>
      </c>
      <c r="F29" s="280">
        <v>1</v>
      </c>
      <c r="G29" s="21">
        <f>Electricity!F139</f>
        <v>71164</v>
      </c>
    </row>
    <row r="30" spans="1:8">
      <c r="A30" s="19" t="str">
        <f>Electricity!A140</f>
        <v>N2</v>
      </c>
      <c r="B30" s="20">
        <f>Electricity!B140</f>
        <v>2050</v>
      </c>
      <c r="C30" s="20" t="str">
        <f>Electricity!C140</f>
        <v>Optimistic</v>
      </c>
      <c r="D30" s="332">
        <f>Electricity!D140</f>
        <v>11.269855080090496</v>
      </c>
      <c r="E30" s="332">
        <f>Electricity!E140</f>
        <v>98.039215686274503</v>
      </c>
      <c r="F30" s="280">
        <v>1</v>
      </c>
      <c r="G30" s="21">
        <f>Electricity!F140</f>
        <v>71164</v>
      </c>
    </row>
    <row r="31" spans="1:8">
      <c r="A31" s="19" t="str">
        <f>Electricity!A141</f>
        <v>N03</v>
      </c>
      <c r="B31" s="20">
        <f>Electricity!B141</f>
        <v>2050</v>
      </c>
      <c r="C31" s="20" t="str">
        <f>Electricity!C141</f>
        <v>Optimistic</v>
      </c>
      <c r="D31" s="332">
        <f>Electricity!D141</f>
        <v>10.341935985601697</v>
      </c>
      <c r="E31" s="332">
        <f>Electricity!E141</f>
        <v>96.999090633525313</v>
      </c>
      <c r="F31" s="280">
        <v>1</v>
      </c>
      <c r="G31" s="21">
        <f>Electricity!F141</f>
        <v>71164</v>
      </c>
    </row>
    <row r="32" spans="1:8">
      <c r="A32" s="19" t="str">
        <f>Electricity!A142</f>
        <v>M0</v>
      </c>
      <c r="B32" s="20">
        <f>Electricity!B142</f>
        <v>2050</v>
      </c>
      <c r="C32" s="20" t="str">
        <f>Electricity!C142</f>
        <v>Pessimistic</v>
      </c>
      <c r="D32" s="332">
        <f>Electricity!D142</f>
        <v>22.441475932035882</v>
      </c>
      <c r="E32" s="332">
        <f>Electricity!E142</f>
        <v>121.63600425726014</v>
      </c>
      <c r="F32" s="280">
        <v>1</v>
      </c>
      <c r="G32" s="21">
        <f>Electricity!F142</f>
        <v>71164</v>
      </c>
    </row>
    <row r="33" spans="1:7">
      <c r="A33" s="19" t="str">
        <f>Electricity!A143</f>
        <v>M1</v>
      </c>
      <c r="B33" s="20">
        <f>Electricity!B143</f>
        <v>2050</v>
      </c>
      <c r="C33" s="20" t="str">
        <f>Electricity!C143</f>
        <v>Pessimistic</v>
      </c>
      <c r="D33" s="332">
        <f>Electricity!D143</f>
        <v>20.982105466876973</v>
      </c>
      <c r="E33" s="332">
        <f>Electricity!E143</f>
        <v>124.68078714135495</v>
      </c>
      <c r="F33" s="280">
        <v>1</v>
      </c>
      <c r="G33" s="21">
        <f>Electricity!F143</f>
        <v>71164</v>
      </c>
    </row>
    <row r="34" spans="1:7">
      <c r="A34" s="19" t="str">
        <f>Electricity!A144</f>
        <v>M23</v>
      </c>
      <c r="B34" s="20">
        <f>Electricity!B144</f>
        <v>2050</v>
      </c>
      <c r="C34" s="20" t="str">
        <f>Electricity!C144</f>
        <v>Pessimistic</v>
      </c>
      <c r="D34" s="332">
        <f>Electricity!D144</f>
        <v>17.560379640440953</v>
      </c>
      <c r="E34" s="332">
        <f>Electricity!E144</f>
        <v>113.25883418906673</v>
      </c>
      <c r="F34" s="280">
        <v>1</v>
      </c>
      <c r="G34" s="21">
        <f>Electricity!F144</f>
        <v>71164</v>
      </c>
    </row>
    <row r="35" spans="1:7">
      <c r="A35" s="19" t="str">
        <f>Electricity!A145</f>
        <v>N1</v>
      </c>
      <c r="B35" s="20">
        <f>Electricity!B145</f>
        <v>2050</v>
      </c>
      <c r="C35" s="20" t="str">
        <f>Electricity!C145</f>
        <v>Pessimistic</v>
      </c>
      <c r="D35" s="332">
        <f>Electricity!D145</f>
        <v>16.695810586438377</v>
      </c>
      <c r="E35" s="332">
        <f>Electricity!E145</f>
        <v>105.59662090813094</v>
      </c>
      <c r="F35" s="280">
        <v>1</v>
      </c>
      <c r="G35" s="21">
        <f>Electricity!F145</f>
        <v>71164</v>
      </c>
    </row>
    <row r="36" spans="1:7">
      <c r="A36" s="19" t="str">
        <f>Electricity!A146</f>
        <v>N2</v>
      </c>
      <c r="B36" s="20">
        <f>Electricity!B146</f>
        <v>2050</v>
      </c>
      <c r="C36" s="20" t="str">
        <f>Electricity!C146</f>
        <v>Pessimistic</v>
      </c>
      <c r="D36" s="332">
        <f>Electricity!D146</f>
        <v>14.720021943438915</v>
      </c>
      <c r="E36" s="332">
        <f>Electricity!E146</f>
        <v>98.039215686274503</v>
      </c>
      <c r="F36" s="280">
        <v>1</v>
      </c>
      <c r="G36" s="21">
        <f>Electricity!F146</f>
        <v>71164</v>
      </c>
    </row>
    <row r="37" spans="1:7" ht="15.75" thickBot="1">
      <c r="A37" s="22" t="str">
        <f>Electricity!A147</f>
        <v>N03</v>
      </c>
      <c r="B37" s="23">
        <f>Electricity!B147</f>
        <v>2050</v>
      </c>
      <c r="C37" s="23" t="str">
        <f>Electricity!C147</f>
        <v>Pessimistic</v>
      </c>
      <c r="D37" s="333">
        <f>Electricity!D147</f>
        <v>13.193116607381025</v>
      </c>
      <c r="E37" s="333">
        <f>Electricity!E147</f>
        <v>96.999090633525313</v>
      </c>
      <c r="F37" s="306">
        <v>1</v>
      </c>
      <c r="G37" s="24">
        <f>Electricity!F147</f>
        <v>71164</v>
      </c>
    </row>
  </sheetData>
  <mergeCells count="2">
    <mergeCell ref="A1:G2"/>
    <mergeCell ref="A3:G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2917-55EE-47FD-943A-41A60A475EC7}">
  <sheetPr>
    <tabColor rgb="FF00B050"/>
  </sheetPr>
  <dimension ref="A1:K60"/>
  <sheetViews>
    <sheetView topLeftCell="B1" workbookViewId="0">
      <selection activeCell="G18" sqref="G18"/>
    </sheetView>
  </sheetViews>
  <sheetFormatPr baseColWidth="10" defaultRowHeight="15"/>
  <cols>
    <col min="1" max="1" width="31.5703125" bestFit="1" customWidth="1"/>
    <col min="2" max="2" width="17.85546875" bestFit="1" customWidth="1"/>
    <col min="3" max="3" width="33" customWidth="1"/>
    <col min="4" max="4" width="13.85546875" bestFit="1" customWidth="1"/>
    <col min="5" max="5" width="36.7109375" bestFit="1" customWidth="1"/>
    <col min="7" max="7" width="26.5703125" bestFit="1" customWidth="1"/>
  </cols>
  <sheetData>
    <row r="1" spans="1:11">
      <c r="A1" s="437" t="s">
        <v>122</v>
      </c>
      <c r="B1" s="437"/>
      <c r="C1" s="437"/>
      <c r="D1" s="437"/>
      <c r="E1" s="437"/>
      <c r="F1" s="437"/>
      <c r="G1" s="437"/>
    </row>
    <row r="2" spans="1:11" ht="15.75" thickBot="1">
      <c r="A2" s="438" t="s">
        <v>240</v>
      </c>
      <c r="B2" s="438"/>
      <c r="C2" s="438"/>
      <c r="D2" s="438"/>
      <c r="E2" s="438"/>
      <c r="F2" s="438"/>
      <c r="G2" s="438"/>
    </row>
    <row r="3" spans="1:11" ht="15.75" thickBot="1">
      <c r="A3" s="455" t="s">
        <v>34</v>
      </c>
      <c r="B3" s="30" t="s">
        <v>401</v>
      </c>
      <c r="C3" s="440" t="s">
        <v>35</v>
      </c>
      <c r="D3" s="32" t="s">
        <v>340</v>
      </c>
      <c r="E3" s="468">
        <f>'H2 production UK'!D35</f>
        <v>2020</v>
      </c>
      <c r="F3" s="468">
        <f>'H2 production UK'!E35</f>
        <v>2025</v>
      </c>
      <c r="G3" s="468">
        <f>'H2 production UK'!F35</f>
        <v>2030</v>
      </c>
      <c r="H3" s="468">
        <f>'H2 production UK'!G35</f>
        <v>2035</v>
      </c>
      <c r="I3" s="468">
        <f>'H2 production UK'!H35</f>
        <v>2040</v>
      </c>
      <c r="J3" s="469">
        <f>'H2 production UK'!I35</f>
        <v>2045</v>
      </c>
      <c r="K3" s="470">
        <f>'H2 production UK'!J35</f>
        <v>2050</v>
      </c>
    </row>
    <row r="4" spans="1:11">
      <c r="A4" s="456" t="s">
        <v>402</v>
      </c>
      <c r="B4" s="465" t="s">
        <v>405</v>
      </c>
      <c r="C4" s="442" t="s">
        <v>47</v>
      </c>
      <c r="D4" s="54"/>
      <c r="E4" s="439">
        <f>'H2 production UK'!D37</f>
        <v>0.98</v>
      </c>
      <c r="F4" s="439">
        <f>'H2 production UK'!E37</f>
        <v>0.98</v>
      </c>
      <c r="G4" s="439">
        <f>'H2 production UK'!F37</f>
        <v>0.98</v>
      </c>
      <c r="H4" s="439">
        <f>'H2 production UK'!G37</f>
        <v>0.98</v>
      </c>
      <c r="I4" s="439">
        <f>'H2 production UK'!H37</f>
        <v>0.98</v>
      </c>
      <c r="J4" s="441">
        <f>'H2 production UK'!I37</f>
        <v>0.98</v>
      </c>
      <c r="K4" s="457">
        <f>'H2 production UK'!J37</f>
        <v>0.98</v>
      </c>
    </row>
    <row r="5" spans="1:11">
      <c r="A5" s="456" t="s">
        <v>402</v>
      </c>
      <c r="B5" s="52" t="s">
        <v>48</v>
      </c>
      <c r="C5" s="442" t="s">
        <v>47</v>
      </c>
      <c r="D5" s="54"/>
      <c r="E5" s="439">
        <f>'H2 production UK'!D38</f>
        <v>0</v>
      </c>
      <c r="F5" s="439">
        <f>'H2 production UK'!E38</f>
        <v>0</v>
      </c>
      <c r="G5" s="439">
        <f>'H2 production UK'!F38</f>
        <v>0</v>
      </c>
      <c r="H5" s="439">
        <f>'H2 production UK'!G38</f>
        <v>0</v>
      </c>
      <c r="I5" s="439">
        <f>'H2 production UK'!H38</f>
        <v>0</v>
      </c>
      <c r="J5" s="441">
        <f>'H2 production UK'!I38</f>
        <v>0</v>
      </c>
      <c r="K5" s="457">
        <f>'H2 production UK'!J38</f>
        <v>0</v>
      </c>
    </row>
    <row r="6" spans="1:11" ht="15" customHeight="1">
      <c r="A6" s="456" t="s">
        <v>402</v>
      </c>
      <c r="B6" s="451" t="s">
        <v>378</v>
      </c>
      <c r="C6" s="451" t="s">
        <v>81</v>
      </c>
      <c r="D6" s="36" t="s">
        <v>165</v>
      </c>
      <c r="E6" s="439">
        <f>'H2 production UK'!D39</f>
        <v>0</v>
      </c>
      <c r="F6" s="439">
        <f>'H2 production UK'!E39</f>
        <v>0</v>
      </c>
      <c r="G6" s="439">
        <f>'H2 production UK'!F39</f>
        <v>0</v>
      </c>
      <c r="H6" s="439">
        <f>'H2 production UK'!G39</f>
        <v>0</v>
      </c>
      <c r="I6" s="439">
        <f>'H2 production UK'!H39</f>
        <v>0</v>
      </c>
      <c r="J6" s="441">
        <f>'H2 production UK'!I39</f>
        <v>0</v>
      </c>
      <c r="K6" s="457">
        <f>'H2 production UK'!J39</f>
        <v>0</v>
      </c>
    </row>
    <row r="7" spans="1:11" ht="25.5">
      <c r="A7" s="456" t="s">
        <v>402</v>
      </c>
      <c r="B7" s="451" t="s">
        <v>378</v>
      </c>
      <c r="C7" s="451" t="s">
        <v>81</v>
      </c>
      <c r="D7" s="36" t="s">
        <v>52</v>
      </c>
      <c r="E7" s="439">
        <f>'H2 production UK'!D40</f>
        <v>0</v>
      </c>
      <c r="F7" s="439">
        <f>'H2 production UK'!E40</f>
        <v>0</v>
      </c>
      <c r="G7" s="439">
        <f>'H2 production UK'!F40</f>
        <v>0</v>
      </c>
      <c r="H7" s="439">
        <f>'H2 production UK'!G40</f>
        <v>0</v>
      </c>
      <c r="I7" s="439">
        <f>'H2 production UK'!H40</f>
        <v>0</v>
      </c>
      <c r="J7" s="441">
        <f>'H2 production UK'!I40</f>
        <v>0</v>
      </c>
      <c r="K7" s="457">
        <f>'H2 production UK'!J40</f>
        <v>0</v>
      </c>
    </row>
    <row r="8" spans="1:11" ht="25.5">
      <c r="A8" s="456" t="s">
        <v>402</v>
      </c>
      <c r="B8" s="451" t="s">
        <v>378</v>
      </c>
      <c r="C8" s="451" t="s">
        <v>81</v>
      </c>
      <c r="D8" s="36" t="s">
        <v>163</v>
      </c>
      <c r="E8" s="439">
        <f>'H2 production UK'!D41</f>
        <v>0</v>
      </c>
      <c r="F8" s="439">
        <f>'H2 production UK'!E41</f>
        <v>0</v>
      </c>
      <c r="G8" s="439">
        <f>'H2 production UK'!F41</f>
        <v>0</v>
      </c>
      <c r="H8" s="439">
        <f>'H2 production UK'!G41</f>
        <v>0</v>
      </c>
      <c r="I8" s="439">
        <f>'H2 production UK'!H41</f>
        <v>0</v>
      </c>
      <c r="J8" s="441">
        <f>'H2 production UK'!I41</f>
        <v>0</v>
      </c>
      <c r="K8" s="457">
        <f>'H2 production UK'!J41</f>
        <v>0</v>
      </c>
    </row>
    <row r="9" spans="1:11" ht="15" customHeight="1">
      <c r="A9" s="456" t="s">
        <v>402</v>
      </c>
      <c r="B9" s="451" t="s">
        <v>124</v>
      </c>
      <c r="C9" s="451" t="s">
        <v>82</v>
      </c>
      <c r="D9" s="36" t="s">
        <v>165</v>
      </c>
      <c r="E9" s="439">
        <f>'H2 production UK'!D42</f>
        <v>60.0456</v>
      </c>
      <c r="F9" s="439">
        <f>'H2 production UK'!E42</f>
        <v>57.543699999999994</v>
      </c>
      <c r="G9" s="439">
        <f>'H2 production UK'!F42</f>
        <v>56.042559999999995</v>
      </c>
      <c r="H9" s="439">
        <f>'H2 production UK'!G42</f>
        <v>55.041800000000002</v>
      </c>
      <c r="I9" s="439">
        <f>'H2 production UK'!H42</f>
        <v>54.041039999999995</v>
      </c>
      <c r="J9" s="441">
        <f>'H2 production UK'!I42</f>
        <v>53.540659999999995</v>
      </c>
      <c r="K9" s="457">
        <f>'H2 production UK'!J42</f>
        <v>53.040280000000003</v>
      </c>
    </row>
    <row r="10" spans="1:11" ht="25.5">
      <c r="A10" s="456" t="s">
        <v>402</v>
      </c>
      <c r="B10" s="451" t="s">
        <v>124</v>
      </c>
      <c r="C10" s="451" t="s">
        <v>82</v>
      </c>
      <c r="D10" s="36" t="s">
        <v>52</v>
      </c>
      <c r="E10" s="439">
        <f>'H2 production UK'!D43</f>
        <v>51.038759999999996</v>
      </c>
      <c r="F10" s="439">
        <f>'H2 production UK'!E43</f>
        <v>50.037999999999997</v>
      </c>
      <c r="G10" s="439">
        <f>'H2 production UK'!F43</f>
        <v>49.287430000000001</v>
      </c>
      <c r="H10" s="439">
        <f>'H2 production UK'!G43</f>
        <v>48.912144999999995</v>
      </c>
      <c r="I10" s="439">
        <f>'H2 production UK'!H43</f>
        <v>48.536859999999997</v>
      </c>
      <c r="J10" s="441">
        <f>'H2 production UK'!I43</f>
        <v>48.286669999999994</v>
      </c>
      <c r="K10" s="457">
        <f>'H2 production UK'!J43</f>
        <v>48.036479999999997</v>
      </c>
    </row>
    <row r="11" spans="1:11" ht="25.5">
      <c r="A11" s="456" t="s">
        <v>402</v>
      </c>
      <c r="B11" s="451" t="s">
        <v>124</v>
      </c>
      <c r="C11" s="451" t="s">
        <v>82</v>
      </c>
      <c r="D11" s="36" t="s">
        <v>163</v>
      </c>
      <c r="E11" s="439">
        <f>'H2 production UK'!D44</f>
        <v>49.037239999999997</v>
      </c>
      <c r="F11" s="439">
        <f>'H2 production UK'!E44</f>
        <v>48.036479999999997</v>
      </c>
      <c r="G11" s="439">
        <f>'H2 production UK'!F44</f>
        <v>47.536099999999998</v>
      </c>
      <c r="H11" s="439">
        <f>'H2 production UK'!G44</f>
        <v>47.285910000000001</v>
      </c>
      <c r="I11" s="439">
        <f>'H2 production UK'!H44</f>
        <v>47.035719999999998</v>
      </c>
      <c r="J11" s="441">
        <f>'H2 production UK'!I44</f>
        <v>47.035719999999998</v>
      </c>
      <c r="K11" s="457">
        <f>'H2 production UK'!J44</f>
        <v>47.035719999999998</v>
      </c>
    </row>
    <row r="12" spans="1:11">
      <c r="A12" s="456" t="s">
        <v>402</v>
      </c>
      <c r="B12" s="34" t="s">
        <v>56</v>
      </c>
      <c r="C12" s="443" t="s">
        <v>57</v>
      </c>
      <c r="D12" s="36"/>
      <c r="E12" s="439">
        <f>'H2 production UK'!D45</f>
        <v>30</v>
      </c>
      <c r="F12" s="439">
        <f>'H2 production UK'!E45</f>
        <v>30</v>
      </c>
      <c r="G12" s="439">
        <f>'H2 production UK'!F45</f>
        <v>30</v>
      </c>
      <c r="H12" s="439">
        <f>'H2 production UK'!G45</f>
        <v>30</v>
      </c>
      <c r="I12" s="439">
        <f>'H2 production UK'!H45</f>
        <v>30</v>
      </c>
      <c r="J12" s="441">
        <f>'H2 production UK'!I45</f>
        <v>30</v>
      </c>
      <c r="K12" s="457">
        <f>'H2 production UK'!J45</f>
        <v>30</v>
      </c>
    </row>
    <row r="13" spans="1:11">
      <c r="A13" s="456" t="s">
        <v>402</v>
      </c>
      <c r="B13" s="453" t="s">
        <v>58</v>
      </c>
      <c r="C13" s="453" t="s">
        <v>379</v>
      </c>
      <c r="D13" s="36" t="s">
        <v>163</v>
      </c>
      <c r="E13" s="439">
        <f>'H2 production UK'!D46</f>
        <v>499.30196695515349</v>
      </c>
      <c r="F13" s="439">
        <f>'H2 production UK'!E46</f>
        <v>396.82541306058221</v>
      </c>
      <c r="G13" s="439">
        <f>'H2 production UK'!F46</f>
        <v>337.90361919748233</v>
      </c>
      <c r="H13" s="439">
        <f>'H2 production UK'!G46</f>
        <v>320.222974036192</v>
      </c>
      <c r="I13" s="439">
        <f>'H2 production UK'!H46</f>
        <v>302.71345397324944</v>
      </c>
      <c r="J13" s="441">
        <f>'H2 production UK'!I46</f>
        <v>298.1957513768686</v>
      </c>
      <c r="K13" s="457">
        <f>'H2 production UK'!J46</f>
        <v>293.67804878048781</v>
      </c>
    </row>
    <row r="14" spans="1:11">
      <c r="A14" s="456" t="s">
        <v>402</v>
      </c>
      <c r="B14" s="453" t="s">
        <v>58</v>
      </c>
      <c r="C14" s="453" t="s">
        <v>379</v>
      </c>
      <c r="D14" s="36" t="s">
        <v>52</v>
      </c>
      <c r="E14" s="439">
        <f>'H2 production UK'!D47</f>
        <v>588.3212431156569</v>
      </c>
      <c r="F14" s="439">
        <f>'H2 production UK'!E47</f>
        <v>509.49417781274587</v>
      </c>
      <c r="G14" s="439">
        <f>'H2 production UK'!F47</f>
        <v>459.24500393391025</v>
      </c>
      <c r="H14" s="439">
        <f>'H2 production UK'!G47</f>
        <v>446.34901652242337</v>
      </c>
      <c r="I14" s="439">
        <f>'H2 production UK'!H47</f>
        <v>433.59677419354841</v>
      </c>
      <c r="J14" s="441">
        <f>'H2 production UK'!I47</f>
        <v>426.72439024390241</v>
      </c>
      <c r="K14" s="457">
        <f>'H2 production UK'!J47</f>
        <v>419.8999213217939</v>
      </c>
    </row>
    <row r="15" spans="1:11">
      <c r="A15" s="456" t="s">
        <v>402</v>
      </c>
      <c r="B15" s="453" t="s">
        <v>58</v>
      </c>
      <c r="C15" s="453" t="s">
        <v>379</v>
      </c>
      <c r="D15" s="36" t="s">
        <v>165</v>
      </c>
      <c r="E15" s="439">
        <f>'H2 production UK'!D48</f>
        <v>807.49826907946499</v>
      </c>
      <c r="F15" s="439">
        <f>'H2 production UK'!E48</f>
        <v>707.52698662470493</v>
      </c>
      <c r="G15" s="439">
        <f>'H2 production UK'!F48</f>
        <v>667.53162863886701</v>
      </c>
      <c r="H15" s="439">
        <f>'H2 production UK'!G48</f>
        <v>645.03894571203784</v>
      </c>
      <c r="I15" s="439">
        <f>'H2 production UK'!H48</f>
        <v>622.92958300550754</v>
      </c>
      <c r="J15" s="441">
        <f>'H2 production UK'!I48</f>
        <v>612.01864673485443</v>
      </c>
      <c r="K15" s="457">
        <f>'H2 production UK'!J48</f>
        <v>601.2035405192762</v>
      </c>
    </row>
    <row r="16" spans="1:11">
      <c r="A16" s="456" t="s">
        <v>402</v>
      </c>
      <c r="B16" s="453" t="s">
        <v>58</v>
      </c>
      <c r="C16" s="453" t="s">
        <v>379</v>
      </c>
      <c r="D16" s="36" t="s">
        <v>238</v>
      </c>
      <c r="E16" s="439">
        <f>'H2 production UK'!D49</f>
        <v>533.07289346501364</v>
      </c>
      <c r="F16" s="439">
        <f>'H2 production UK'!E49</f>
        <v>430.06015864677448</v>
      </c>
      <c r="G16" s="439">
        <f>'H2 production UK'!F49</f>
        <v>355.1418060516915</v>
      </c>
      <c r="H16" s="439">
        <f>'H2 production UK'!G49</f>
        <v>295.3511977306157</v>
      </c>
      <c r="I16" s="439">
        <f>'H2 production UK'!H49</f>
        <v>260.77349653288508</v>
      </c>
      <c r="J16" s="441">
        <f>'H2 production UK'!I49</f>
        <v>233.39948308468163</v>
      </c>
      <c r="K16" s="457">
        <f>'H2 production UK'!J49</f>
        <v>209.62731351124185</v>
      </c>
    </row>
    <row r="17" spans="1:11">
      <c r="A17" s="456" t="s">
        <v>402</v>
      </c>
      <c r="B17" s="452" t="s">
        <v>65</v>
      </c>
      <c r="C17" s="452" t="s">
        <v>380</v>
      </c>
      <c r="D17" s="36" t="s">
        <v>163</v>
      </c>
      <c r="E17" s="441">
        <f>'H2 production UK'!D54</f>
        <v>20.459716758457905</v>
      </c>
      <c r="F17" s="441">
        <f>'H2 production UK'!E54</f>
        <v>20.042171518489379</v>
      </c>
      <c r="G17" s="441">
        <f>'H2 production UK'!F54</f>
        <v>19.836821400472068</v>
      </c>
      <c r="H17" s="441">
        <f>'H2 production UK'!G54</f>
        <v>19.734146341463415</v>
      </c>
      <c r="I17" s="441">
        <f>'H2 production UK'!H54</f>
        <v>19.624626278520854</v>
      </c>
      <c r="J17" s="441">
        <f>'H2 production UK'!I54</f>
        <v>19.624626278520854</v>
      </c>
      <c r="K17" s="457">
        <f>'H2 production UK'!J54</f>
        <v>19.624626278520854</v>
      </c>
    </row>
    <row r="18" spans="1:11">
      <c r="A18" s="456" t="s">
        <v>402</v>
      </c>
      <c r="B18" s="452" t="s">
        <v>65</v>
      </c>
      <c r="C18" s="452" t="s">
        <v>380</v>
      </c>
      <c r="D18" s="36" t="s">
        <v>52</v>
      </c>
      <c r="E18" s="441">
        <f>'H2 production UK'!D55</f>
        <v>21.294807238394963</v>
      </c>
      <c r="F18" s="441">
        <f>'H2 production UK'!E55</f>
        <v>20.877261998426437</v>
      </c>
      <c r="G18" s="441">
        <f>'H2 production UK'!F55</f>
        <v>20.569236821400473</v>
      </c>
      <c r="H18" s="441">
        <f>'H2 production UK'!G55</f>
        <v>20.411801730920534</v>
      </c>
      <c r="I18" s="441">
        <f>'H2 production UK'!H55</f>
        <v>20.254366640440598</v>
      </c>
      <c r="J18" s="441">
        <f>'H2 production UK'!I55</f>
        <v>20.151691581431944</v>
      </c>
      <c r="K18" s="457">
        <f>'H2 production UK'!J55</f>
        <v>20.042171518489379</v>
      </c>
    </row>
    <row r="19" spans="1:11">
      <c r="A19" s="456" t="s">
        <v>402</v>
      </c>
      <c r="B19" s="452" t="s">
        <v>65</v>
      </c>
      <c r="C19" s="452" t="s">
        <v>380</v>
      </c>
      <c r="D19" s="36" t="s">
        <v>165</v>
      </c>
      <c r="E19" s="441">
        <f>'H2 production UK'!D56</f>
        <v>25.052714398111725</v>
      </c>
      <c r="F19" s="441">
        <f>'H2 production UK'!E56</f>
        <v>24.012273800157356</v>
      </c>
      <c r="G19" s="441">
        <f>'H2 production UK'!F56</f>
        <v>23.382533438237608</v>
      </c>
      <c r="H19" s="441">
        <f>'H2 production UK'!G56</f>
        <v>22.964988198269079</v>
      </c>
      <c r="I19" s="441">
        <f>'H2 production UK'!H56</f>
        <v>22.547442958300547</v>
      </c>
      <c r="J19" s="441">
        <f>'H2 production UK'!I56</f>
        <v>22.342092840283239</v>
      </c>
      <c r="K19" s="457">
        <f>'H2 production UK'!J56</f>
        <v>22.129897718332021</v>
      </c>
    </row>
    <row r="20" spans="1:11">
      <c r="A20" s="456" t="s">
        <v>402</v>
      </c>
      <c r="B20" s="452" t="s">
        <v>67</v>
      </c>
      <c r="C20" s="452" t="s">
        <v>80</v>
      </c>
      <c r="D20" s="36" t="s">
        <v>163</v>
      </c>
      <c r="E20" s="441">
        <f>'H2 production UK'!D57</f>
        <v>0.14613914802742498</v>
      </c>
      <c r="F20" s="441">
        <f>'H2 production UK'!E57</f>
        <v>0.13728222996515682</v>
      </c>
      <c r="G20" s="441">
        <f>'H2 production UK'!F57</f>
        <v>0.12842531190288861</v>
      </c>
      <c r="H20" s="441">
        <f>'H2 production UK'!G57</f>
        <v>0.12399685287175452</v>
      </c>
      <c r="I20" s="441">
        <f>'H2 production UK'!H57</f>
        <v>0.12399685287175452</v>
      </c>
      <c r="J20" s="441">
        <f>'H2 production UK'!I57</f>
        <v>0.12399685287175452</v>
      </c>
      <c r="K20" s="457">
        <f>'H2 production UK'!J57</f>
        <v>0.12399685287175452</v>
      </c>
    </row>
    <row r="21" spans="1:11">
      <c r="A21" s="456" t="s">
        <v>402</v>
      </c>
      <c r="B21" s="452" t="s">
        <v>67</v>
      </c>
      <c r="C21" s="452" t="s">
        <v>80</v>
      </c>
      <c r="D21" s="36" t="s">
        <v>52</v>
      </c>
      <c r="E21" s="441">
        <f>'H2 production UK'!D58</f>
        <v>0.19928065640103407</v>
      </c>
      <c r="F21" s="441">
        <f>'H2 production UK'!E58</f>
        <v>0.19042373833876586</v>
      </c>
      <c r="G21" s="441">
        <f>'H2 production UK'!F58</f>
        <v>0.18599527930763179</v>
      </c>
      <c r="H21" s="441">
        <f>'H2 production UK'!G58</f>
        <v>0.1815668202764977</v>
      </c>
      <c r="I21" s="441">
        <f>'H2 production UK'!H58</f>
        <v>0.17713836124536358</v>
      </c>
      <c r="J21" s="441">
        <f>'H2 production UK'!I58</f>
        <v>0.17713836124536358</v>
      </c>
      <c r="K21" s="457">
        <f>'H2 production UK'!J58</f>
        <v>0.17713836124536358</v>
      </c>
    </row>
    <row r="22" spans="1:11" ht="15.75" thickBot="1">
      <c r="A22" s="460" t="s">
        <v>402</v>
      </c>
      <c r="B22" s="453" t="s">
        <v>67</v>
      </c>
      <c r="C22" s="453" t="s">
        <v>400</v>
      </c>
      <c r="D22" s="461" t="s">
        <v>165</v>
      </c>
      <c r="E22" s="441">
        <f>'H2 production UK'!D59</f>
        <v>0.30113521411711813</v>
      </c>
      <c r="F22" s="441">
        <f>'H2 production UK'!E59</f>
        <v>0.28342137799258177</v>
      </c>
      <c r="G22" s="441">
        <f>'H2 production UK'!F59</f>
        <v>0.2701360008991795</v>
      </c>
      <c r="H22" s="441">
        <f>'H2 production UK'!G59</f>
        <v>0.26127908283691131</v>
      </c>
      <c r="I22" s="441">
        <f>'H2 production UK'!H59</f>
        <v>0.25685062380577722</v>
      </c>
      <c r="J22" s="441">
        <f>'H2 production UK'!I59</f>
        <v>0.25242216477464313</v>
      </c>
      <c r="K22" s="457">
        <f>'H2 production UK'!J59</f>
        <v>0.25242216477464313</v>
      </c>
    </row>
    <row r="23" spans="1:11">
      <c r="A23" s="455" t="s">
        <v>403</v>
      </c>
      <c r="B23" s="465" t="s">
        <v>405</v>
      </c>
      <c r="C23" s="466" t="s">
        <v>47</v>
      </c>
      <c r="D23" s="467"/>
      <c r="E23" s="17">
        <f>'H2 production UK'!K37</f>
        <v>0.98</v>
      </c>
      <c r="F23" s="17">
        <f>'H2 production UK'!L37</f>
        <v>0.98</v>
      </c>
      <c r="G23" s="17">
        <f>'H2 production UK'!M37</f>
        <v>0.98</v>
      </c>
      <c r="H23" s="17">
        <f>'H2 production UK'!N37</f>
        <v>0.98</v>
      </c>
      <c r="I23" s="17">
        <f>'H2 production UK'!O37</f>
        <v>0.98</v>
      </c>
      <c r="J23" s="17">
        <f>'H2 production UK'!P37</f>
        <v>0.98</v>
      </c>
      <c r="K23" s="18">
        <f>'H2 production UK'!Q37</f>
        <v>0.98</v>
      </c>
    </row>
    <row r="24" spans="1:11">
      <c r="A24" s="456" t="s">
        <v>403</v>
      </c>
      <c r="B24" s="52" t="s">
        <v>48</v>
      </c>
      <c r="C24" s="442" t="s">
        <v>47</v>
      </c>
      <c r="D24" s="54"/>
      <c r="E24" s="20">
        <f>'H2 production UK'!K38</f>
        <v>0</v>
      </c>
      <c r="F24" s="20">
        <f>'H2 production UK'!L38</f>
        <v>0</v>
      </c>
      <c r="G24" s="20">
        <f>'H2 production UK'!M38</f>
        <v>0</v>
      </c>
      <c r="H24" s="20">
        <f>'H2 production UK'!N38</f>
        <v>0</v>
      </c>
      <c r="I24" s="20">
        <f>'H2 production UK'!O38</f>
        <v>0</v>
      </c>
      <c r="J24" s="20">
        <f>'H2 production UK'!P38</f>
        <v>0</v>
      </c>
      <c r="K24" s="21">
        <f>'H2 production UK'!Q38</f>
        <v>0</v>
      </c>
    </row>
    <row r="25" spans="1:11" ht="25.5">
      <c r="A25" s="456" t="s">
        <v>403</v>
      </c>
      <c r="B25" s="451" t="s">
        <v>378</v>
      </c>
      <c r="C25" s="451" t="s">
        <v>81</v>
      </c>
      <c r="D25" s="36" t="s">
        <v>165</v>
      </c>
      <c r="E25" s="20">
        <f>'H2 production UK'!K39</f>
        <v>0</v>
      </c>
      <c r="F25" s="20">
        <f>'H2 production UK'!L39</f>
        <v>0</v>
      </c>
      <c r="G25" s="20">
        <f>'H2 production UK'!M39</f>
        <v>0</v>
      </c>
      <c r="H25" s="20">
        <f>'H2 production UK'!N39</f>
        <v>0</v>
      </c>
      <c r="I25" s="20">
        <f>'H2 production UK'!O39</f>
        <v>0</v>
      </c>
      <c r="J25" s="20">
        <f>'H2 production UK'!P39</f>
        <v>0</v>
      </c>
      <c r="K25" s="21">
        <f>'H2 production UK'!Q39</f>
        <v>0</v>
      </c>
    </row>
    <row r="26" spans="1:11" ht="25.5">
      <c r="A26" s="456" t="s">
        <v>403</v>
      </c>
      <c r="B26" s="451" t="s">
        <v>378</v>
      </c>
      <c r="C26" s="451" t="s">
        <v>81</v>
      </c>
      <c r="D26" s="36" t="s">
        <v>52</v>
      </c>
      <c r="E26" s="20">
        <f>'H2 production UK'!K40</f>
        <v>0</v>
      </c>
      <c r="F26" s="20">
        <f>'H2 production UK'!L40</f>
        <v>0</v>
      </c>
      <c r="G26" s="20">
        <f>'H2 production UK'!M40</f>
        <v>0</v>
      </c>
      <c r="H26" s="20">
        <f>'H2 production UK'!N40</f>
        <v>0</v>
      </c>
      <c r="I26" s="20">
        <f>'H2 production UK'!O40</f>
        <v>0</v>
      </c>
      <c r="J26" s="20">
        <f>'H2 production UK'!P40</f>
        <v>0</v>
      </c>
      <c r="K26" s="21">
        <f>'H2 production UK'!Q40</f>
        <v>0</v>
      </c>
    </row>
    <row r="27" spans="1:11" ht="25.5">
      <c r="A27" s="456" t="s">
        <v>403</v>
      </c>
      <c r="B27" s="451" t="s">
        <v>378</v>
      </c>
      <c r="C27" s="451" t="s">
        <v>81</v>
      </c>
      <c r="D27" s="36" t="s">
        <v>163</v>
      </c>
      <c r="E27" s="20">
        <f>'H2 production UK'!K41</f>
        <v>0</v>
      </c>
      <c r="F27" s="20">
        <f>'H2 production UK'!L41</f>
        <v>0</v>
      </c>
      <c r="G27" s="20">
        <f>'H2 production UK'!M41</f>
        <v>0</v>
      </c>
      <c r="H27" s="20">
        <f>'H2 production UK'!N41</f>
        <v>0</v>
      </c>
      <c r="I27" s="20">
        <f>'H2 production UK'!O41</f>
        <v>0</v>
      </c>
      <c r="J27" s="20">
        <f>'H2 production UK'!P41</f>
        <v>0</v>
      </c>
      <c r="K27" s="21">
        <f>'H2 production UK'!Q41</f>
        <v>0</v>
      </c>
    </row>
    <row r="28" spans="1:11" ht="25.5">
      <c r="A28" s="456" t="s">
        <v>403</v>
      </c>
      <c r="B28" s="451" t="s">
        <v>124</v>
      </c>
      <c r="C28" s="451" t="s">
        <v>82</v>
      </c>
      <c r="D28" s="36" t="s">
        <v>165</v>
      </c>
      <c r="E28" s="20">
        <f>'H2 production UK'!K42</f>
        <v>64.048639999999992</v>
      </c>
      <c r="F28" s="20">
        <f>'H2 production UK'!L42</f>
        <v>59.044839999999994</v>
      </c>
      <c r="G28" s="20">
        <f>'H2 production UK'!M42</f>
        <v>55.542179999999995</v>
      </c>
      <c r="H28" s="20">
        <f>'H2 production UK'!N42</f>
        <v>54.041039999999995</v>
      </c>
      <c r="I28" s="20">
        <f>'H2 production UK'!O42</f>
        <v>52.539899999999996</v>
      </c>
      <c r="J28" s="20">
        <f>'H2 production UK'!P42</f>
        <v>52.039519999999996</v>
      </c>
      <c r="K28" s="21">
        <f>'H2 production UK'!Q42</f>
        <v>51.539140000000003</v>
      </c>
    </row>
    <row r="29" spans="1:11" ht="25.5">
      <c r="A29" s="456" t="s">
        <v>403</v>
      </c>
      <c r="B29" s="451" t="s">
        <v>124</v>
      </c>
      <c r="C29" s="451" t="s">
        <v>82</v>
      </c>
      <c r="D29" s="36" t="s">
        <v>52</v>
      </c>
      <c r="E29" s="20">
        <f>'H2 production UK'!K43</f>
        <v>55.041800000000002</v>
      </c>
      <c r="F29" s="20">
        <f>'H2 production UK'!L43</f>
        <v>52.039519999999996</v>
      </c>
      <c r="G29" s="20">
        <f>'H2 production UK'!M43</f>
        <v>50.037999999999997</v>
      </c>
      <c r="H29" s="20">
        <f>'H2 production UK'!N43</f>
        <v>49.287430000000001</v>
      </c>
      <c r="I29" s="20">
        <f>'H2 production UK'!O43</f>
        <v>48.536859999999997</v>
      </c>
      <c r="J29" s="20">
        <f>'H2 production UK'!P43</f>
        <v>48.286669999999994</v>
      </c>
      <c r="K29" s="21">
        <f>'H2 production UK'!Q43</f>
        <v>48.036479999999997</v>
      </c>
    </row>
    <row r="30" spans="1:11" ht="25.5">
      <c r="A30" s="456" t="s">
        <v>403</v>
      </c>
      <c r="B30" s="451" t="s">
        <v>124</v>
      </c>
      <c r="C30" s="451" t="s">
        <v>82</v>
      </c>
      <c r="D30" s="36" t="s">
        <v>163</v>
      </c>
      <c r="E30" s="20">
        <f>'H2 production UK'!K44</f>
        <v>48.536859999999997</v>
      </c>
      <c r="F30" s="20">
        <f>'H2 production UK'!L44</f>
        <v>47.536099999999998</v>
      </c>
      <c r="G30" s="20">
        <f>'H2 production UK'!M44</f>
        <v>46.785529999999994</v>
      </c>
      <c r="H30" s="20">
        <f>'H2 production UK'!N44</f>
        <v>46.160055</v>
      </c>
      <c r="I30" s="20">
        <f>'H2 production UK'!O44</f>
        <v>46.535339999999998</v>
      </c>
      <c r="J30" s="20">
        <f>'H2 production UK'!P44</f>
        <v>45.284389999999995</v>
      </c>
      <c r="K30" s="21">
        <f>'H2 production UK'!Q44</f>
        <v>45.034199999999998</v>
      </c>
    </row>
    <row r="31" spans="1:11">
      <c r="A31" s="456" t="s">
        <v>403</v>
      </c>
      <c r="B31" s="34" t="s">
        <v>56</v>
      </c>
      <c r="C31" s="443" t="s">
        <v>57</v>
      </c>
      <c r="D31" s="36"/>
      <c r="E31" s="20">
        <f>'H2 production UK'!K45</f>
        <v>30</v>
      </c>
      <c r="F31" s="20">
        <f>'H2 production UK'!L45</f>
        <v>30</v>
      </c>
      <c r="G31" s="20">
        <f>'H2 production UK'!M45</f>
        <v>30</v>
      </c>
      <c r="H31" s="20">
        <f>'H2 production UK'!N45</f>
        <v>30</v>
      </c>
      <c r="I31" s="20">
        <f>'H2 production UK'!O45</f>
        <v>30</v>
      </c>
      <c r="J31" s="20">
        <f>'H2 production UK'!P45</f>
        <v>30</v>
      </c>
      <c r="K31" s="21">
        <f>'H2 production UK'!Q45</f>
        <v>30</v>
      </c>
    </row>
    <row r="32" spans="1:11">
      <c r="A32" s="456" t="s">
        <v>403</v>
      </c>
      <c r="B32" s="453" t="s">
        <v>58</v>
      </c>
      <c r="C32" s="453" t="s">
        <v>379</v>
      </c>
      <c r="D32" s="36" t="s">
        <v>163</v>
      </c>
      <c r="E32" s="20">
        <f>'H2 production UK'!K46</f>
        <v>652.73273013375297</v>
      </c>
      <c r="F32" s="20">
        <f>'H2 production UK'!L46</f>
        <v>410.96034618410698</v>
      </c>
      <c r="G32" s="20">
        <f>'H2 production UK'!M46</f>
        <v>296.61455546813534</v>
      </c>
      <c r="H32" s="20">
        <f>'H2 production UK'!N46</f>
        <v>268.26254917387882</v>
      </c>
      <c r="I32" s="20">
        <f>'H2 production UK'!O46</f>
        <v>245.85200629425651</v>
      </c>
      <c r="J32" s="20">
        <f>'H2 production UK'!P46</f>
        <v>234.8931549960661</v>
      </c>
      <c r="K32" s="21">
        <f>'H2 production UK'!Q46</f>
        <v>229.27340676632571</v>
      </c>
    </row>
    <row r="33" spans="1:11">
      <c r="A33" s="456" t="s">
        <v>403</v>
      </c>
      <c r="B33" s="453" t="s">
        <v>58</v>
      </c>
      <c r="C33" s="453" t="s">
        <v>379</v>
      </c>
      <c r="D33" s="36" t="s">
        <v>52</v>
      </c>
      <c r="E33" s="20">
        <f>'H2 production UK'!K47</f>
        <v>793.08269079464992</v>
      </c>
      <c r="F33" s="20">
        <f>'H2 production UK'!L47</f>
        <v>499.88379228953579</v>
      </c>
      <c r="G33" s="20">
        <f>'H2 production UK'!M47</f>
        <v>384.52494099134537</v>
      </c>
      <c r="H33" s="20">
        <f>'H2 production UK'!N47</f>
        <v>355.08457907159715</v>
      </c>
      <c r="I33" s="20">
        <f>'H2 production UK'!O47</f>
        <v>326.36294256490953</v>
      </c>
      <c r="J33" s="20">
        <f>'H2 production UK'!P47</f>
        <v>320.04500393391027</v>
      </c>
      <c r="K33" s="21">
        <f>'H2 production UK'!Q47</f>
        <v>313.7749803304485</v>
      </c>
    </row>
    <row r="34" spans="1:11">
      <c r="A34" s="456" t="s">
        <v>403</v>
      </c>
      <c r="B34" s="453" t="s">
        <v>58</v>
      </c>
      <c r="C34" s="453" t="s">
        <v>379</v>
      </c>
      <c r="D34" s="36" t="s">
        <v>165</v>
      </c>
      <c r="E34" s="20">
        <f>'H2 production UK'!K48</f>
        <v>1292.0013375295043</v>
      </c>
      <c r="F34" s="20">
        <f>'H2 production UK'!L48</f>
        <v>998.22745869394168</v>
      </c>
      <c r="G34" s="20">
        <f>'H2 production UK'!M48</f>
        <v>832.304563335956</v>
      </c>
      <c r="H34" s="20">
        <f>'H2 production UK'!N48</f>
        <v>747.51549960660896</v>
      </c>
      <c r="I34" s="20">
        <f>'H2 production UK'!O48</f>
        <v>666.19000786782067</v>
      </c>
      <c r="J34" s="20">
        <f>'H2 production UK'!P48</f>
        <v>639.85043273013366</v>
      </c>
      <c r="K34" s="21">
        <f>'H2 production UK'!Q48</f>
        <v>613.89417781274585</v>
      </c>
    </row>
    <row r="35" spans="1:11">
      <c r="A35" s="456" t="s">
        <v>403</v>
      </c>
      <c r="B35" s="453" t="s">
        <v>58</v>
      </c>
      <c r="C35" s="453" t="s">
        <v>379</v>
      </c>
      <c r="D35" s="36" t="s">
        <v>238</v>
      </c>
      <c r="E35" s="20">
        <f>'H2 production UK'!K49</f>
        <v>851.4758919941163</v>
      </c>
      <c r="F35" s="20">
        <f>'H2 production UK'!L49</f>
        <v>630.32267808363099</v>
      </c>
      <c r="G35" s="20">
        <f>'H2 production UK'!M49</f>
        <v>500.65629859214118</v>
      </c>
      <c r="H35" s="20">
        <f>'H2 production UK'!N49</f>
        <v>409.16946417314563</v>
      </c>
      <c r="I35" s="20">
        <f>'H2 production UK'!O49</f>
        <v>350.09922462702247</v>
      </c>
      <c r="J35" s="20">
        <f>'H2 production UK'!P49</f>
        <v>309.03820445471735</v>
      </c>
      <c r="K35" s="21">
        <f>'H2 production UK'!Q49</f>
        <v>274.46050325698673</v>
      </c>
    </row>
    <row r="36" spans="1:11">
      <c r="A36" s="456" t="s">
        <v>403</v>
      </c>
      <c r="B36" s="452" t="s">
        <v>65</v>
      </c>
      <c r="C36" s="452" t="s">
        <v>380</v>
      </c>
      <c r="D36" s="36" t="s">
        <v>163</v>
      </c>
      <c r="E36" s="20">
        <f>'H2 production UK'!K54</f>
        <v>22.164122738001577</v>
      </c>
      <c r="F36" s="20">
        <f>'H2 production UK'!L54</f>
        <v>21.705507474429581</v>
      </c>
      <c r="G36" s="20">
        <f>'H2 production UK'!M54</f>
        <v>21.363257277734068</v>
      </c>
      <c r="H36" s="20">
        <f>'H2 production UK'!N54</f>
        <v>21.082612116443745</v>
      </c>
      <c r="I36" s="20">
        <f>'H2 production UK'!O54</f>
        <v>21.253737214791503</v>
      </c>
      <c r="J36" s="20">
        <f>'H2 production UK'!P54</f>
        <v>20.678756884343038</v>
      </c>
      <c r="K36" s="21">
        <f>'H2 production UK'!Q54</f>
        <v>20.562391817466562</v>
      </c>
    </row>
    <row r="37" spans="1:11">
      <c r="A37" s="456" t="s">
        <v>403</v>
      </c>
      <c r="B37" s="452" t="s">
        <v>65</v>
      </c>
      <c r="C37" s="452" t="s">
        <v>380</v>
      </c>
      <c r="D37" s="36" t="s">
        <v>52</v>
      </c>
      <c r="E37" s="20">
        <f>'H2 production UK'!K55</f>
        <v>25.134854445318645</v>
      </c>
      <c r="F37" s="20">
        <f>'H2 production UK'!L55</f>
        <v>23.765853658536585</v>
      </c>
      <c r="G37" s="20">
        <f>'H2 production UK'!M55</f>
        <v>22.848623131392607</v>
      </c>
      <c r="H37" s="20">
        <f>'H2 production UK'!N55</f>
        <v>22.506372934697094</v>
      </c>
      <c r="I37" s="20">
        <f>'H2 production UK'!O55</f>
        <v>22.164122738001577</v>
      </c>
      <c r="J37" s="20">
        <f>'H2 production UK'!P55</f>
        <v>22.047757671125098</v>
      </c>
      <c r="K37" s="21">
        <f>'H2 production UK'!Q55</f>
        <v>21.938237608182529</v>
      </c>
    </row>
    <row r="38" spans="1:11">
      <c r="A38" s="456" t="s">
        <v>403</v>
      </c>
      <c r="B38" s="452" t="s">
        <v>65</v>
      </c>
      <c r="C38" s="452" t="s">
        <v>380</v>
      </c>
      <c r="D38" s="36" t="s">
        <v>165</v>
      </c>
      <c r="E38" s="20">
        <f>'H2 production UK'!K56</f>
        <v>29.248701809598746</v>
      </c>
      <c r="F38" s="20">
        <f>'H2 production UK'!L56</f>
        <v>26.962470495672701</v>
      </c>
      <c r="G38" s="20">
        <f>'H2 production UK'!M56</f>
        <v>25.360739575137689</v>
      </c>
      <c r="H38" s="20">
        <f>'H2 production UK'!N56</f>
        <v>24.676239181746659</v>
      </c>
      <c r="I38" s="20">
        <f>'H2 production UK'!O56</f>
        <v>23.991738788355629</v>
      </c>
      <c r="J38" s="20">
        <f>'H2 production UK'!P56</f>
        <v>23.765853658536585</v>
      </c>
      <c r="K38" s="21">
        <f>'H2 production UK'!Q56</f>
        <v>23.533123524783637</v>
      </c>
    </row>
    <row r="39" spans="1:11">
      <c r="A39" s="456" t="s">
        <v>403</v>
      </c>
      <c r="B39" s="452" t="s">
        <v>67</v>
      </c>
      <c r="C39" s="452" t="s">
        <v>80</v>
      </c>
      <c r="D39" s="36" t="s">
        <v>163</v>
      </c>
      <c r="E39" s="20">
        <f>'H2 production UK'!K57</f>
        <v>0.12842531190288861</v>
      </c>
      <c r="F39" s="20">
        <f>'H2 production UK'!L57</f>
        <v>0.11513993480948635</v>
      </c>
      <c r="G39" s="20">
        <f>'H2 production UK'!M57</f>
        <v>0.10185455771608407</v>
      </c>
      <c r="H39" s="20">
        <f>'H2 production UK'!N57</f>
        <v>9.7426098684949988E-2</v>
      </c>
      <c r="I39" s="20">
        <f>'H2 production UK'!O57</f>
        <v>9.2997639653815897E-2</v>
      </c>
      <c r="J39" s="20">
        <f>'H2 production UK'!P57</f>
        <v>9.2997639653815897E-2</v>
      </c>
      <c r="K39" s="21">
        <f>'H2 production UK'!Q57</f>
        <v>9.2997639653815897E-2</v>
      </c>
    </row>
    <row r="40" spans="1:11">
      <c r="A40" s="456" t="s">
        <v>403</v>
      </c>
      <c r="B40" s="452" t="s">
        <v>67</v>
      </c>
      <c r="C40" s="452" t="s">
        <v>80</v>
      </c>
      <c r="D40" s="36" t="s">
        <v>52</v>
      </c>
      <c r="E40" s="20">
        <f>'H2 production UK'!K58</f>
        <v>0.17270990221422949</v>
      </c>
      <c r="F40" s="20">
        <f>'H2 production UK'!L58</f>
        <v>0.15499606608969316</v>
      </c>
      <c r="G40" s="20">
        <f>'H2 production UK'!M58</f>
        <v>0.13728222996515682</v>
      </c>
      <c r="H40" s="20">
        <f>'H2 production UK'!N58</f>
        <v>0.1328537709340227</v>
      </c>
      <c r="I40" s="20">
        <f>'H2 production UK'!O58</f>
        <v>0.12842531190288861</v>
      </c>
      <c r="J40" s="20">
        <f>'H2 production UK'!P58</f>
        <v>0.12842531190288861</v>
      </c>
      <c r="K40" s="21">
        <f>'H2 production UK'!Q58</f>
        <v>0.12842531190288861</v>
      </c>
    </row>
    <row r="41" spans="1:11" ht="15.75" thickBot="1">
      <c r="A41" s="458" t="s">
        <v>403</v>
      </c>
      <c r="B41" s="459" t="s">
        <v>67</v>
      </c>
      <c r="C41" s="459" t="s">
        <v>400</v>
      </c>
      <c r="D41" s="171" t="s">
        <v>165</v>
      </c>
      <c r="E41" s="23">
        <f>'H2 production UK'!K59</f>
        <v>0.39413285377093399</v>
      </c>
      <c r="F41" s="23">
        <f>'H2 production UK'!L59</f>
        <v>0.33656288636619086</v>
      </c>
      <c r="G41" s="23">
        <f>'H2 production UK'!M59</f>
        <v>0.28784983702371586</v>
      </c>
      <c r="H41" s="23">
        <f>'H2 production UK'!N59</f>
        <v>0.27456445993031364</v>
      </c>
      <c r="I41" s="23">
        <f>'H2 production UK'!O59</f>
        <v>0.25685062380577722</v>
      </c>
      <c r="J41" s="23">
        <f>'H2 production UK'!P59</f>
        <v>0.25242216477464313</v>
      </c>
      <c r="K41" s="24">
        <f>'H2 production UK'!Q59</f>
        <v>0.25242216477464313</v>
      </c>
    </row>
    <row r="42" spans="1:11">
      <c r="A42" s="462" t="s">
        <v>404</v>
      </c>
      <c r="B42" s="465" t="s">
        <v>405</v>
      </c>
      <c r="C42" s="463" t="s">
        <v>47</v>
      </c>
      <c r="D42" s="464"/>
      <c r="E42" s="20">
        <f>'H2 production UK'!AF37</f>
        <v>0.95</v>
      </c>
      <c r="F42" s="20">
        <f>'H2 production UK'!AG37</f>
        <v>0.95</v>
      </c>
      <c r="G42" s="20">
        <f>'H2 production UK'!AH37</f>
        <v>0.95</v>
      </c>
      <c r="H42" s="20">
        <f>'H2 production UK'!AI37</f>
        <v>0.95</v>
      </c>
      <c r="I42" s="20">
        <f>'H2 production UK'!AJ37</f>
        <v>0.95</v>
      </c>
      <c r="J42" s="20">
        <f>'H2 production UK'!AK37</f>
        <v>0.95</v>
      </c>
      <c r="K42" s="21">
        <f>'H2 production UK'!AL37</f>
        <v>0.95</v>
      </c>
    </row>
    <row r="43" spans="1:11">
      <c r="A43" s="456" t="s">
        <v>404</v>
      </c>
      <c r="B43" s="52" t="s">
        <v>48</v>
      </c>
      <c r="C43" s="442" t="s">
        <v>47</v>
      </c>
      <c r="D43" s="54"/>
      <c r="E43" s="20">
        <f>'H2 production UK'!AF38</f>
        <v>0.9</v>
      </c>
      <c r="F43" s="20">
        <f>'H2 production UK'!AG38</f>
        <v>0.9</v>
      </c>
      <c r="G43" s="20">
        <f>'H2 production UK'!AH38</f>
        <v>0.9</v>
      </c>
      <c r="H43" s="20">
        <f>'H2 production UK'!AI38</f>
        <v>0.9</v>
      </c>
      <c r="I43" s="20">
        <f>'H2 production UK'!AJ38</f>
        <v>0.9</v>
      </c>
      <c r="J43" s="20">
        <f>'H2 production UK'!AK38</f>
        <v>0.9</v>
      </c>
      <c r="K43" s="21">
        <f>'H2 production UK'!AL38</f>
        <v>0.9</v>
      </c>
    </row>
    <row r="44" spans="1:11" ht="25.5">
      <c r="A44" s="456" t="s">
        <v>404</v>
      </c>
      <c r="B44" s="451" t="s">
        <v>378</v>
      </c>
      <c r="C44" s="451" t="s">
        <v>81</v>
      </c>
      <c r="D44" s="36" t="s">
        <v>165</v>
      </c>
      <c r="E44" s="20">
        <f>'H2 production UK'!AF39</f>
        <v>0</v>
      </c>
      <c r="F44" s="20">
        <f>'H2 production UK'!AG39</f>
        <v>0</v>
      </c>
      <c r="G44" s="20">
        <f>'H2 production UK'!AH39</f>
        <v>0</v>
      </c>
      <c r="H44" s="20">
        <f>'H2 production UK'!AI39</f>
        <v>0</v>
      </c>
      <c r="I44" s="20">
        <f>'H2 production UK'!AJ39</f>
        <v>0</v>
      </c>
      <c r="J44" s="20">
        <f>'H2 production UK'!AK39</f>
        <v>0</v>
      </c>
      <c r="K44" s="21">
        <f>'H2 production UK'!AL39</f>
        <v>0</v>
      </c>
    </row>
    <row r="45" spans="1:11" ht="25.5">
      <c r="A45" s="456" t="s">
        <v>404</v>
      </c>
      <c r="B45" s="451" t="s">
        <v>378</v>
      </c>
      <c r="C45" s="451" t="s">
        <v>81</v>
      </c>
      <c r="D45" s="36" t="s">
        <v>52</v>
      </c>
      <c r="E45" s="20">
        <f>'H2 production UK'!AF40</f>
        <v>53.387</v>
      </c>
      <c r="F45" s="20">
        <f>'H2 production UK'!AG40</f>
        <v>53.387</v>
      </c>
      <c r="G45" s="20">
        <f>'H2 production UK'!AH40</f>
        <v>53.387</v>
      </c>
      <c r="H45" s="20">
        <f>'H2 production UK'!AI40</f>
        <v>53.387</v>
      </c>
      <c r="I45" s="20">
        <f>'H2 production UK'!AJ40</f>
        <v>53.387</v>
      </c>
      <c r="J45" s="20">
        <f>'H2 production UK'!AK40</f>
        <v>53.387</v>
      </c>
      <c r="K45" s="21">
        <f>'H2 production UK'!AL40</f>
        <v>53.387</v>
      </c>
    </row>
    <row r="46" spans="1:11" ht="25.5">
      <c r="A46" s="456" t="s">
        <v>404</v>
      </c>
      <c r="B46" s="451" t="s">
        <v>378</v>
      </c>
      <c r="C46" s="451" t="s">
        <v>81</v>
      </c>
      <c r="D46" s="36" t="s">
        <v>163</v>
      </c>
      <c r="E46" s="20">
        <f>'H2 production UK'!AF41</f>
        <v>0</v>
      </c>
      <c r="F46" s="20">
        <f>'H2 production UK'!AG41</f>
        <v>0</v>
      </c>
      <c r="G46" s="20">
        <f>'H2 production UK'!AH41</f>
        <v>0</v>
      </c>
      <c r="H46" s="20">
        <f>'H2 production UK'!AI41</f>
        <v>0</v>
      </c>
      <c r="I46" s="20">
        <f>'H2 production UK'!AJ41</f>
        <v>0</v>
      </c>
      <c r="J46" s="20">
        <f>'H2 production UK'!AK41</f>
        <v>0</v>
      </c>
      <c r="K46" s="21">
        <f>'H2 production UK'!AL41</f>
        <v>0</v>
      </c>
    </row>
    <row r="47" spans="1:11" ht="25.5">
      <c r="A47" s="456" t="s">
        <v>404</v>
      </c>
      <c r="B47" s="451" t="s">
        <v>124</v>
      </c>
      <c r="C47" s="451" t="s">
        <v>82</v>
      </c>
      <c r="D47" s="36" t="s">
        <v>165</v>
      </c>
      <c r="E47" s="20">
        <f>'H2 production UK'!AF42</f>
        <v>0</v>
      </c>
      <c r="F47" s="20">
        <f>'H2 production UK'!AG42</f>
        <v>0</v>
      </c>
      <c r="G47" s="20">
        <f>'H2 production UK'!AH42</f>
        <v>0</v>
      </c>
      <c r="H47" s="20">
        <f>'H2 production UK'!AI42</f>
        <v>0</v>
      </c>
      <c r="I47" s="20">
        <f>'H2 production UK'!AJ42</f>
        <v>0</v>
      </c>
      <c r="J47" s="20">
        <f>'H2 production UK'!AK42</f>
        <v>0</v>
      </c>
      <c r="K47" s="21">
        <f>'H2 production UK'!AL42</f>
        <v>0</v>
      </c>
    </row>
    <row r="48" spans="1:11" ht="25.5">
      <c r="A48" s="456" t="s">
        <v>404</v>
      </c>
      <c r="B48" s="451" t="s">
        <v>124</v>
      </c>
      <c r="C48" s="451" t="s">
        <v>82</v>
      </c>
      <c r="D48" s="36" t="s">
        <v>52</v>
      </c>
      <c r="E48" s="20">
        <f>'H2 production UK'!AF43</f>
        <v>0</v>
      </c>
      <c r="F48" s="20">
        <f>'H2 production UK'!AG43</f>
        <v>0</v>
      </c>
      <c r="G48" s="20">
        <f>'H2 production UK'!AH43</f>
        <v>0</v>
      </c>
      <c r="H48" s="20">
        <f>'H2 production UK'!AI43</f>
        <v>0</v>
      </c>
      <c r="I48" s="20">
        <f>'H2 production UK'!AJ43</f>
        <v>0</v>
      </c>
      <c r="J48" s="20">
        <f>'H2 production UK'!AK43</f>
        <v>0</v>
      </c>
      <c r="K48" s="21">
        <f>'H2 production UK'!AL43</f>
        <v>0</v>
      </c>
    </row>
    <row r="49" spans="1:11" ht="25.5">
      <c r="A49" s="456" t="s">
        <v>404</v>
      </c>
      <c r="B49" s="451" t="s">
        <v>124</v>
      </c>
      <c r="C49" s="451" t="s">
        <v>82</v>
      </c>
      <c r="D49" s="36" t="s">
        <v>163</v>
      </c>
      <c r="E49" s="20">
        <f>'H2 production UK'!AF44</f>
        <v>0</v>
      </c>
      <c r="F49" s="20">
        <f>'H2 production UK'!AG44</f>
        <v>0</v>
      </c>
      <c r="G49" s="20">
        <f>'H2 production UK'!AH44</f>
        <v>0</v>
      </c>
      <c r="H49" s="20">
        <f>'H2 production UK'!AI44</f>
        <v>0</v>
      </c>
      <c r="I49" s="20">
        <f>'H2 production UK'!AJ44</f>
        <v>0</v>
      </c>
      <c r="J49" s="20">
        <f>'H2 production UK'!AK44</f>
        <v>0</v>
      </c>
      <c r="K49" s="21">
        <f>'H2 production UK'!AL44</f>
        <v>0</v>
      </c>
    </row>
    <row r="50" spans="1:11">
      <c r="A50" s="456" t="s">
        <v>404</v>
      </c>
      <c r="B50" s="34" t="s">
        <v>56</v>
      </c>
      <c r="C50" s="443" t="s">
        <v>57</v>
      </c>
      <c r="D50" s="36"/>
      <c r="E50" s="20">
        <f>'H2 production UK'!AF45</f>
        <v>40</v>
      </c>
      <c r="F50" s="20">
        <f>'H2 production UK'!AG45</f>
        <v>40</v>
      </c>
      <c r="G50" s="20">
        <f>'H2 production UK'!AH45</f>
        <v>40</v>
      </c>
      <c r="H50" s="20">
        <f>'H2 production UK'!AI45</f>
        <v>40</v>
      </c>
      <c r="I50" s="20">
        <f>'H2 production UK'!AJ45</f>
        <v>40</v>
      </c>
      <c r="J50" s="20">
        <f>'H2 production UK'!AK45</f>
        <v>40</v>
      </c>
      <c r="K50" s="21">
        <f>'H2 production UK'!AL45</f>
        <v>40</v>
      </c>
    </row>
    <row r="51" spans="1:11">
      <c r="A51" s="456" t="s">
        <v>404</v>
      </c>
      <c r="B51" s="453" t="s">
        <v>58</v>
      </c>
      <c r="C51" s="453" t="s">
        <v>379</v>
      </c>
      <c r="D51" s="36" t="s">
        <v>163</v>
      </c>
      <c r="E51" s="20">
        <f>'H2 production UK'!AF46</f>
        <v>0</v>
      </c>
      <c r="F51" s="20">
        <f>'H2 production UK'!AG46</f>
        <v>0</v>
      </c>
      <c r="G51" s="20">
        <f>'H2 production UK'!AH46</f>
        <v>0</v>
      </c>
      <c r="H51" s="20">
        <f>'H2 production UK'!AI46</f>
        <v>0</v>
      </c>
      <c r="I51" s="20">
        <f>'H2 production UK'!AJ46</f>
        <v>0</v>
      </c>
      <c r="J51" s="20">
        <f>'H2 production UK'!AK46</f>
        <v>0</v>
      </c>
      <c r="K51" s="21">
        <f>'H2 production UK'!AL46</f>
        <v>0</v>
      </c>
    </row>
    <row r="52" spans="1:11">
      <c r="A52" s="456" t="s">
        <v>404</v>
      </c>
      <c r="B52" s="453" t="s">
        <v>58</v>
      </c>
      <c r="C52" s="453" t="s">
        <v>379</v>
      </c>
      <c r="D52" s="36" t="s">
        <v>52</v>
      </c>
      <c r="E52" s="20">
        <f>'H2 production UK'!AF47</f>
        <v>400.41904012588515</v>
      </c>
      <c r="F52" s="20">
        <f>'H2 production UK'!AG47</f>
        <v>376.19457120377655</v>
      </c>
      <c r="G52" s="20">
        <f>'H2 production UK'!AH47</f>
        <v>352.72989771833204</v>
      </c>
      <c r="H52" s="20">
        <f>'H2 production UK'!AI47</f>
        <v>330.78481510621555</v>
      </c>
      <c r="I52" s="20">
        <f>'H2 production UK'!AJ47</f>
        <v>310.34563335955943</v>
      </c>
      <c r="J52" s="20">
        <f>'H2 production UK'!AK47</f>
        <v>291.41919748229742</v>
      </c>
      <c r="K52" s="21">
        <f>'H2 production UK'!AL47</f>
        <v>273.25255704169945</v>
      </c>
    </row>
    <row r="53" spans="1:11">
      <c r="A53" s="456" t="s">
        <v>404</v>
      </c>
      <c r="B53" s="453" t="s">
        <v>58</v>
      </c>
      <c r="C53" s="453" t="s">
        <v>379</v>
      </c>
      <c r="D53" s="36" t="s">
        <v>165</v>
      </c>
      <c r="E53" s="20">
        <f>'H2 production UK'!AF48</f>
        <v>0</v>
      </c>
      <c r="F53" s="20">
        <f>'H2 production UK'!AG48</f>
        <v>0</v>
      </c>
      <c r="G53" s="20">
        <f>'H2 production UK'!AH48</f>
        <v>0</v>
      </c>
      <c r="H53" s="20">
        <f>'H2 production UK'!AI48</f>
        <v>0</v>
      </c>
      <c r="I53" s="20">
        <f>'H2 production UK'!AJ48</f>
        <v>0</v>
      </c>
      <c r="J53" s="20">
        <f>'H2 production UK'!AK48</f>
        <v>0</v>
      </c>
      <c r="K53" s="21">
        <f>'H2 production UK'!AL48</f>
        <v>0</v>
      </c>
    </row>
    <row r="54" spans="1:11">
      <c r="A54" s="456" t="s">
        <v>404</v>
      </c>
      <c r="B54" s="453" t="s">
        <v>58</v>
      </c>
      <c r="C54" s="453" t="s">
        <v>379</v>
      </c>
      <c r="D54" s="36" t="s">
        <v>238</v>
      </c>
      <c r="E54" s="20">
        <f>'H2 production UK'!AF49</f>
        <v>0</v>
      </c>
      <c r="F54" s="20">
        <f>'H2 production UK'!AG49</f>
        <v>0</v>
      </c>
      <c r="G54" s="20">
        <f>'H2 production UK'!AH49</f>
        <v>0</v>
      </c>
      <c r="H54" s="20">
        <f>'H2 production UK'!AI49</f>
        <v>0</v>
      </c>
      <c r="I54" s="20">
        <f>'H2 production UK'!AJ49</f>
        <v>0</v>
      </c>
      <c r="J54" s="20">
        <f>'H2 production UK'!AK49</f>
        <v>0</v>
      </c>
      <c r="K54" s="21">
        <f>'H2 production UK'!AL49</f>
        <v>0</v>
      </c>
    </row>
    <row r="55" spans="1:11">
      <c r="A55" s="456" t="s">
        <v>404</v>
      </c>
      <c r="B55" s="452" t="s">
        <v>65</v>
      </c>
      <c r="C55" s="452" t="s">
        <v>380</v>
      </c>
      <c r="D55" s="36" t="s">
        <v>163</v>
      </c>
      <c r="E55" s="20">
        <f>'H2 production UK'!AF54</f>
        <v>0</v>
      </c>
      <c r="F55" s="20">
        <f>'H2 production UK'!AG54</f>
        <v>0</v>
      </c>
      <c r="G55" s="20">
        <f>'H2 production UK'!AH54</f>
        <v>0</v>
      </c>
      <c r="H55" s="20">
        <f>'H2 production UK'!AI54</f>
        <v>0</v>
      </c>
      <c r="I55" s="20">
        <f>'H2 production UK'!AJ54</f>
        <v>0</v>
      </c>
      <c r="J55" s="20">
        <f>'H2 production UK'!AK54</f>
        <v>0</v>
      </c>
      <c r="K55" s="21">
        <f>'H2 production UK'!AL54</f>
        <v>0</v>
      </c>
    </row>
    <row r="56" spans="1:11">
      <c r="A56" s="456" t="s">
        <v>404</v>
      </c>
      <c r="B56" s="452" t="s">
        <v>65</v>
      </c>
      <c r="C56" s="452" t="s">
        <v>380</v>
      </c>
      <c r="D56" s="36" t="s">
        <v>52</v>
      </c>
      <c r="E56" s="20">
        <f>'H2 production UK'!AF55</f>
        <v>19.213926042486232</v>
      </c>
      <c r="F56" s="20">
        <f>'H2 production UK'!AG55</f>
        <v>19.213926042486232</v>
      </c>
      <c r="G56" s="20">
        <f>'H2 production UK'!AH55</f>
        <v>19.213926042486232</v>
      </c>
      <c r="H56" s="20">
        <f>'H2 production UK'!AI55</f>
        <v>19.213926042486232</v>
      </c>
      <c r="I56" s="20">
        <f>'H2 production UK'!AJ55</f>
        <v>19.213926042486232</v>
      </c>
      <c r="J56" s="20">
        <f>'H2 production UK'!AK55</f>
        <v>19.213926042486232</v>
      </c>
      <c r="K56" s="21">
        <f>'H2 production UK'!AL55</f>
        <v>19.213926042486232</v>
      </c>
    </row>
    <row r="57" spans="1:11">
      <c r="A57" s="456" t="s">
        <v>404</v>
      </c>
      <c r="B57" s="452" t="s">
        <v>65</v>
      </c>
      <c r="C57" s="452" t="s">
        <v>380</v>
      </c>
      <c r="D57" s="36" t="s">
        <v>165</v>
      </c>
      <c r="E57" s="20">
        <f>'H2 production UK'!AF56</f>
        <v>0</v>
      </c>
      <c r="F57" s="20">
        <f>'H2 production UK'!AG56</f>
        <v>0</v>
      </c>
      <c r="G57" s="20">
        <f>'H2 production UK'!AH56</f>
        <v>0</v>
      </c>
      <c r="H57" s="20">
        <f>'H2 production UK'!AI56</f>
        <v>0</v>
      </c>
      <c r="I57" s="20">
        <f>'H2 production UK'!AJ56</f>
        <v>0</v>
      </c>
      <c r="J57" s="20">
        <f>'H2 production UK'!AK56</f>
        <v>0</v>
      </c>
      <c r="K57" s="21">
        <f>'H2 production UK'!AL56</f>
        <v>0</v>
      </c>
    </row>
    <row r="58" spans="1:11">
      <c r="A58" s="456" t="s">
        <v>404</v>
      </c>
      <c r="B58" s="452" t="s">
        <v>67</v>
      </c>
      <c r="C58" s="452" t="s">
        <v>80</v>
      </c>
      <c r="D58" s="36" t="s">
        <v>163</v>
      </c>
      <c r="E58" s="20">
        <f>'H2 production UK'!AF57</f>
        <v>0</v>
      </c>
      <c r="F58" s="20">
        <f>'H2 production UK'!AG57</f>
        <v>0</v>
      </c>
      <c r="G58" s="20">
        <f>'H2 production UK'!AH57</f>
        <v>0</v>
      </c>
      <c r="H58" s="20">
        <f>'H2 production UK'!AI57</f>
        <v>0</v>
      </c>
      <c r="I58" s="20">
        <f>'H2 production UK'!AJ57</f>
        <v>0</v>
      </c>
      <c r="J58" s="20">
        <f>'H2 production UK'!AK57</f>
        <v>0</v>
      </c>
      <c r="K58" s="21">
        <f>'H2 production UK'!AL57</f>
        <v>0</v>
      </c>
    </row>
    <row r="59" spans="1:11">
      <c r="A59" s="456" t="s">
        <v>404</v>
      </c>
      <c r="B59" s="452" t="s">
        <v>67</v>
      </c>
      <c r="C59" s="452" t="s">
        <v>80</v>
      </c>
      <c r="D59" s="36" t="s">
        <v>52</v>
      </c>
      <c r="E59" s="20">
        <f>'H2 production UK'!AF58</f>
        <v>4.4284590311340901E-3</v>
      </c>
      <c r="F59" s="20">
        <f>'H2 production UK'!AG58</f>
        <v>4.4284590311340901E-3</v>
      </c>
      <c r="G59" s="20">
        <f>'H2 production UK'!AH58</f>
        <v>4.4284590311340901E-3</v>
      </c>
      <c r="H59" s="20">
        <f>'H2 production UK'!AI58</f>
        <v>4.4284590311340901E-3</v>
      </c>
      <c r="I59" s="20">
        <f>'H2 production UK'!AJ58</f>
        <v>4.4284590311340901E-3</v>
      </c>
      <c r="J59" s="20">
        <f>'H2 production UK'!AK58</f>
        <v>4.4284590311340901E-3</v>
      </c>
      <c r="K59" s="21">
        <f>'H2 production UK'!AL58</f>
        <v>4.4284590311340901E-3</v>
      </c>
    </row>
    <row r="60" spans="1:11" ht="15.75" thickBot="1">
      <c r="A60" s="458" t="s">
        <v>404</v>
      </c>
      <c r="B60" s="459" t="s">
        <v>67</v>
      </c>
      <c r="C60" s="459" t="s">
        <v>400</v>
      </c>
      <c r="D60" s="171" t="s">
        <v>165</v>
      </c>
      <c r="E60" s="23">
        <f>'H2 production UK'!AF59</f>
        <v>0</v>
      </c>
      <c r="F60" s="23">
        <f>'H2 production UK'!AG59</f>
        <v>0</v>
      </c>
      <c r="G60" s="23">
        <f>'H2 production UK'!AH59</f>
        <v>0</v>
      </c>
      <c r="H60" s="23">
        <f>'H2 production UK'!AI59</f>
        <v>0</v>
      </c>
      <c r="I60" s="23">
        <f>'H2 production UK'!AJ59</f>
        <v>0</v>
      </c>
      <c r="J60" s="23">
        <f>'H2 production UK'!AK59</f>
        <v>0</v>
      </c>
      <c r="K60" s="24">
        <f>'H2 production UK'!AL59</f>
        <v>0</v>
      </c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Electricity</vt:lpstr>
      <vt:lpstr>DAC</vt:lpstr>
      <vt:lpstr>H2 production UK</vt:lpstr>
      <vt:lpstr>Electrolysis Validation UK</vt:lpstr>
      <vt:lpstr>Liquefaction</vt:lpstr>
      <vt:lpstr>PtL</vt:lpstr>
      <vt:lpstr>PBtL</vt:lpstr>
      <vt:lpstr>Summary-Electricity</vt:lpstr>
      <vt:lpstr>Summary-Hydrogen_Production</vt:lpstr>
      <vt:lpstr>Summary-Hydrogen_Liquefaction</vt:lpstr>
      <vt:lpstr>Summary-PtL</vt:lpstr>
      <vt:lpstr>Monetary</vt:lpstr>
      <vt:lpstr>Feuil1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a.salgas</dc:creator>
  <cp:lastModifiedBy>Antoine SALGAS</cp:lastModifiedBy>
  <dcterms:created xsi:type="dcterms:W3CDTF">2022-09-27T15:36:24Z</dcterms:created>
  <dcterms:modified xsi:type="dcterms:W3CDTF">2024-04-15T15:16:30Z</dcterms:modified>
</cp:coreProperties>
</file>