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tsu_000\Dropbox (MIT)\Mars2040 (1)\Modelling\Math From Team\"/>
    </mc:Choice>
  </mc:AlternateContent>
  <bookViews>
    <workbookView xWindow="0" yWindow="0" windowWidth="20490" windowHeight="7455" tabRatio="780" activeTab="5"/>
  </bookViews>
  <sheets>
    <sheet name="Summary" sheetId="13" r:id="rId1"/>
    <sheet name="Input" sheetId="10" r:id="rId2"/>
    <sheet name="Gas InOut" sheetId="8" r:id="rId3"/>
    <sheet name="Water InOut" sheetId="9" r:id="rId4"/>
    <sheet name="Crop" sheetId="12" r:id="rId5"/>
    <sheet name="MassEstimate" sheetId="7" r:id="rId6"/>
    <sheet name="Assumption" sheetId="14" r:id="rId7"/>
    <sheet name="MorphMatrix" sheetId="2" r:id="rId8"/>
    <sheet name="Failure Condition" sheetId="3" r:id="rId9"/>
    <sheet name="ALSSAT Table" sheetId="6" r:id="rId10"/>
    <sheet name="Todolist" sheetId="4" r:id="rId1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0" i="7" l="1"/>
  <c r="Q149" i="7"/>
  <c r="U110" i="7"/>
  <c r="Q108" i="7"/>
  <c r="P108" i="7"/>
  <c r="P106" i="7"/>
  <c r="P105" i="7"/>
  <c r="P104" i="7"/>
  <c r="C23" i="10"/>
  <c r="M6" i="12"/>
  <c r="M8" i="12"/>
  <c r="M9" i="12"/>
  <c r="M11" i="12"/>
  <c r="M12" i="12"/>
  <c r="L6" i="12"/>
  <c r="L8" i="12"/>
  <c r="L9" i="12"/>
  <c r="L11" i="12"/>
  <c r="L12" i="12"/>
  <c r="R18" i="12"/>
  <c r="R19" i="12"/>
  <c r="M4" i="12"/>
  <c r="Q4" i="12"/>
  <c r="M5" i="12"/>
  <c r="Q5" i="12"/>
  <c r="Q6" i="12"/>
  <c r="M7" i="12"/>
  <c r="Q7" i="12"/>
  <c r="Q8" i="12"/>
  <c r="Q9" i="12"/>
  <c r="M10" i="12"/>
  <c r="Q10" i="12"/>
  <c r="Q11" i="12"/>
  <c r="Q12" i="12"/>
  <c r="Q13" i="12"/>
  <c r="Q24" i="12"/>
  <c r="R25" i="12"/>
  <c r="R4" i="12"/>
  <c r="R5" i="12"/>
  <c r="R6" i="12"/>
  <c r="R7" i="12"/>
  <c r="R8" i="12"/>
  <c r="R9" i="12"/>
  <c r="R10" i="12"/>
  <c r="R11" i="12"/>
  <c r="R12" i="12"/>
  <c r="R13" i="12"/>
  <c r="R24" i="12"/>
  <c r="S24" i="12"/>
  <c r="S25" i="12"/>
  <c r="R23" i="12"/>
  <c r="R26" i="12"/>
  <c r="Q23" i="12"/>
  <c r="Q26" i="12"/>
  <c r="S26" i="12"/>
  <c r="S27" i="12"/>
  <c r="S23" i="12"/>
  <c r="C24" i="10"/>
  <c r="I14" i="13"/>
  <c r="I15" i="13"/>
  <c r="R16" i="12"/>
  <c r="R17" i="12"/>
  <c r="C30" i="10"/>
  <c r="I16" i="13"/>
  <c r="I17" i="13"/>
  <c r="V4" i="12"/>
  <c r="V5" i="12"/>
  <c r="V110" i="7"/>
  <c r="M2" i="13"/>
  <c r="P2" i="13"/>
  <c r="R2" i="13"/>
  <c r="N4" i="12"/>
  <c r="N5" i="12"/>
  <c r="N6" i="12"/>
  <c r="N7" i="12"/>
  <c r="N8" i="12"/>
  <c r="N9" i="12"/>
  <c r="N10" i="12"/>
  <c r="N11" i="12"/>
  <c r="N12" i="12"/>
  <c r="N13" i="12"/>
  <c r="I10" i="8"/>
  <c r="D11" i="8"/>
  <c r="C10" i="10"/>
  <c r="C11" i="10"/>
  <c r="C12" i="10"/>
  <c r="C13" i="10"/>
  <c r="I5" i="8"/>
  <c r="M7" i="8"/>
  <c r="I6" i="8"/>
  <c r="I7" i="8"/>
  <c r="D8" i="8"/>
  <c r="D7" i="8"/>
  <c r="D12" i="8"/>
  <c r="D13" i="8"/>
  <c r="D16" i="8"/>
  <c r="D18" i="8"/>
  <c r="D10" i="13"/>
  <c r="C15" i="10"/>
  <c r="C18" i="10"/>
  <c r="M13" i="8"/>
  <c r="I8" i="8"/>
  <c r="D19" i="8"/>
  <c r="I9" i="8"/>
  <c r="D20" i="8"/>
  <c r="D17" i="8"/>
  <c r="AA12" i="7"/>
  <c r="D12" i="7"/>
  <c r="L12" i="7"/>
  <c r="M12" i="7"/>
  <c r="P12" i="7"/>
  <c r="C20" i="10"/>
  <c r="I18" i="8"/>
  <c r="I19" i="8"/>
  <c r="D23" i="8"/>
  <c r="I20" i="8"/>
  <c r="D24" i="8"/>
  <c r="I21" i="8"/>
  <c r="D22" i="8"/>
  <c r="D25" i="8"/>
  <c r="D37" i="8"/>
  <c r="AA22" i="7"/>
  <c r="D22" i="7"/>
  <c r="L22" i="7"/>
  <c r="M22" i="7"/>
  <c r="P22" i="7"/>
  <c r="I4" i="9"/>
  <c r="I5" i="9"/>
  <c r="D8" i="9"/>
  <c r="D7" i="9"/>
  <c r="D16" i="9"/>
  <c r="P4" i="12"/>
  <c r="T4" i="12"/>
  <c r="U4" i="12"/>
  <c r="P5" i="12"/>
  <c r="T5" i="12"/>
  <c r="U5" i="12"/>
  <c r="P6" i="12"/>
  <c r="T6" i="12"/>
  <c r="U6" i="12"/>
  <c r="P7" i="12"/>
  <c r="T7" i="12"/>
  <c r="U7" i="12"/>
  <c r="P8" i="12"/>
  <c r="T8" i="12"/>
  <c r="U8" i="12"/>
  <c r="P9" i="12"/>
  <c r="T9" i="12"/>
  <c r="U9" i="12"/>
  <c r="P10" i="12"/>
  <c r="T10" i="12"/>
  <c r="U10" i="12"/>
  <c r="P11" i="12"/>
  <c r="T11" i="12"/>
  <c r="U11" i="12"/>
  <c r="P12" i="12"/>
  <c r="T12" i="12"/>
  <c r="U12" i="12"/>
  <c r="U13" i="12"/>
  <c r="I19" i="9"/>
  <c r="D42" i="9"/>
  <c r="T13" i="12"/>
  <c r="I21" i="9"/>
  <c r="D43" i="9"/>
  <c r="P13" i="12"/>
  <c r="I18" i="9"/>
  <c r="D44" i="9"/>
  <c r="D41" i="9"/>
  <c r="D22" i="9"/>
  <c r="I7" i="9"/>
  <c r="D17" i="9"/>
  <c r="I9" i="9"/>
  <c r="D18" i="9"/>
  <c r="I11" i="9"/>
  <c r="D19" i="9"/>
  <c r="I13" i="9"/>
  <c r="D20" i="9"/>
  <c r="I15" i="9"/>
  <c r="D21" i="9"/>
  <c r="D15" i="9"/>
  <c r="D38" i="9"/>
  <c r="AA56" i="7"/>
  <c r="D56" i="7"/>
  <c r="L56" i="7"/>
  <c r="M56" i="7"/>
  <c r="P56" i="7"/>
  <c r="AA64" i="7"/>
  <c r="D64" i="7"/>
  <c r="F64" i="7"/>
  <c r="L64" i="7"/>
  <c r="M58" i="7"/>
  <c r="M59" i="7"/>
  <c r="M60" i="7"/>
  <c r="M61" i="7"/>
  <c r="M62" i="7"/>
  <c r="M63" i="7"/>
  <c r="M64" i="7"/>
  <c r="P64" i="7"/>
  <c r="O4" i="12"/>
  <c r="O5" i="12"/>
  <c r="O6" i="12"/>
  <c r="O7" i="12"/>
  <c r="O8" i="12"/>
  <c r="O9" i="12"/>
  <c r="O10" i="12"/>
  <c r="O11" i="12"/>
  <c r="O12" i="12"/>
  <c r="O13" i="12"/>
  <c r="D44" i="8"/>
  <c r="D43" i="8"/>
  <c r="AA75" i="7"/>
  <c r="D75" i="7"/>
  <c r="F75" i="7"/>
  <c r="L75" i="7"/>
  <c r="M75" i="7"/>
  <c r="P75" i="7"/>
  <c r="P77" i="7"/>
  <c r="F79" i="7"/>
  <c r="L79" i="7"/>
  <c r="P79" i="7"/>
  <c r="I8" i="9"/>
  <c r="D11" i="9"/>
  <c r="D12" i="9"/>
  <c r="D25" i="9"/>
  <c r="AA33" i="7"/>
  <c r="D33" i="7"/>
  <c r="F33" i="7"/>
  <c r="L33" i="7"/>
  <c r="M33" i="7"/>
  <c r="P33" i="7"/>
  <c r="I10" i="9"/>
  <c r="D29" i="9"/>
  <c r="AA40" i="7"/>
  <c r="D40" i="7"/>
  <c r="L40" i="7"/>
  <c r="M40" i="7"/>
  <c r="P40" i="7"/>
  <c r="P100" i="7"/>
  <c r="P158" i="7"/>
  <c r="M4" i="13"/>
  <c r="E7" i="7"/>
  <c r="E12" i="7"/>
  <c r="Q12" i="7"/>
  <c r="E22" i="7"/>
  <c r="Q22" i="7"/>
  <c r="E56" i="7"/>
  <c r="Q56" i="7"/>
  <c r="E63" i="7"/>
  <c r="E64" i="7"/>
  <c r="Q64" i="7"/>
  <c r="E75" i="7"/>
  <c r="Q75" i="7"/>
  <c r="D114" i="7"/>
  <c r="E114" i="7"/>
  <c r="Q77" i="7"/>
  <c r="E79" i="7"/>
  <c r="Q79" i="7"/>
  <c r="E33" i="7"/>
  <c r="Q33" i="7"/>
  <c r="E40" i="7"/>
  <c r="Q40" i="7"/>
  <c r="Q100" i="7"/>
  <c r="Q158" i="7"/>
  <c r="N4" i="13"/>
  <c r="I12" i="7"/>
  <c r="R12" i="7"/>
  <c r="R22" i="7"/>
  <c r="I56" i="7"/>
  <c r="R56" i="7"/>
  <c r="H64" i="7"/>
  <c r="I64" i="7"/>
  <c r="R64" i="7"/>
  <c r="H75" i="7"/>
  <c r="I75" i="7"/>
  <c r="R75" i="7"/>
  <c r="R79" i="7"/>
  <c r="R33" i="7"/>
  <c r="I40" i="7"/>
  <c r="R40" i="7"/>
  <c r="R100" i="7"/>
  <c r="R158" i="7"/>
  <c r="O4" i="13"/>
  <c r="S12" i="7"/>
  <c r="S22" i="7"/>
  <c r="S56" i="7"/>
  <c r="S64" i="7"/>
  <c r="S75" i="7"/>
  <c r="S77" i="7"/>
  <c r="S79" i="7"/>
  <c r="S33" i="7"/>
  <c r="S40" i="7"/>
  <c r="S100" i="7"/>
  <c r="S158" i="7"/>
  <c r="P4" i="13"/>
  <c r="T12" i="7"/>
  <c r="T22" i="7"/>
  <c r="T56" i="7"/>
  <c r="T64" i="7"/>
  <c r="T75" i="7"/>
  <c r="T77" i="7"/>
  <c r="T79" i="7"/>
  <c r="T33" i="7"/>
  <c r="T40" i="7"/>
  <c r="T100" i="7"/>
  <c r="T158" i="7"/>
  <c r="Q4" i="13"/>
  <c r="U158" i="7"/>
  <c r="R4" i="13"/>
  <c r="V158" i="7"/>
  <c r="S4" i="13"/>
  <c r="D107" i="7"/>
  <c r="P107" i="7"/>
  <c r="D106" i="7"/>
  <c r="P102" i="7"/>
  <c r="P103" i="7"/>
  <c r="P112" i="7"/>
  <c r="P159" i="7"/>
  <c r="M5" i="13"/>
  <c r="Q107" i="7"/>
  <c r="Q106" i="7"/>
  <c r="Q102" i="7"/>
  <c r="Q103" i="7"/>
  <c r="Q104" i="7"/>
  <c r="Q105" i="7"/>
  <c r="Q112" i="7"/>
  <c r="Q159" i="7"/>
  <c r="N5" i="13"/>
  <c r="R112" i="7"/>
  <c r="R159" i="7"/>
  <c r="O5" i="13"/>
  <c r="S107" i="7"/>
  <c r="S106" i="7"/>
  <c r="S102" i="7"/>
  <c r="S103" i="7"/>
  <c r="S104" i="7"/>
  <c r="S105" i="7"/>
  <c r="S108" i="7"/>
  <c r="S112" i="7"/>
  <c r="S159" i="7"/>
  <c r="P5" i="13"/>
  <c r="T107" i="7"/>
  <c r="T106" i="7"/>
  <c r="T102" i="7"/>
  <c r="T103" i="7"/>
  <c r="T104" i="7"/>
  <c r="T105" i="7"/>
  <c r="T108" i="7"/>
  <c r="T112" i="7"/>
  <c r="T159" i="7"/>
  <c r="Q5" i="13"/>
  <c r="U112" i="7"/>
  <c r="U159" i="7"/>
  <c r="R5" i="13"/>
  <c r="V112" i="7"/>
  <c r="V159" i="7"/>
  <c r="S5" i="13"/>
  <c r="P114" i="7"/>
  <c r="P116" i="7"/>
  <c r="P160" i="7"/>
  <c r="M6" i="13"/>
  <c r="Q114" i="7"/>
  <c r="Q116" i="7"/>
  <c r="Q160" i="7"/>
  <c r="N6" i="13"/>
  <c r="R116" i="7"/>
  <c r="R160" i="7"/>
  <c r="O6" i="13"/>
  <c r="S114" i="7"/>
  <c r="S116" i="7"/>
  <c r="S160" i="7"/>
  <c r="P6" i="13"/>
  <c r="T114" i="7"/>
  <c r="T116" i="7"/>
  <c r="T160" i="7"/>
  <c r="Q6" i="13"/>
  <c r="U160" i="7"/>
  <c r="R6" i="13"/>
  <c r="V160" i="7"/>
  <c r="S6" i="13"/>
  <c r="P136" i="7"/>
  <c r="P143" i="7"/>
  <c r="P119" i="7"/>
  <c r="P120" i="7"/>
  <c r="P121" i="7"/>
  <c r="P123" i="7"/>
  <c r="P124" i="7"/>
  <c r="P126" i="7"/>
  <c r="P129" i="7"/>
  <c r="P130" i="7"/>
  <c r="P134" i="7"/>
  <c r="P135" i="7"/>
  <c r="P137" i="7"/>
  <c r="P138" i="7"/>
  <c r="P142" i="7"/>
  <c r="P144" i="7"/>
  <c r="D146" i="7"/>
  <c r="P146" i="7"/>
  <c r="D147" i="7"/>
  <c r="P147" i="7"/>
  <c r="D148" i="7"/>
  <c r="P148" i="7"/>
  <c r="P149" i="7"/>
  <c r="D150" i="7"/>
  <c r="P150" i="7"/>
  <c r="P152" i="7"/>
  <c r="P161" i="7"/>
  <c r="M7" i="13"/>
  <c r="Q136" i="7"/>
  <c r="Q143" i="7"/>
  <c r="Q119" i="7"/>
  <c r="Q120" i="7"/>
  <c r="Q121" i="7"/>
  <c r="Q123" i="7"/>
  <c r="Q124" i="7"/>
  <c r="Q126" i="7"/>
  <c r="Q129" i="7"/>
  <c r="Q130" i="7"/>
  <c r="Q134" i="7"/>
  <c r="Q135" i="7"/>
  <c r="Q137" i="7"/>
  <c r="Q138" i="7"/>
  <c r="Q142" i="7"/>
  <c r="Q144" i="7"/>
  <c r="E146" i="7"/>
  <c r="Q146" i="7"/>
  <c r="E147" i="7"/>
  <c r="Q147" i="7"/>
  <c r="E148" i="7"/>
  <c r="Q148" i="7"/>
  <c r="E149" i="7"/>
  <c r="E150" i="7"/>
  <c r="Q152" i="7"/>
  <c r="Q161" i="7"/>
  <c r="N7" i="13"/>
  <c r="I119" i="7"/>
  <c r="R119" i="7"/>
  <c r="I120" i="7"/>
  <c r="R120" i="7"/>
  <c r="I121" i="7"/>
  <c r="R121" i="7"/>
  <c r="I124" i="7"/>
  <c r="R124" i="7"/>
  <c r="I129" i="7"/>
  <c r="R129" i="7"/>
  <c r="I134" i="7"/>
  <c r="R134" i="7"/>
  <c r="I135" i="7"/>
  <c r="R135" i="7"/>
  <c r="I137" i="7"/>
  <c r="R137" i="7"/>
  <c r="I142" i="7"/>
  <c r="R142" i="7"/>
  <c r="I146" i="7"/>
  <c r="R146" i="7"/>
  <c r="I147" i="7"/>
  <c r="R147" i="7"/>
  <c r="I148" i="7"/>
  <c r="R148" i="7"/>
  <c r="R152" i="7"/>
  <c r="R161" i="7"/>
  <c r="O7" i="13"/>
  <c r="S136" i="7"/>
  <c r="S143" i="7"/>
  <c r="S119" i="7"/>
  <c r="S120" i="7"/>
  <c r="S121" i="7"/>
  <c r="S123" i="7"/>
  <c r="S124" i="7"/>
  <c r="S126" i="7"/>
  <c r="S129" i="7"/>
  <c r="S130" i="7"/>
  <c r="S134" i="7"/>
  <c r="S135" i="7"/>
  <c r="S137" i="7"/>
  <c r="S138" i="7"/>
  <c r="S142" i="7"/>
  <c r="S144" i="7"/>
  <c r="S146" i="7"/>
  <c r="S147" i="7"/>
  <c r="S148" i="7"/>
  <c r="S149" i="7"/>
  <c r="S150" i="7"/>
  <c r="S152" i="7"/>
  <c r="S161" i="7"/>
  <c r="P7" i="13"/>
  <c r="T136" i="7"/>
  <c r="T143" i="7"/>
  <c r="T119" i="7"/>
  <c r="T120" i="7"/>
  <c r="T121" i="7"/>
  <c r="T123" i="7"/>
  <c r="T124" i="7"/>
  <c r="T126" i="7"/>
  <c r="T129" i="7"/>
  <c r="T130" i="7"/>
  <c r="T134" i="7"/>
  <c r="T135" i="7"/>
  <c r="T137" i="7"/>
  <c r="T138" i="7"/>
  <c r="T142" i="7"/>
  <c r="T144" i="7"/>
  <c r="T146" i="7"/>
  <c r="T147" i="7"/>
  <c r="T148" i="7"/>
  <c r="T149" i="7"/>
  <c r="T150" i="7"/>
  <c r="T152" i="7"/>
  <c r="T161" i="7"/>
  <c r="Q7" i="13"/>
  <c r="U122" i="7"/>
  <c r="U125" i="7"/>
  <c r="U127" i="7"/>
  <c r="U128" i="7"/>
  <c r="U131" i="7"/>
  <c r="U132" i="7"/>
  <c r="U133" i="7"/>
  <c r="U139" i="7"/>
  <c r="U140" i="7"/>
  <c r="U141" i="7"/>
  <c r="U145" i="7"/>
  <c r="U152" i="7"/>
  <c r="U161" i="7"/>
  <c r="R7" i="13"/>
  <c r="V122" i="7"/>
  <c r="V125" i="7"/>
  <c r="V127" i="7"/>
  <c r="V128" i="7"/>
  <c r="V131" i="7"/>
  <c r="V132" i="7"/>
  <c r="V133" i="7"/>
  <c r="V139" i="7"/>
  <c r="V140" i="7"/>
  <c r="V141" i="7"/>
  <c r="V145" i="7"/>
  <c r="V152" i="7"/>
  <c r="V161" i="7"/>
  <c r="S7" i="13"/>
  <c r="P162" i="7"/>
  <c r="M8" i="13"/>
  <c r="Q162" i="7"/>
  <c r="N8" i="13"/>
  <c r="R162" i="7"/>
  <c r="O8" i="13"/>
  <c r="S162" i="7"/>
  <c r="P8" i="13"/>
  <c r="T162" i="7"/>
  <c r="Q8" i="13"/>
  <c r="U162" i="7"/>
  <c r="R8" i="13"/>
  <c r="V162" i="7"/>
  <c r="S8" i="13"/>
  <c r="L4" i="13"/>
  <c r="L5" i="13"/>
  <c r="L6" i="13"/>
  <c r="L7" i="13"/>
  <c r="L8" i="13"/>
  <c r="I12" i="13"/>
  <c r="I144" i="7"/>
  <c r="I138" i="7"/>
  <c r="I136" i="7"/>
  <c r="I126" i="7"/>
  <c r="I10" i="13"/>
  <c r="I9" i="13"/>
  <c r="Q14" i="12"/>
  <c r="R14" i="12"/>
  <c r="S4" i="12"/>
  <c r="S5" i="12"/>
  <c r="S6" i="12"/>
  <c r="S7" i="12"/>
  <c r="S8" i="12"/>
  <c r="S9" i="12"/>
  <c r="S10" i="12"/>
  <c r="S11" i="12"/>
  <c r="S12" i="12"/>
  <c r="S13" i="12"/>
  <c r="S14" i="12"/>
  <c r="T14" i="12"/>
  <c r="U14" i="12"/>
  <c r="D26" i="9"/>
  <c r="D34" i="9"/>
  <c r="D30" i="9"/>
  <c r="D35" i="9"/>
  <c r="D36" i="9"/>
  <c r="D37" i="9"/>
  <c r="E108" i="7"/>
  <c r="D108" i="7"/>
  <c r="D66" i="6"/>
  <c r="E63" i="6"/>
  <c r="D63" i="6"/>
  <c r="E61" i="6"/>
  <c r="D61" i="6"/>
  <c r="D7" i="6"/>
  <c r="M13" i="12"/>
  <c r="B13" i="12"/>
  <c r="D31" i="9"/>
  <c r="I16" i="9"/>
  <c r="I14" i="9"/>
  <c r="I12" i="9"/>
  <c r="D40" i="8"/>
  <c r="D41" i="8"/>
  <c r="C21" i="10"/>
  <c r="I13" i="8"/>
  <c r="I14" i="8"/>
  <c r="D28" i="8"/>
  <c r="I15" i="8"/>
  <c r="D29" i="8"/>
  <c r="D27" i="8"/>
  <c r="D33" i="8"/>
  <c r="D32" i="8"/>
  <c r="C7" i="10"/>
  <c r="AA114" i="7"/>
  <c r="E110" i="7"/>
  <c r="D110" i="7"/>
  <c r="E105" i="7"/>
  <c r="E103" i="7"/>
  <c r="D103" i="7"/>
  <c r="E102" i="7"/>
  <c r="D102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M89" i="7"/>
  <c r="E89" i="7"/>
  <c r="D89" i="7"/>
  <c r="M88" i="7"/>
  <c r="E88" i="7"/>
  <c r="D88" i="7"/>
  <c r="M87" i="7"/>
  <c r="E87" i="7"/>
  <c r="D87" i="7"/>
  <c r="M86" i="7"/>
  <c r="E86" i="7"/>
  <c r="D86" i="7"/>
  <c r="M85" i="7"/>
  <c r="E85" i="7"/>
  <c r="D85" i="7"/>
  <c r="M84" i="7"/>
  <c r="E84" i="7"/>
  <c r="D84" i="7"/>
  <c r="M83" i="7"/>
  <c r="E83" i="7"/>
  <c r="D83" i="7"/>
  <c r="M82" i="7"/>
  <c r="E82" i="7"/>
  <c r="D82" i="7"/>
  <c r="M81" i="7"/>
  <c r="E81" i="7"/>
  <c r="D81" i="7"/>
  <c r="J79" i="7"/>
  <c r="E76" i="7"/>
  <c r="M57" i="7"/>
  <c r="I7" i="13"/>
  <c r="I6" i="13"/>
  <c r="I5" i="13"/>
  <c r="I4" i="13"/>
</calcChain>
</file>

<file path=xl/comments1.xml><?xml version="1.0" encoding="utf-8"?>
<comments xmlns="http://schemas.openxmlformats.org/spreadsheetml/2006/main">
  <authors>
    <author>Tatsuya Doi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Can be used as a part of CO2 in Sabatier Cycle to generate H2O from CO2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Spares, consumables(clothes etc)
not include ISRU materials(H2 etc)</t>
        </r>
      </text>
    </comment>
  </commentList>
</comments>
</file>

<file path=xl/comments2.xml><?xml version="1.0" encoding="utf-8"?>
<comments xmlns="http://schemas.openxmlformats.org/spreadsheetml/2006/main">
  <authors>
    <author>Tatsuya Doi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35 years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will drive caloric demand, but not included for analysis so far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35 years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Input from Aravind</t>
        </r>
      </text>
    </comment>
  </commentList>
</comments>
</file>

<file path=xl/comments3.xml><?xml version="1.0" encoding="utf-8"?>
<comments xmlns="http://schemas.openxmlformats.org/spreadsheetml/2006/main">
  <authors>
    <author>Tatsuya Doi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Assume no recovery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Depend on the suply from ORA. If Supply is too much, we need the vent of O2.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Output to ISRU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Reaction:
CO2 + 4H2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Output to ISRU team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Add this CO2 to CRA input(ISRU part)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Assume there is no CO2 recovery from food process</t>
        </r>
      </text>
    </comment>
  </commentList>
</comments>
</file>

<file path=xl/comments4.xml><?xml version="1.0" encoding="utf-8"?>
<comments xmlns="http://schemas.openxmlformats.org/spreadsheetml/2006/main">
  <authors>
    <author>Tatsuya Doi</author>
  </authors>
  <commentList>
    <comment ref="N4" authorId="0" shapeId="0">
      <text>
        <r>
          <rPr>
            <b/>
            <sz val="9"/>
            <color indexed="81"/>
            <rFont val="Tahoma"/>
            <family val="2"/>
          </rPr>
          <t>Can't be recovered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Maybe recovered from Urine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Include rehydrated water for dry food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In BVAD 2015, Laundry usage is 1.8m3(too small?)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Base on the assumption that all water except crop-contained water can be recovered</t>
        </r>
      </text>
    </comment>
    <comment ref="O26" authorId="0" shapeId="0">
      <text>
        <r>
          <rPr>
            <sz val="9"/>
            <color indexed="81"/>
            <rFont val="Tahoma"/>
            <family val="2"/>
          </rPr>
          <t>Not used. Water Consumption Rate is based on "CropData" tab now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Hygiene, Shower and Laundry</t>
        </r>
      </text>
    </comment>
  </commentList>
</comments>
</file>

<file path=xl/comments5.xml><?xml version="1.0" encoding="utf-8"?>
<comments xmlns="http://schemas.openxmlformats.org/spreadsheetml/2006/main">
  <authors>
    <author>Tatsuya Doi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Edible Dry Mass Base? What is the difference from E column?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MarsOne x 5 x Grow Crop Fraction (Initially 50%)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Uses the data of BVAP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Based on the assumption that
"Water Intake = Water transpiration + Water in crops"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Used Peanuts Data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Some part recovered by food process
(See Water InOut tab)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50% of daily food</t>
        </r>
      </text>
    </comment>
  </commentList>
</comments>
</file>

<file path=xl/comments6.xml><?xml version="1.0" encoding="utf-8"?>
<comments xmlns="http://schemas.openxmlformats.org/spreadsheetml/2006/main">
  <authors>
    <author>Tatsuya Doi</author>
    <author/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Need to bring before stable condition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Need Resupply periodically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Need Resupply periodically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Linear assumption based on Spec comparison</t>
        </r>
      </text>
    </comment>
    <comment ref="E7" authorId="1" shapeId="0">
      <text>
        <r>
          <rPr>
            <sz val="10"/>
            <rFont val="Arial"/>
            <family val="2"/>
          </rPr>
          <t>Analogy to Oxygen Outlet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53min fullpower(2971W), 37min standby(469W)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CDRA components = ORA components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If no BPS, ORA isn't needed</t>
        </r>
      </text>
    </comment>
    <comment ref="J15" authorId="1" shapeId="0">
      <text>
        <r>
          <rPr>
            <sz val="10"/>
            <rFont val="Arial"/>
            <family val="2"/>
          </rPr>
          <t>Analogy to TCCV in CCAA</t>
        </r>
      </text>
    </comment>
    <comment ref="J32" authorId="1" shapeId="0">
      <text>
        <r>
          <rPr>
            <sz val="10"/>
            <rFont val="Arial"/>
            <family val="2"/>
          </rPr>
          <t>Analogy to Heat Exchanger Liquid Sensor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Max capacity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Max Cap, 11866L/min airflow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Minimum Cap, 1444L/min airflow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Nominal Rate.
Max:13.6L/day in 18 hour operation 
Status of the Regenerative ECLSS Water Recovery and Oxygen Generation Systems (2006)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315W(operation), 56W(standby)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11.12hour Work, Rest Standby(8.4kg/day)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ECLSS Design for the International Space Station Nodes 2 and 3
5.9kg/hr, so 15.83hr operation time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320W(processing), 133W(Standby)
Status of the Regenerative ECLSS Water Recovery and Oxygen Generation Systems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15.83hr work, rest standby</t>
        </r>
      </text>
    </comment>
    <comment ref="D57" authorId="1" shapeId="0">
      <text>
        <r>
          <rPr>
            <sz val="10"/>
            <rFont val="Arial"/>
            <family val="2"/>
          </rPr>
          <t>ref. SAE 2001-01-2293</t>
        </r>
      </text>
    </comment>
    <comment ref="E57" authorId="1" shapeId="0">
      <text>
        <r>
          <rPr>
            <sz val="10"/>
            <rFont val="Arial"/>
            <family val="2"/>
          </rPr>
          <t>ref. SAE 2001-01-2293</t>
        </r>
      </text>
    </comment>
    <comment ref="J57" authorId="1" shapeId="0">
      <text>
        <r>
          <rPr>
            <sz val="10"/>
            <rFont val="Arial"/>
            <family val="2"/>
          </rPr>
          <t>ref. AIAA 2011-5271</t>
        </r>
      </text>
    </comment>
    <comment ref="L57" authorId="1" shapeId="0">
      <text>
        <r>
          <rPr>
            <sz val="10"/>
            <rFont val="Arial"/>
            <family val="2"/>
          </rPr>
          <t>ref. AIAA 2011-5271</t>
        </r>
      </text>
    </comment>
    <comment ref="M57" authorId="1" shapeId="0">
      <text>
        <r>
          <rPr>
            <sz val="10"/>
            <rFont val="Arial"/>
            <family val="2"/>
          </rPr>
          <t>ref. AIAA 2011-5271</t>
        </r>
      </text>
    </comment>
    <comment ref="D58" authorId="1" shapeId="0">
      <text>
        <r>
          <rPr>
            <sz val="10"/>
            <rFont val="Arial"/>
            <family val="2"/>
          </rPr>
          <t>Analogy to CCAA CHX</t>
        </r>
      </text>
    </comment>
    <comment ref="E58" authorId="1" shapeId="0">
      <text>
        <r>
          <rPr>
            <sz val="10"/>
            <rFont val="Arial"/>
            <family val="2"/>
          </rPr>
          <t>Analogy to CCAA CHX</t>
        </r>
      </text>
    </comment>
    <comment ref="J58" authorId="1" shapeId="0">
      <text>
        <r>
          <rPr>
            <sz val="10"/>
            <rFont val="Arial"/>
            <family val="2"/>
          </rPr>
          <t>Analogy to CCAA CHX</t>
        </r>
      </text>
    </comment>
    <comment ref="L58" authorId="1" shapeId="0">
      <text>
        <r>
          <rPr>
            <sz val="10"/>
            <rFont val="Arial"/>
            <family val="2"/>
          </rPr>
          <t>ref. AIAA 2011-5271</t>
        </r>
      </text>
    </comment>
    <comment ref="M58" authorId="1" shapeId="0">
      <text>
        <r>
          <rPr>
            <sz val="10"/>
            <rFont val="Arial"/>
            <family val="2"/>
          </rPr>
          <t>ref. AIAA 2011-5271</t>
        </r>
      </text>
    </comment>
    <comment ref="D59" authorId="1" shapeId="0">
      <text>
        <r>
          <rPr>
            <sz val="10"/>
            <rFont val="Arial"/>
            <family val="2"/>
          </rPr>
          <t>Analogy to CCAA Water Separator</t>
        </r>
      </text>
    </comment>
    <comment ref="E59" authorId="1" shapeId="0">
      <text>
        <r>
          <rPr>
            <sz val="10"/>
            <rFont val="Arial"/>
            <family val="2"/>
          </rPr>
          <t>Analogy to CCAA Water Separator</t>
        </r>
      </text>
    </comment>
    <comment ref="J59" authorId="1" shapeId="0">
      <text>
        <r>
          <rPr>
            <sz val="10"/>
            <rFont val="Arial"/>
            <family val="2"/>
          </rPr>
          <t>Analogy to CCAA Water Separator</t>
        </r>
      </text>
    </comment>
    <comment ref="L59" authorId="1" shapeId="0">
      <text>
        <r>
          <rPr>
            <sz val="10"/>
            <rFont val="Arial"/>
            <family val="2"/>
          </rPr>
          <t>ref. AIAA 2011-5271</t>
        </r>
      </text>
    </comment>
    <comment ref="M59" authorId="1" shapeId="0">
      <text>
        <r>
          <rPr>
            <sz val="10"/>
            <rFont val="Arial"/>
            <family val="2"/>
          </rPr>
          <t>ref. AIAA 2011-5271</t>
        </r>
      </text>
    </comment>
    <comment ref="D60" authorId="1" shapeId="0">
      <text>
        <r>
          <rPr>
            <sz val="10"/>
            <rFont val="Arial"/>
            <family val="2"/>
          </rPr>
          <t>Analogy to CDRA Selector Valves</t>
        </r>
      </text>
    </comment>
    <comment ref="E60" authorId="1" shapeId="0">
      <text>
        <r>
          <rPr>
            <sz val="10"/>
            <rFont val="Arial"/>
            <family val="2"/>
          </rPr>
          <t>Analogy to CDRA Selector Valves</t>
        </r>
      </text>
    </comment>
    <comment ref="J60" authorId="1" shapeId="0">
      <text>
        <r>
          <rPr>
            <sz val="10"/>
            <rFont val="Arial"/>
            <family val="2"/>
          </rPr>
          <t>Analogy to CDRA Selector Valves</t>
        </r>
      </text>
    </comment>
    <comment ref="L60" authorId="1" shapeId="0">
      <text>
        <r>
          <rPr>
            <sz val="10"/>
            <rFont val="Arial"/>
            <family val="2"/>
          </rPr>
          <t>ref. AIAA 2011-5271</t>
        </r>
      </text>
    </comment>
    <comment ref="M60" authorId="1" shapeId="0">
      <text>
        <r>
          <rPr>
            <sz val="10"/>
            <rFont val="Arial"/>
            <family val="2"/>
          </rPr>
          <t>ref. AIAA 2011-5271</t>
        </r>
      </text>
    </comment>
    <comment ref="D61" authorId="1" shapeId="0">
      <text>
        <r>
          <rPr>
            <sz val="10"/>
            <rFont val="Arial"/>
            <family val="2"/>
          </rPr>
          <t>Analogy to WPA sensor</t>
        </r>
      </text>
    </comment>
    <comment ref="E61" authorId="1" shapeId="0">
      <text>
        <r>
          <rPr>
            <sz val="10"/>
            <rFont val="Arial"/>
            <family val="2"/>
          </rPr>
          <t>Analogy to WPA sensor</t>
        </r>
      </text>
    </comment>
    <comment ref="J61" authorId="1" shapeId="0">
      <text>
        <r>
          <rPr>
            <sz val="10"/>
            <rFont val="Arial"/>
            <family val="2"/>
          </rPr>
          <t>Analogy to WPA sensor</t>
        </r>
      </text>
    </comment>
    <comment ref="D62" authorId="1" shapeId="0">
      <text>
        <r>
          <rPr>
            <sz val="10"/>
            <rFont val="Arial"/>
            <family val="2"/>
          </rPr>
          <t>ref. SAE 2001-01-2293</t>
        </r>
      </text>
    </comment>
    <comment ref="E62" authorId="1" shapeId="0">
      <text>
        <r>
          <rPr>
            <sz val="10"/>
            <rFont val="Arial"/>
            <family val="2"/>
          </rPr>
          <t>Linear scaling (based on mass) from OGA Process Controller</t>
        </r>
      </text>
    </comment>
    <comment ref="J62" authorId="1" shapeId="0">
      <text>
        <r>
          <rPr>
            <sz val="10"/>
            <rFont val="Arial"/>
            <family val="2"/>
          </rPr>
          <t>Analogy to OGA Process Controller</t>
        </r>
      </text>
    </comment>
    <comment ref="D63" authorId="1" shapeId="0">
      <text>
        <r>
          <rPr>
            <sz val="10"/>
            <rFont val="Arial"/>
            <family val="2"/>
          </rPr>
          <t>ref. SAE 2001-01-2293</t>
        </r>
      </text>
    </comment>
    <comment ref="E63" authorId="1" shapeId="0">
      <text>
        <r>
          <rPr>
            <sz val="10"/>
            <rFont val="Arial"/>
            <family val="2"/>
          </rPr>
          <t>Linear scaling (based on mass) from CDRA Air Pump</t>
        </r>
      </text>
    </comment>
    <comment ref="J63" authorId="1" shapeId="0">
      <text>
        <r>
          <rPr>
            <sz val="10"/>
            <rFont val="Arial"/>
            <family val="2"/>
          </rPr>
          <t>ref. AIAA 2011-5271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Compressor Flow Rate: 1.9lb/hr(CO2)
Active Fraction: 52(Active):37(Standby)
A Trade Study on Sabatier CO2 Reduction Subsystem for Advanced Missions
Integrated Evaluation of Closed Loop Air Revitalization System Components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Sum of Heater(106W), Compressor(500W) and Separator(80W)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Active Fraction - 52(Active):37(Standby)</t>
        </r>
      </text>
    </comment>
    <comment ref="AA64" authorId="0" shapeId="0">
      <text>
        <r>
          <rPr>
            <b/>
            <sz val="9"/>
            <color indexed="81"/>
            <rFont val="Tahoma"/>
            <family val="2"/>
          </rPr>
          <t>CO2 Processingonly from CDRA. Not including ISRU input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Analogy of CDRA</t>
        </r>
      </text>
    </comment>
    <comment ref="J67" authorId="1" shapeId="0">
      <text>
        <r>
          <rPr>
            <sz val="10"/>
            <rFont val="Arial"/>
            <family val="2"/>
          </rPr>
          <t>Analogy to TCCV in CCAA</t>
        </r>
      </text>
    </comment>
    <comment ref="D74" authorId="1" shapeId="0">
      <text>
        <r>
          <rPr>
            <sz val="10"/>
            <rFont val="Arial"/>
            <family val="2"/>
          </rPr>
          <t>Based on geometric calculations, ref.  Roots-Dresser Vaccum Pumps (http://www.pp-s.com/Files/Dresser%20Roots/All%20about%20Roots.pdf )</t>
        </r>
      </text>
    </comment>
    <comment ref="E74" authorId="1" shapeId="0">
      <text>
        <r>
          <rPr>
            <sz val="10"/>
            <rFont val="Arial"/>
            <family val="2"/>
          </rPr>
          <t>Based on geometric calculations, ref.  Roots-Dresser Vaccum Pumps (http://www.pp-s.com/Files/Dresser%20Roots/All%20about%20Roots.pdf )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Added Compressor Power(500W) - used the data of Sabatier CO2 compressor - A Trade Study on Sabatier CO2 Reduction Subsystem for Advanced  Missions</t>
        </r>
      </text>
    </comment>
    <comment ref="E76" authorId="1" shapeId="0">
      <text>
        <r>
          <rPr>
            <sz val="10"/>
            <rFont val="Arial"/>
            <family val="2"/>
          </rPr>
          <t>Assumed to have same packed density as inflatable Hab</t>
        </r>
      </text>
    </comment>
    <comment ref="P77" authorId="0" shapeId="0">
      <text>
        <r>
          <rPr>
            <b/>
            <sz val="9"/>
            <color indexed="81"/>
            <rFont val="Tahoma"/>
            <family val="2"/>
          </rPr>
          <t>BVAD p33</t>
        </r>
      </text>
    </comment>
    <comment ref="R77" authorId="0" shapeId="0">
      <text>
        <r>
          <rPr>
            <b/>
            <sz val="9"/>
            <color indexed="81"/>
            <rFont val="Tahoma"/>
            <family val="2"/>
          </rPr>
          <t>No Power Needed</t>
        </r>
      </text>
    </comment>
    <comment ref="D78" authorId="1" shapeId="0">
      <text>
        <r>
          <rPr>
            <sz val="10"/>
            <rFont val="Arial"/>
            <family val="2"/>
          </rPr>
          <t>ref. http://www.heliospectra.com/products#techspecs</t>
        </r>
      </text>
    </comment>
    <comment ref="E78" authorId="1" shapeId="0">
      <text>
        <r>
          <rPr>
            <sz val="10"/>
            <rFont val="Arial"/>
            <family val="2"/>
          </rPr>
          <t>ref. http://www.heliospectra.com/products#techspecs</t>
        </r>
      </text>
    </comment>
    <comment ref="J78" authorId="1" shapeId="0">
      <text>
        <r>
          <rPr>
            <sz val="10"/>
            <rFont val="Arial"/>
            <family val="2"/>
          </rPr>
          <t>ref. http://www.heliospectra.com/products#techspecs
Assumes warranty period covers 1% of failures</t>
        </r>
      </text>
    </comment>
    <comment ref="L78" authorId="1" shapeId="0">
      <text>
        <r>
          <rPr>
            <sz val="10"/>
            <rFont val="Arial"/>
            <family val="2"/>
          </rPr>
          <t>Based on 200m^2 growth area with no gaps between units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>LX602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LX602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1.2m*1.2m coverage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10.5 to 630W</t>
        </r>
      </text>
    </comment>
    <comment ref="R79" authorId="0" shapeId="0">
      <text>
        <r>
          <rPr>
            <b/>
            <sz val="9"/>
            <color indexed="81"/>
            <rFont val="Tahoma"/>
            <family val="2"/>
          </rPr>
          <t>Based on LX601 peak power(assume 24/7 active), so can be mitigated</t>
        </r>
      </text>
    </comment>
    <comment ref="D81" authorId="1" shapeId="0">
      <text>
        <r>
          <rPr>
            <sz val="10"/>
            <rFont val="Arial"/>
            <family val="2"/>
          </rPr>
          <t>Based on geometric calculations, ref. Henley, Seader, and Roper (2011) and Shekhawat, Luebke, and Pennline (2003)</t>
        </r>
      </text>
    </comment>
    <comment ref="E81" authorId="1" shapeId="0">
      <text>
        <r>
          <rPr>
            <sz val="10"/>
            <rFont val="Arial"/>
            <family val="2"/>
          </rPr>
          <t>Based on geometric calculations, ref. Henley, Seader, and Roper (2011) and Shekhawat, Luebke, and Pennline (2003)</t>
        </r>
      </text>
    </comment>
    <comment ref="J81" authorId="1" shapeId="0">
      <text>
        <r>
          <rPr>
            <sz val="10"/>
            <rFont val="Arial"/>
            <family val="2"/>
          </rPr>
          <t>Analogy to CDRA Sorbent Beds</t>
        </r>
      </text>
    </comment>
    <comment ref="L81" authorId="1" shapeId="0">
      <text>
        <r>
          <rPr>
            <sz val="10"/>
            <rFont val="Arial"/>
            <family val="2"/>
          </rPr>
          <t>[NEEDS REFERENCE]</t>
        </r>
      </text>
    </comment>
    <comment ref="D82" authorId="1" shapeId="0">
      <text>
        <r>
          <rPr>
            <sz val="10"/>
            <rFont val="Arial"/>
            <family val="2"/>
          </rPr>
          <t>Based on geometric calculations, ref. Roots-Dresser Vaccum Pumps (http://www.pp-s.com/Files/Dresser%20Roots/All%20about%20Roots.pdf )</t>
        </r>
      </text>
    </comment>
    <comment ref="E82" authorId="1" shapeId="0">
      <text>
        <r>
          <rPr>
            <sz val="10"/>
            <rFont val="Arial"/>
            <family val="2"/>
          </rPr>
          <t>Based on geometric calculations, ref.  Roots-Dresser Vaccum Pumps (http://www.pp-s.com/Files/Dresser%20Roots/All%20about%20Roots.pdf )</t>
        </r>
      </text>
    </comment>
    <comment ref="J82" authorId="1" shapeId="0">
      <text>
        <r>
          <rPr>
            <sz val="10"/>
            <rFont val="Arial"/>
            <family val="2"/>
          </rPr>
          <t>Analogy to CRA Compressor</t>
        </r>
      </text>
    </comment>
    <comment ref="L82" authorId="1" shapeId="0">
      <text>
        <r>
          <rPr>
            <sz val="10"/>
            <rFont val="Arial"/>
            <family val="2"/>
          </rPr>
          <t>[NEEDS REFERENCE]</t>
        </r>
      </text>
    </comment>
    <comment ref="D83" authorId="1" shapeId="0">
      <text>
        <r>
          <rPr>
            <sz val="10"/>
            <rFont val="Arial"/>
            <family val="2"/>
          </rPr>
          <t xml:space="preserve">Based on geometric calculations, ref. http://www.sunpowerinc.com/cryocoolers/gt.php  </t>
        </r>
      </text>
    </comment>
    <comment ref="E83" authorId="1" shapeId="0">
      <text>
        <r>
          <rPr>
            <sz val="10"/>
            <rFont val="Arial"/>
            <family val="2"/>
          </rPr>
          <t xml:space="preserve">Based on geometric calculations, ref. http://www.sunpowerinc.com/cryocoolers/gt.php </t>
        </r>
      </text>
    </comment>
    <comment ref="J83" authorId="1" shapeId="0">
      <text>
        <r>
          <rPr>
            <sz val="10"/>
            <rFont val="Arial"/>
            <family val="2"/>
          </rPr>
          <t>Optimistic assumption</t>
        </r>
      </text>
    </comment>
    <comment ref="L83" authorId="1" shapeId="0">
      <text>
        <r>
          <rPr>
            <sz val="10"/>
            <rFont val="Arial"/>
            <family val="2"/>
          </rPr>
          <t>[NEEDS REFERENCE]</t>
        </r>
      </text>
    </comment>
    <comment ref="J84" authorId="1" shapeId="0">
      <text>
        <r>
          <rPr>
            <sz val="10"/>
            <rFont val="Arial"/>
            <family val="2"/>
          </rPr>
          <t>Optimistic assumption</t>
        </r>
      </text>
    </comment>
    <comment ref="L84" authorId="1" shapeId="0">
      <text>
        <r>
          <rPr>
            <sz val="10"/>
            <rFont val="Arial"/>
            <family val="2"/>
          </rPr>
          <t>[NEEDS REFERENCE]</t>
        </r>
      </text>
    </comment>
    <comment ref="J85" authorId="1" shapeId="0">
      <text>
        <r>
          <rPr>
            <sz val="10"/>
            <rFont val="Arial"/>
            <family val="2"/>
          </rPr>
          <t>Optimistic assumption</t>
        </r>
      </text>
    </comment>
    <comment ref="L85" authorId="1" shapeId="0">
      <text>
        <r>
          <rPr>
            <sz val="10"/>
            <rFont val="Arial"/>
            <family val="2"/>
          </rPr>
          <t>[NEEDS REFERENCE]</t>
        </r>
      </text>
    </comment>
    <comment ref="L86" authorId="1" shapeId="0">
      <text>
        <r>
          <rPr>
            <sz val="10"/>
            <rFont val="Arial"/>
            <family val="2"/>
          </rPr>
          <t>[NEEDS REFERENCE]</t>
        </r>
      </text>
    </comment>
    <comment ref="J87" authorId="1" shapeId="0">
      <text>
        <r>
          <rPr>
            <sz val="10"/>
            <rFont val="Arial"/>
            <family val="2"/>
          </rPr>
          <t>Optimistic assumption</t>
        </r>
      </text>
    </comment>
    <comment ref="L87" authorId="1" shapeId="0">
      <text>
        <r>
          <rPr>
            <sz val="10"/>
            <rFont val="Arial"/>
            <family val="2"/>
          </rPr>
          <t>[NEEDS REFERENCE]</t>
        </r>
      </text>
    </comment>
    <comment ref="J88" authorId="1" shapeId="0">
      <text>
        <r>
          <rPr>
            <sz val="10"/>
            <rFont val="Arial"/>
            <family val="2"/>
          </rPr>
          <t>Analogy to CCAA Condensing Heat Exchanger</t>
        </r>
      </text>
    </comment>
    <comment ref="L88" authorId="1" shapeId="0">
      <text>
        <r>
          <rPr>
            <sz val="10"/>
            <rFont val="Arial"/>
            <family val="2"/>
          </rPr>
          <t>[NEEDS REFERENCE]</t>
        </r>
      </text>
    </comment>
    <comment ref="J89" authorId="1" shapeId="0">
      <text>
        <r>
          <rPr>
            <sz val="10"/>
            <rFont val="Arial"/>
            <family val="2"/>
          </rPr>
          <t>Analogy to CDRA Heat Controller</t>
        </r>
      </text>
    </comment>
    <comment ref="L89" authorId="1" shapeId="0">
      <text>
        <r>
          <rPr>
            <sz val="10"/>
            <rFont val="Arial"/>
            <family val="2"/>
          </rPr>
          <t>[NEEDS REFERENCE]</t>
        </r>
      </text>
    </comment>
    <comment ref="D90" authorId="1" shapeId="0">
      <text>
        <r>
          <rPr>
            <sz val="10"/>
            <rFont val="Arial"/>
            <family val="2"/>
          </rPr>
          <t>Based on geometric calculations, ref. Henley, Seader, and Roper (2011) and Shekhawat, Luebke, and Pennline (2003)</t>
        </r>
      </text>
    </comment>
    <comment ref="E90" authorId="1" shapeId="0">
      <text>
        <r>
          <rPr>
            <sz val="10"/>
            <rFont val="Arial"/>
            <family val="2"/>
          </rPr>
          <t>Based on geometric calculations, ref. Henley, Seader, and Roper (2011) and Shekhawat, Luebke, and Pennline (2003)</t>
        </r>
      </text>
    </comment>
    <comment ref="L90" authorId="1" shapeId="0">
      <text>
        <r>
          <rPr>
            <sz val="10"/>
            <rFont val="Arial"/>
            <family val="2"/>
          </rPr>
          <t>[NEEDS REFERENCE]</t>
        </r>
      </text>
    </comment>
    <comment ref="D91" authorId="1" shapeId="0">
      <text>
        <r>
          <rPr>
            <sz val="10"/>
            <rFont val="Arial"/>
            <family val="2"/>
          </rPr>
          <t>Based on geometric calculations, ref.  Roots-Dresser Vaccum Pumps (http://www.pp-s.com/Files/Dresser%20Roots/All%20about%20Roots.pdf )</t>
        </r>
      </text>
    </comment>
    <comment ref="E91" authorId="1" shapeId="0">
      <text>
        <r>
          <rPr>
            <sz val="10"/>
            <rFont val="Arial"/>
            <family val="2"/>
          </rPr>
          <t>Based on geometric calculations, ref.  Roots-Dresser Vaccum Pumps (http://www.pp-s.com/Files/Dresser%20Roots/All%20about%20Roots.pdf )</t>
        </r>
      </text>
    </comment>
    <comment ref="L91" authorId="1" shapeId="0">
      <text>
        <r>
          <rPr>
            <sz val="10"/>
            <rFont val="Arial"/>
            <family val="2"/>
          </rPr>
          <t>[NEEDS REFERENCE]</t>
        </r>
      </text>
    </comment>
    <comment ref="D92" authorId="1" shapeId="0">
      <text>
        <r>
          <rPr>
            <sz val="10"/>
            <rFont val="Arial"/>
            <family val="2"/>
          </rPr>
          <t xml:space="preserve">Based on geometric calculations, ref. http://www.sunpowerinc.com/cryocoolers/gt.php </t>
        </r>
      </text>
    </comment>
    <comment ref="E92" authorId="1" shapeId="0">
      <text>
        <r>
          <rPr>
            <sz val="10"/>
            <rFont val="Arial"/>
            <family val="2"/>
          </rPr>
          <t xml:space="preserve">Based on geometric calculations, ref. http://www.sunpowerinc.com/cryocoolers/gt.php </t>
        </r>
      </text>
    </comment>
    <comment ref="J92" authorId="1" shapeId="0">
      <text>
        <r>
          <rPr>
            <sz val="10"/>
            <rFont val="Arial"/>
            <family val="2"/>
          </rPr>
          <t>Optimistic assumption</t>
        </r>
      </text>
    </comment>
    <comment ref="L92" authorId="1" shapeId="0">
      <text>
        <r>
          <rPr>
            <sz val="10"/>
            <rFont val="Arial"/>
            <family val="2"/>
          </rPr>
          <t>[NEEDS REFERENCE]</t>
        </r>
      </text>
    </comment>
    <comment ref="D93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E93" authorId="1" shapeId="0">
      <text>
        <r>
          <rPr>
            <sz val="10"/>
            <rFont val="Arial"/>
            <family val="2"/>
          </rPr>
          <t>inside the cone</t>
        </r>
      </text>
    </comment>
    <comment ref="J93" authorId="1" shapeId="0">
      <text>
        <r>
          <rPr>
            <sz val="10"/>
            <rFont val="Arial"/>
            <family val="2"/>
          </rPr>
          <t>Optimistic assumption</t>
        </r>
      </text>
    </comment>
    <comment ref="L93" authorId="1" shapeId="0">
      <text>
        <r>
          <rPr>
            <sz val="10"/>
            <rFont val="Arial"/>
            <family val="2"/>
          </rPr>
          <t>[NEEDS REFERENCE]</t>
        </r>
      </text>
    </comment>
    <comment ref="D94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E94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J94" authorId="1" shapeId="0">
      <text>
        <r>
          <rPr>
            <sz val="10"/>
            <rFont val="Arial"/>
            <family val="2"/>
          </rPr>
          <t>Optimistic assumption</t>
        </r>
      </text>
    </comment>
    <comment ref="L94" authorId="1" shapeId="0">
      <text>
        <r>
          <rPr>
            <sz val="10"/>
            <rFont val="Arial"/>
            <family val="2"/>
          </rPr>
          <t>[NEEDS REFERENCE]</t>
        </r>
      </text>
    </comment>
    <comment ref="D95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E95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L95" authorId="1" shapeId="0">
      <text>
        <r>
          <rPr>
            <sz val="10"/>
            <rFont val="Arial"/>
            <family val="2"/>
          </rPr>
          <t>[NEEDS REFERENCE]</t>
        </r>
      </text>
    </comment>
    <comment ref="D96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J96" authorId="1" shapeId="0">
      <text>
        <r>
          <rPr>
            <sz val="10"/>
            <rFont val="Arial"/>
            <family val="2"/>
          </rPr>
          <t>Optimistic assumption</t>
        </r>
      </text>
    </comment>
    <comment ref="L96" authorId="1" shapeId="0">
      <text>
        <r>
          <rPr>
            <sz val="10"/>
            <rFont val="Arial"/>
            <family val="2"/>
          </rPr>
          <t>[NEEDS REFERENCE]</t>
        </r>
      </text>
    </comment>
    <comment ref="D97" authorId="1" shapeId="0">
      <text>
        <r>
          <rPr>
            <sz val="10"/>
            <rFont val="Arial"/>
            <family val="2"/>
          </rPr>
          <t>Analogy to CCAA Condensing Heat Exchanger</t>
        </r>
      </text>
    </comment>
    <comment ref="E97" authorId="1" shapeId="0">
      <text>
        <r>
          <rPr>
            <sz val="10"/>
            <rFont val="Arial"/>
            <family val="2"/>
          </rPr>
          <t>Analogy to CCAA Condensing Heat Exchanger</t>
        </r>
      </text>
    </comment>
    <comment ref="J97" authorId="1" shapeId="0">
      <text>
        <r>
          <rPr>
            <sz val="10"/>
            <rFont val="Arial"/>
            <family val="2"/>
          </rPr>
          <t>Analogy to CCAA Condensing Heat Exchanger</t>
        </r>
      </text>
    </comment>
    <comment ref="L97" authorId="1" shapeId="0">
      <text>
        <r>
          <rPr>
            <sz val="10"/>
            <rFont val="Arial"/>
            <family val="2"/>
          </rPr>
          <t>[NEEDS REFERENCE]</t>
        </r>
      </text>
    </comment>
    <comment ref="D98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E98" authorId="1" shapeId="0">
      <text>
        <r>
          <rPr>
            <sz val="10"/>
            <rFont val="Arial"/>
            <family val="2"/>
          </rPr>
          <t>Based on geometric calculations, ref. [NEED REFERENCE]</t>
        </r>
      </text>
    </comment>
    <comment ref="J98" authorId="1" shapeId="0">
      <text>
        <r>
          <rPr>
            <sz val="10"/>
            <rFont val="Arial"/>
            <family val="2"/>
          </rPr>
          <t>Analogy to CDRA Heat Controller</t>
        </r>
      </text>
    </comment>
    <comment ref="L98" authorId="1" shapeId="0">
      <text>
        <r>
          <rPr>
            <sz val="10"/>
            <rFont val="Arial"/>
            <family val="2"/>
          </rPr>
          <t>[NEEDS REFERENCE]</t>
        </r>
      </text>
    </comment>
    <comment ref="D102" authorId="1" shapeId="0">
      <text>
        <r>
          <rPr>
            <sz val="10"/>
            <rFont val="Arial"/>
            <family val="2"/>
          </rPr>
          <t>Based on 60kg storage, using BVAD kg_tank/kg_stored for O2</t>
        </r>
      </text>
    </comment>
    <comment ref="E102" authorId="1" shapeId="0">
      <text>
        <r>
          <rPr>
            <sz val="10"/>
            <rFont val="Arial"/>
            <family val="2"/>
          </rPr>
          <t>Linear scaling from ISS O2/N2 tanks (ref. LTIS)</t>
        </r>
      </text>
    </comment>
    <comment ref="P102" authorId="0" shapeId="0">
      <text>
        <r>
          <rPr>
            <b/>
            <sz val="9"/>
            <color indexed="81"/>
            <rFont val="Tahoma"/>
            <family val="2"/>
          </rPr>
          <t>600kg Storage</t>
        </r>
      </text>
    </comment>
    <comment ref="D103" authorId="1" shapeId="0">
      <text>
        <r>
          <rPr>
            <sz val="10"/>
            <rFont val="Arial"/>
            <family val="2"/>
          </rPr>
          <t>Based on 145.6kg storage, using BVAD kg_tank/kg_stored for N2, most optimistic value</t>
        </r>
      </text>
    </comment>
    <comment ref="E103" authorId="1" shapeId="0">
      <text>
        <r>
          <rPr>
            <sz val="10"/>
            <rFont val="Arial"/>
            <family val="2"/>
          </rPr>
          <t>Linear scaling from ISS O2/N2 tanks (ref. LTIS)</t>
        </r>
      </text>
    </comment>
    <comment ref="P103" authorId="0" shapeId="0">
      <text>
        <r>
          <rPr>
            <b/>
            <sz val="9"/>
            <color indexed="81"/>
            <rFont val="Tahoma"/>
            <family val="2"/>
          </rPr>
          <t>1456kg N2 Storage</t>
        </r>
      </text>
    </comment>
    <comment ref="D104" authorId="1" shapeId="0">
      <text>
        <r>
          <rPr>
            <sz val="10"/>
            <rFont val="Arial"/>
            <family val="2"/>
          </rPr>
          <t>Based on hoop stress calculation of 0.73ft^3 spherical tank with 130psia stored, factor of safety of 2, and A517 Steel (ref. ASTM standard, MatWeb, NASA-CR-2010-216451)</t>
        </r>
      </text>
    </comment>
    <comment ref="E104" authorId="1" shapeId="0">
      <text>
        <r>
          <rPr>
            <sz val="10"/>
            <rFont val="Arial"/>
            <family val="2"/>
          </rPr>
          <t>0.73ft^3 (ref. NASA-CR-2010-216451)</t>
        </r>
      </text>
    </comment>
    <comment ref="P104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05" authorId="1" shapeId="0">
      <text>
        <r>
          <rPr>
            <sz val="10"/>
            <rFont val="Arial"/>
            <family val="2"/>
          </rPr>
          <t>Linear scaling to 1500L based on ISS Contingency Water Container</t>
        </r>
      </text>
    </comment>
    <comment ref="E105" authorId="1" shapeId="0">
      <text>
        <r>
          <rPr>
            <sz val="10"/>
            <rFont val="Arial"/>
            <family val="2"/>
          </rPr>
          <t>Assuming 30:1 packing efficiency, from 1500L. (twice as efficient as overall Hab, ref. 2008-01-2024)</t>
        </r>
      </text>
    </comment>
    <comment ref="P105" authorId="0" shapeId="0">
      <text>
        <r>
          <rPr>
            <b/>
            <sz val="9"/>
            <color indexed="81"/>
            <rFont val="Tahoma"/>
            <family val="2"/>
          </rPr>
          <t>15000L tank</t>
        </r>
      </text>
    </comment>
    <comment ref="D106" authorId="1" shapeId="0">
      <text>
        <r>
          <rPr>
            <sz val="10"/>
            <rFont val="Arial"/>
            <family val="2"/>
          </rPr>
          <t>Linear scaling to 9L based on UPA Wastewater Storage Tank</t>
        </r>
      </text>
    </comment>
    <comment ref="E106" authorId="1" shapeId="0">
      <text>
        <r>
          <rPr>
            <sz val="10"/>
            <rFont val="Arial"/>
            <family val="2"/>
          </rPr>
          <t>Based on contained volume</t>
        </r>
      </text>
    </comment>
    <comment ref="P106" authorId="0" shapeId="0">
      <text>
        <r>
          <rPr>
            <b/>
            <sz val="9"/>
            <color indexed="81"/>
            <rFont val="Tahoma"/>
            <family val="2"/>
          </rPr>
          <t>Linear Scaling based on Spec Comparison</t>
        </r>
      </text>
    </comment>
    <comment ref="D107" authorId="1" shapeId="0">
      <text>
        <r>
          <rPr>
            <sz val="10"/>
            <rFont val="Arial"/>
            <family val="2"/>
          </rPr>
          <t>Linear Scaling to 45.455L based on UPA Wastewater Storage Tank</t>
        </r>
      </text>
    </comment>
    <comment ref="E107" authorId="1" shapeId="0">
      <text>
        <r>
          <rPr>
            <sz val="10"/>
            <rFont val="Arial"/>
            <family val="2"/>
          </rPr>
          <t>Based on contained volume</t>
        </r>
      </text>
    </comment>
    <comment ref="P107" authorId="0" shapeId="0">
      <text>
        <r>
          <rPr>
            <b/>
            <sz val="9"/>
            <color indexed="81"/>
            <rFont val="Tahoma"/>
            <family val="2"/>
          </rPr>
          <t>Linear Scaling Based on Spec Comparison</t>
        </r>
      </text>
    </comment>
    <comment ref="D108" authorId="1" shapeId="0">
      <text>
        <r>
          <rPr>
            <sz val="10"/>
            <rFont val="Arial"/>
            <family val="2"/>
          </rPr>
          <t>Linear scaling to 11,000L based on ISS Contingency Water Container</t>
        </r>
      </text>
    </comment>
    <comment ref="E108" authorId="1" shapeId="0">
      <text>
        <r>
          <rPr>
            <sz val="10"/>
            <rFont val="Arial"/>
            <family val="2"/>
          </rPr>
          <t>Assuming 30:1 packing efficiency (twice as efficient as overall Hab, ref. 2008-01-2024)</t>
        </r>
      </text>
    </comment>
    <comment ref="P108" authorId="0" shapeId="0">
      <text>
        <r>
          <rPr>
            <b/>
            <sz val="9"/>
            <color indexed="81"/>
            <rFont val="Tahoma"/>
            <family val="2"/>
          </rPr>
          <t>(55000*food growth fraction)L</t>
        </r>
      </text>
    </comment>
    <comment ref="D109" authorId="1" shapeId="0">
      <text>
        <r>
          <rPr>
            <sz val="10"/>
            <rFont val="Arial"/>
            <family val="2"/>
          </rPr>
          <t>Assumed negligible?</t>
        </r>
      </text>
    </comment>
    <comment ref="E109" authorId="1" shapeId="0">
      <text>
        <r>
          <rPr>
            <sz val="10"/>
            <rFont val="Arial"/>
            <family val="2"/>
          </rPr>
          <t>Assumed negligible?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For food brought from Earth
1.955kg food -&gt; 0.345kg package</t>
        </r>
      </text>
    </comment>
    <comment ref="D110" authorId="1" shapeId="0">
      <text>
        <r>
          <rPr>
            <sz val="10"/>
            <rFont val="Arial"/>
            <family val="2"/>
          </rPr>
          <t>Based on ISS Phase III storage packaging:food ratio</t>
        </r>
      </text>
    </comment>
    <comment ref="E110" authorId="1" shapeId="0">
      <text>
        <r>
          <rPr>
            <sz val="10"/>
            <rFont val="Arial"/>
            <family val="2"/>
          </rPr>
          <t>Based on linear scaling from ISS Phase III stored food volume</t>
        </r>
      </text>
    </comment>
    <comment ref="U110" authorId="0" shapeId="0">
      <text>
        <r>
          <rPr>
            <b/>
            <sz val="9"/>
            <color indexed="81"/>
            <rFont val="Tahoma"/>
            <family val="2"/>
          </rPr>
          <t>Equation Update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>500m3</t>
        </r>
      </text>
    </comment>
    <comment ref="E114" authorId="1" shapeId="0">
      <text>
        <r>
          <rPr>
            <sz val="10"/>
            <rFont val="Arial"/>
            <family val="2"/>
          </rPr>
          <t>Assuming 15:1 packing efficiency (ref. SAE 2008-01-2024)</t>
        </r>
      </text>
    </comment>
    <comment ref="D119" authorId="1" shapeId="0">
      <text>
        <r>
          <rPr>
            <sz val="10"/>
            <rFont val="Arial"/>
            <family val="2"/>
          </rPr>
          <t>ref. HSMAD</t>
        </r>
      </text>
    </comment>
    <comment ref="E119" authorId="1" shapeId="0">
      <text>
        <r>
          <rPr>
            <sz val="10"/>
            <rFont val="Arial"/>
            <family val="2"/>
          </rPr>
          <t>ref. HSMAD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100%</t>
        </r>
      </text>
    </comment>
    <comment ref="P119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19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20" authorId="1" shapeId="0">
      <text>
        <r>
          <rPr>
            <sz val="10"/>
            <rFont val="Arial"/>
            <family val="2"/>
          </rPr>
          <t>ref. HSMAD</t>
        </r>
      </text>
    </comment>
    <comment ref="E120" authorId="1" shapeId="0">
      <text>
        <r>
          <rPr>
            <sz val="10"/>
            <rFont val="Arial"/>
            <family val="2"/>
          </rPr>
          <t>ref. HSMAD</t>
        </r>
      </text>
    </comment>
    <comment ref="I120" authorId="0" shapeId="0">
      <text>
        <r>
          <rPr>
            <sz val="9"/>
            <color indexed="81"/>
            <rFont val="Tahoma"/>
            <family val="2"/>
          </rPr>
          <t>12%</t>
        </r>
      </text>
    </comment>
    <comment ref="P120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20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21" authorId="1" shapeId="0">
      <text>
        <r>
          <rPr>
            <sz val="10"/>
            <rFont val="Arial"/>
            <family val="2"/>
          </rPr>
          <t>ref. HSMAD</t>
        </r>
      </text>
    </comment>
    <comment ref="E121" authorId="1" shapeId="0">
      <text>
        <r>
          <rPr>
            <sz val="10"/>
            <rFont val="Arial"/>
            <family val="2"/>
          </rPr>
          <t>ref. HSMAD</t>
        </r>
      </text>
    </comment>
    <comment ref="I121" authorId="0" shapeId="0">
      <text>
        <r>
          <rPr>
            <b/>
            <sz val="9"/>
            <color indexed="81"/>
            <rFont val="Tahoma"/>
            <family val="2"/>
          </rPr>
          <t>6%</t>
        </r>
      </text>
    </comment>
    <comment ref="P121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21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22" authorId="1" shapeId="0">
      <text>
        <r>
          <rPr>
            <sz val="10"/>
            <rFont val="Arial"/>
            <family val="2"/>
          </rPr>
          <t>ref. HSMAD</t>
        </r>
      </text>
    </comment>
    <comment ref="E122" authorId="1" shapeId="0">
      <text>
        <r>
          <rPr>
            <sz val="10"/>
            <rFont val="Arial"/>
            <family val="2"/>
          </rPr>
          <t>ref. HSMAD</t>
        </r>
      </text>
    </comment>
    <comment ref="U122" authorId="0" shapeId="0">
      <text>
        <r>
          <rPr>
            <b/>
            <sz val="9"/>
            <color indexed="81"/>
            <rFont val="Tahoma"/>
            <family val="2"/>
          </rPr>
          <t>0.25kg/day for 6 crew</t>
        </r>
      </text>
    </comment>
    <comment ref="V122" authorId="0" shapeId="0">
      <text>
        <r>
          <rPr>
            <b/>
            <sz val="9"/>
            <color indexed="81"/>
            <rFont val="Tahoma"/>
            <family val="2"/>
          </rPr>
          <t>0.0018m3/day for 6 crew</t>
        </r>
      </text>
    </comment>
    <comment ref="D123" authorId="1" shapeId="0">
      <text>
        <r>
          <rPr>
            <sz val="10"/>
            <rFont val="Arial"/>
            <family val="2"/>
          </rPr>
          <t>ref. HSMAD</t>
        </r>
      </text>
    </comment>
    <comment ref="E123" authorId="1" shapeId="0">
      <text>
        <r>
          <rPr>
            <sz val="10"/>
            <rFont val="Arial"/>
            <family val="2"/>
          </rPr>
          <t>ref. HSMAD</t>
        </r>
      </text>
    </comment>
    <comment ref="P123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23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24" authorId="1" shapeId="0">
      <text>
        <r>
          <rPr>
            <sz val="10"/>
            <rFont val="Arial"/>
            <family val="2"/>
          </rPr>
          <t>ref. HSMAD</t>
        </r>
      </text>
    </comment>
    <comment ref="E124" authorId="1" shapeId="0">
      <text>
        <r>
          <rPr>
            <sz val="10"/>
            <rFont val="Arial"/>
            <family val="2"/>
          </rPr>
          <t>ref. HSMAD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8%</t>
        </r>
      </text>
    </comment>
    <comment ref="P124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24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25" authorId="1" shapeId="0">
      <text>
        <r>
          <rPr>
            <sz val="10"/>
            <rFont val="Arial"/>
            <family val="2"/>
          </rPr>
          <t>ref. HSMAD</t>
        </r>
      </text>
    </comment>
    <comment ref="E125" authorId="1" shapeId="0">
      <text>
        <r>
          <rPr>
            <sz val="10"/>
            <rFont val="Arial"/>
            <family val="2"/>
          </rPr>
          <t>ref. HSMAD</t>
        </r>
      </text>
    </comment>
    <comment ref="U125" authorId="0" shapeId="0">
      <text>
        <r>
          <rPr>
            <b/>
            <sz val="9"/>
            <color indexed="81"/>
            <rFont val="Tahoma"/>
            <family val="2"/>
          </rPr>
          <t>5kg/person</t>
        </r>
      </text>
    </comment>
    <comment ref="V125" authorId="0" shapeId="0">
      <text>
        <r>
          <rPr>
            <b/>
            <sz val="9"/>
            <color indexed="81"/>
            <rFont val="Tahoma"/>
            <family val="2"/>
          </rPr>
          <t>0.0014m3 for person</t>
        </r>
      </text>
    </comment>
    <comment ref="D126" authorId="1" shapeId="0">
      <text>
        <r>
          <rPr>
            <sz val="10"/>
            <rFont val="Arial"/>
            <family val="2"/>
          </rPr>
          <t>ref. HSMAD</t>
        </r>
      </text>
    </comment>
    <comment ref="E126" authorId="1" shapeId="0">
      <text>
        <r>
          <rPr>
            <sz val="10"/>
            <rFont val="Arial"/>
            <family val="2"/>
          </rPr>
          <t>ref. HSMAD</t>
        </r>
      </text>
    </comment>
    <comment ref="I126" authorId="0" shapeId="0">
      <text>
        <r>
          <rPr>
            <b/>
            <sz val="9"/>
            <color indexed="81"/>
            <rFont val="Tahoma"/>
            <family val="2"/>
          </rPr>
          <t>2.5%</t>
        </r>
      </text>
    </comment>
    <comment ref="P126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26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27" authorId="1" shapeId="0">
      <text>
        <r>
          <rPr>
            <sz val="10"/>
            <rFont val="Arial"/>
            <family val="2"/>
          </rPr>
          <t>ref. HSMAD</t>
        </r>
      </text>
    </comment>
    <comment ref="E127" authorId="1" shapeId="0">
      <text>
        <r>
          <rPr>
            <sz val="10"/>
            <rFont val="Arial"/>
            <family val="2"/>
          </rPr>
          <t>ref. HSMAD</t>
        </r>
      </text>
    </comment>
    <comment ref="U127" authorId="0" shapeId="0">
      <text>
        <r>
          <rPr>
            <b/>
            <sz val="9"/>
            <color indexed="81"/>
            <rFont val="Tahoma"/>
            <family val="2"/>
          </rPr>
          <t>0.05kg/CM/day</t>
        </r>
      </text>
    </comment>
    <comment ref="V127" authorId="0" shapeId="0">
      <text>
        <r>
          <rPr>
            <b/>
            <sz val="9"/>
            <color indexed="81"/>
            <rFont val="Tahoma"/>
            <family val="2"/>
          </rPr>
          <t>0.0013m3/CM/day</t>
        </r>
      </text>
    </comment>
    <comment ref="D128" authorId="1" shapeId="0">
      <text>
        <r>
          <rPr>
            <sz val="10"/>
            <rFont val="Arial"/>
            <family val="2"/>
          </rPr>
          <t>ref. HSMAD</t>
        </r>
      </text>
    </comment>
    <comment ref="E128" authorId="1" shapeId="0">
      <text>
        <r>
          <rPr>
            <sz val="10"/>
            <rFont val="Arial"/>
            <family val="2"/>
          </rPr>
          <t>ref. HSMAD</t>
        </r>
      </text>
    </comment>
    <comment ref="U128" authorId="0" shapeId="0">
      <text>
        <r>
          <rPr>
            <b/>
            <sz val="9"/>
            <color indexed="81"/>
            <rFont val="Tahoma"/>
            <family val="2"/>
          </rPr>
          <t>0.23kg/CM/day</t>
        </r>
      </text>
    </comment>
    <comment ref="V128" authorId="0" shapeId="0">
      <text>
        <r>
          <rPr>
            <b/>
            <sz val="9"/>
            <color indexed="81"/>
            <rFont val="Tahoma"/>
            <family val="2"/>
          </rPr>
          <t>0.0008m3/CM/day</t>
        </r>
      </text>
    </comment>
    <comment ref="D129" authorId="1" shapeId="0">
      <text>
        <r>
          <rPr>
            <sz val="10"/>
            <rFont val="Arial"/>
            <family val="2"/>
          </rPr>
          <t>ref. HSMAD</t>
        </r>
      </text>
    </comment>
    <comment ref="E129" authorId="1" shapeId="0">
      <text>
        <r>
          <rPr>
            <sz val="10"/>
            <rFont val="Arial"/>
            <family val="2"/>
          </rPr>
          <t>ref. HSMAD</t>
        </r>
      </text>
    </comment>
    <comment ref="I129" authorId="0" shapeId="0">
      <text>
        <r>
          <rPr>
            <b/>
            <sz val="9"/>
            <color indexed="81"/>
            <rFont val="Tahoma"/>
            <family val="2"/>
          </rPr>
          <t>8%</t>
        </r>
      </text>
    </comment>
    <comment ref="P129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29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30" authorId="1" shapeId="0">
      <text>
        <r>
          <rPr>
            <sz val="10"/>
            <rFont val="Arial"/>
            <family val="2"/>
          </rPr>
          <t>ref. HSMAD</t>
        </r>
      </text>
    </comment>
    <comment ref="E130" authorId="1" shapeId="0">
      <text>
        <r>
          <rPr>
            <sz val="10"/>
            <rFont val="Arial"/>
            <family val="2"/>
          </rPr>
          <t>ref. HSMAD</t>
        </r>
      </text>
    </comment>
    <comment ref="P130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30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31" authorId="1" shapeId="0">
      <text>
        <r>
          <rPr>
            <sz val="10"/>
            <rFont val="Arial"/>
            <family val="2"/>
          </rPr>
          <t>ref. HSMAD</t>
        </r>
      </text>
    </comment>
    <comment ref="E131" authorId="1" shapeId="0">
      <text>
        <r>
          <rPr>
            <sz val="10"/>
            <rFont val="Arial"/>
            <family val="2"/>
          </rPr>
          <t>ref. HSMAD</t>
        </r>
      </text>
    </comment>
    <comment ref="U131" authorId="0" shapeId="0">
      <text>
        <r>
          <rPr>
            <b/>
            <sz val="9"/>
            <color indexed="81"/>
            <rFont val="Tahoma"/>
            <family val="2"/>
          </rPr>
          <t>1.8kg/CM</t>
        </r>
      </text>
    </comment>
    <comment ref="V131" authorId="0" shapeId="0">
      <text>
        <r>
          <rPr>
            <b/>
            <sz val="9"/>
            <color indexed="81"/>
            <rFont val="Tahoma"/>
            <family val="2"/>
          </rPr>
          <t>0.005m3/CM</t>
        </r>
      </text>
    </comment>
    <comment ref="D132" authorId="1" shapeId="0">
      <text>
        <r>
          <rPr>
            <sz val="10"/>
            <rFont val="Arial"/>
            <family val="2"/>
          </rPr>
          <t>ref. HSMAD</t>
        </r>
      </text>
    </comment>
    <comment ref="E132" authorId="1" shapeId="0">
      <text>
        <r>
          <rPr>
            <sz val="10"/>
            <rFont val="Arial"/>
            <family val="2"/>
          </rPr>
          <t>ref. HSMAD</t>
        </r>
      </text>
    </comment>
    <comment ref="U132" authorId="0" shapeId="0">
      <text>
        <r>
          <rPr>
            <b/>
            <sz val="9"/>
            <color indexed="81"/>
            <rFont val="Tahoma"/>
            <family val="2"/>
          </rPr>
          <t>0.075kg/CM/day</t>
        </r>
      </text>
    </comment>
    <comment ref="V132" authorId="0" shapeId="0">
      <text>
        <r>
          <rPr>
            <b/>
            <sz val="9"/>
            <color indexed="81"/>
            <rFont val="Tahoma"/>
            <family val="2"/>
          </rPr>
          <t>0.0015m3/CM/day</t>
        </r>
      </text>
    </comment>
    <comment ref="D133" authorId="1" shapeId="0">
      <text>
        <r>
          <rPr>
            <sz val="10"/>
            <rFont val="Arial"/>
            <family val="2"/>
          </rPr>
          <t>ref. HSMAD</t>
        </r>
      </text>
    </comment>
    <comment ref="E133" authorId="1" shapeId="0">
      <text>
        <r>
          <rPr>
            <sz val="10"/>
            <rFont val="Arial"/>
            <family val="2"/>
          </rPr>
          <t>ref. HSMAD</t>
        </r>
      </text>
    </comment>
    <comment ref="U133" authorId="0" shapeId="0">
      <text>
        <r>
          <rPr>
            <b/>
            <sz val="9"/>
            <color indexed="81"/>
            <rFont val="Tahoma"/>
            <family val="2"/>
          </rPr>
          <t>99kg/CM</t>
        </r>
      </text>
    </comment>
    <comment ref="V133" authorId="0" shapeId="0">
      <text>
        <r>
          <rPr>
            <b/>
            <sz val="9"/>
            <color indexed="81"/>
            <rFont val="Tahoma"/>
            <family val="2"/>
          </rPr>
          <t>0.336m3/CM</t>
        </r>
      </text>
    </comment>
    <comment ref="D134" authorId="1" shapeId="0">
      <text>
        <r>
          <rPr>
            <sz val="10"/>
            <rFont val="Arial"/>
            <family val="2"/>
          </rPr>
          <t>ref. HSMAD</t>
        </r>
      </text>
    </comment>
    <comment ref="E134" authorId="1" shapeId="0">
      <text>
        <r>
          <rPr>
            <sz val="10"/>
            <rFont val="Arial"/>
            <family val="2"/>
          </rPr>
          <t>ref. HSMAD</t>
        </r>
      </text>
    </comment>
    <comment ref="I134" authorId="0" shapeId="0">
      <text>
        <r>
          <rPr>
            <b/>
            <sz val="9"/>
            <color indexed="81"/>
            <rFont val="Tahoma"/>
            <family val="2"/>
          </rPr>
          <t>8%</t>
        </r>
      </text>
    </comment>
    <comment ref="P134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34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35" authorId="1" shapeId="0">
      <text>
        <r>
          <rPr>
            <sz val="10"/>
            <rFont val="Arial"/>
            <family val="2"/>
          </rPr>
          <t>ref. HSMAD</t>
        </r>
      </text>
    </comment>
    <comment ref="E135" authorId="1" shapeId="0">
      <text>
        <r>
          <rPr>
            <sz val="10"/>
            <rFont val="Arial"/>
            <family val="2"/>
          </rPr>
          <t>ref. HSMAD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>8%</t>
        </r>
      </text>
    </comment>
    <comment ref="P135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35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36" authorId="1" shapeId="0">
      <text>
        <r>
          <rPr>
            <sz val="10"/>
            <rFont val="Arial"/>
            <family val="2"/>
          </rPr>
          <t>ref. HSMAD</t>
        </r>
      </text>
    </comment>
    <comment ref="E136" authorId="1" shapeId="0">
      <text>
        <r>
          <rPr>
            <sz val="10"/>
            <rFont val="Arial"/>
            <family val="2"/>
          </rPr>
          <t>ref. HSMAD</t>
        </r>
      </text>
    </comment>
    <comment ref="I136" authorId="0" shapeId="0">
      <text>
        <r>
          <rPr>
            <b/>
            <sz val="9"/>
            <color indexed="81"/>
            <rFont val="Tahoma"/>
            <family val="2"/>
          </rPr>
          <t>4%</t>
        </r>
      </text>
    </comment>
    <comment ref="P136" authorId="0" shapeId="0">
      <text>
        <r>
          <rPr>
            <b/>
            <sz val="9"/>
            <color indexed="81"/>
            <rFont val="Tahoma"/>
            <family val="2"/>
          </rPr>
          <t>50kg/CM</t>
        </r>
      </text>
    </comment>
    <comment ref="Q136" authorId="0" shapeId="0">
      <text>
        <r>
          <rPr>
            <b/>
            <sz val="9"/>
            <color indexed="81"/>
            <rFont val="Tahoma"/>
            <family val="2"/>
          </rPr>
          <t>0.75m3/CM</t>
        </r>
      </text>
    </comment>
    <comment ref="D137" authorId="1" shapeId="0">
      <text>
        <r>
          <rPr>
            <sz val="10"/>
            <rFont val="Arial"/>
            <family val="2"/>
          </rPr>
          <t>ref. HSMAD</t>
        </r>
      </text>
    </comment>
    <comment ref="E137" authorId="1" shapeId="0">
      <text>
        <r>
          <rPr>
            <sz val="10"/>
            <rFont val="Arial"/>
            <family val="2"/>
          </rPr>
          <t>ref. HSMAD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1%</t>
        </r>
      </text>
    </comment>
    <comment ref="P137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37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38" authorId="1" shapeId="0">
      <text>
        <r>
          <rPr>
            <sz val="10"/>
            <rFont val="Arial"/>
            <family val="2"/>
          </rPr>
          <t>ref. HSMAD</t>
        </r>
      </text>
    </comment>
    <comment ref="E138" authorId="1" shapeId="0">
      <text>
        <r>
          <rPr>
            <sz val="10"/>
            <rFont val="Arial"/>
            <family val="2"/>
          </rPr>
          <t>ref. HSMAD</t>
        </r>
      </text>
    </comment>
    <comment ref="I138" authorId="0" shapeId="0">
      <text>
        <r>
          <rPr>
            <b/>
            <sz val="9"/>
            <color indexed="81"/>
            <rFont val="Tahoma"/>
            <family val="2"/>
          </rPr>
          <t>1%</t>
        </r>
      </text>
    </comment>
    <comment ref="P138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38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39" authorId="1" shapeId="0">
      <text>
        <r>
          <rPr>
            <sz val="10"/>
            <rFont val="Arial"/>
            <family val="2"/>
          </rPr>
          <t>ref. HSMAD</t>
        </r>
      </text>
    </comment>
    <comment ref="E139" authorId="1" shapeId="0">
      <text>
        <r>
          <rPr>
            <sz val="10"/>
            <rFont val="Arial"/>
            <family val="2"/>
          </rPr>
          <t>ref. HSMAD</t>
        </r>
      </text>
    </comment>
    <comment ref="U139" authorId="0" shapeId="0">
      <text>
        <r>
          <rPr>
            <b/>
            <sz val="9"/>
            <color indexed="81"/>
            <rFont val="Tahoma"/>
            <family val="2"/>
          </rPr>
          <t>0.05kg/CM/day</t>
        </r>
      </text>
    </comment>
    <comment ref="V139" authorId="0" shapeId="0">
      <text>
        <r>
          <rPr>
            <b/>
            <sz val="9"/>
            <color indexed="81"/>
            <rFont val="Tahoma"/>
            <family val="2"/>
          </rPr>
          <t>0.001m3/CM/day</t>
        </r>
      </text>
    </comment>
    <comment ref="D140" authorId="1" shapeId="0">
      <text>
        <r>
          <rPr>
            <sz val="10"/>
            <rFont val="Arial"/>
            <family val="2"/>
          </rPr>
          <t>ref. HSMAD</t>
        </r>
      </text>
    </comment>
    <comment ref="E140" authorId="1" shapeId="0">
      <text>
        <r>
          <rPr>
            <sz val="10"/>
            <rFont val="Arial"/>
            <family val="2"/>
          </rPr>
          <t>ref. HSMAD</t>
        </r>
      </text>
    </comment>
    <comment ref="U140" authorId="0" shapeId="0">
      <text>
        <r>
          <rPr>
            <b/>
            <sz val="9"/>
            <color indexed="81"/>
            <rFont val="Tahoma"/>
            <family val="2"/>
          </rPr>
          <t>20kg/CM</t>
        </r>
      </text>
    </comment>
    <comment ref="V140" authorId="0" shapeId="0">
      <text>
        <r>
          <rPr>
            <b/>
            <sz val="9"/>
            <color indexed="81"/>
            <rFont val="Tahoma"/>
            <family val="2"/>
          </rPr>
          <t>0.002m3/CM</t>
        </r>
      </text>
    </comment>
    <comment ref="D141" authorId="1" shapeId="0">
      <text>
        <r>
          <rPr>
            <sz val="10"/>
            <rFont val="Arial"/>
            <family val="2"/>
          </rPr>
          <t>ref. HSMAD</t>
        </r>
      </text>
    </comment>
    <comment ref="E141" authorId="1" shapeId="0">
      <text>
        <r>
          <rPr>
            <sz val="10"/>
            <rFont val="Arial"/>
            <family val="2"/>
          </rPr>
          <t>ref. HSMAD</t>
        </r>
      </text>
    </comment>
    <comment ref="U141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V141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42" authorId="1" shapeId="0">
      <text>
        <r>
          <rPr>
            <sz val="10"/>
            <rFont val="Arial"/>
            <family val="2"/>
          </rPr>
          <t>ref. HSMAD</t>
        </r>
      </text>
    </comment>
    <comment ref="E142" authorId="1" shapeId="0">
      <text>
        <r>
          <rPr>
            <sz val="10"/>
            <rFont val="Arial"/>
            <family val="2"/>
          </rPr>
          <t>ref. HSMAD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>8%</t>
        </r>
      </text>
    </comment>
    <comment ref="P142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42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43" authorId="1" shapeId="0">
      <text>
        <r>
          <rPr>
            <sz val="10"/>
            <rFont val="Arial"/>
            <family val="2"/>
          </rPr>
          <t>ref. HSMAD</t>
        </r>
      </text>
    </comment>
    <comment ref="E143" authorId="1" shapeId="0">
      <text>
        <r>
          <rPr>
            <sz val="10"/>
            <rFont val="Arial"/>
            <family val="2"/>
          </rPr>
          <t>ref. HSMAD</t>
        </r>
      </text>
    </comment>
    <comment ref="P143" authorId="0" shapeId="0">
      <text>
        <r>
          <rPr>
            <b/>
            <sz val="9"/>
            <color indexed="81"/>
            <rFont val="Tahoma"/>
            <family val="2"/>
          </rPr>
          <t>9kg/CM</t>
        </r>
      </text>
    </comment>
    <comment ref="Q143" authorId="0" shapeId="0">
      <text>
        <r>
          <rPr>
            <b/>
            <sz val="9"/>
            <color indexed="81"/>
            <rFont val="Tahoma"/>
            <family val="2"/>
          </rPr>
          <t>0.1m3/CM</t>
        </r>
      </text>
    </comment>
    <comment ref="D144" authorId="1" shapeId="0">
      <text>
        <r>
          <rPr>
            <sz val="10"/>
            <rFont val="Arial"/>
            <family val="2"/>
          </rPr>
          <t>ref. HSMAD</t>
        </r>
      </text>
    </comment>
    <comment ref="E144" authorId="1" shapeId="0">
      <text>
        <r>
          <rPr>
            <sz val="10"/>
            <rFont val="Arial"/>
            <family val="2"/>
          </rPr>
          <t>ref. HSMAD</t>
        </r>
      </text>
    </comment>
    <comment ref="I144" authorId="0" shapeId="0">
      <text>
        <r>
          <rPr>
            <b/>
            <sz val="9"/>
            <color indexed="81"/>
            <rFont val="Tahoma"/>
            <family val="2"/>
          </rPr>
          <t>1%</t>
        </r>
      </text>
    </comment>
    <comment ref="P144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44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45" authorId="1" shapeId="0">
      <text>
        <r>
          <rPr>
            <sz val="10"/>
            <rFont val="Arial"/>
            <family val="2"/>
          </rPr>
          <t>ref. HSMAD</t>
        </r>
      </text>
    </comment>
    <comment ref="E145" authorId="1" shapeId="0">
      <text>
        <r>
          <rPr>
            <sz val="10"/>
            <rFont val="Arial"/>
            <family val="2"/>
          </rPr>
          <t>ref. HSMAD</t>
        </r>
      </text>
    </comment>
    <comment ref="U145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V145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46" authorId="1" shapeId="0">
      <text>
        <r>
          <rPr>
            <sz val="10"/>
            <rFont val="Arial"/>
            <family val="2"/>
          </rPr>
          <t>ref. http://www.nasa.gov/mission_pages/station/research/experiments/1001.html</t>
        </r>
      </text>
    </comment>
    <comment ref="E146" authorId="1" shapeId="0">
      <text>
        <r>
          <rPr>
            <sz val="10"/>
            <rFont val="Arial"/>
            <family val="2"/>
          </rPr>
          <t>Estimated from images (ref. http://www.nasa.gov/mission_pages/station/research/experiments/ARED1.jpg)</t>
        </r>
      </text>
    </comment>
    <comment ref="I146" authorId="0" shapeId="0">
      <text>
        <r>
          <rPr>
            <b/>
            <sz val="9"/>
            <color indexed="81"/>
            <rFont val="Tahoma"/>
            <family val="2"/>
          </rPr>
          <t>50%</t>
        </r>
      </text>
    </comment>
    <comment ref="P146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46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47" authorId="1" shapeId="0">
      <text>
        <r>
          <rPr>
            <sz val="10"/>
            <rFont val="Arial"/>
            <family val="2"/>
          </rPr>
          <t>ref. http://www.nasa.gov/mission_pages/station/behindscenes/colbert_feature.html</t>
        </r>
      </text>
    </comment>
    <comment ref="E147" authorId="1" shapeId="0">
      <text>
        <r>
          <rPr>
            <sz val="10"/>
            <rFont val="Arial"/>
            <family val="2"/>
          </rPr>
          <t>Estimated from images (ref. http://www.nasa.gov/images/content/340931main_colberttreadmill.jpg)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>HSMAD</t>
        </r>
      </text>
    </comment>
    <comment ref="I147" authorId="0" shapeId="0">
      <text>
        <r>
          <rPr>
            <b/>
            <sz val="9"/>
            <color indexed="81"/>
            <rFont val="Tahoma"/>
            <family val="2"/>
          </rPr>
          <t>50%</t>
        </r>
      </text>
    </comment>
    <comment ref="P147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47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48" authorId="1" shapeId="0">
      <text>
        <r>
          <rPr>
            <sz val="10"/>
            <rFont val="Arial"/>
            <family val="2"/>
          </rPr>
          <t>ref. http://www.nasa.gov/mission_pages/station/research/experiments/841.html</t>
        </r>
      </text>
    </comment>
    <comment ref="E148" authorId="1" shapeId="0">
      <text>
        <r>
          <rPr>
            <sz val="10"/>
            <rFont val="Arial"/>
            <family val="2"/>
          </rPr>
          <t>Estimated from images (ref. https://www.youtube.com/watch?v=f_dcbh2r5vI)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HSMAD</t>
        </r>
      </text>
    </comment>
    <comment ref="I148" authorId="0" shapeId="0">
      <text>
        <r>
          <rPr>
            <b/>
            <sz val="9"/>
            <color indexed="81"/>
            <rFont val="Tahoma"/>
            <family val="2"/>
          </rPr>
          <t>50%</t>
        </r>
      </text>
    </comment>
    <comment ref="P148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48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49" authorId="1" shapeId="0">
      <text>
        <r>
          <rPr>
            <sz val="10"/>
            <rFont val="Arial"/>
            <family val="2"/>
          </rPr>
          <t>EMU Series 2000 Battery (ref. EMU Databook)</t>
        </r>
      </text>
    </comment>
    <comment ref="E149" authorId="1" shapeId="0">
      <text>
        <r>
          <rPr>
            <sz val="10"/>
            <rFont val="Arial"/>
            <family val="2"/>
          </rPr>
          <t>Assumed to be half the size of the METOX canister, based on drawings in EMU Databook (ref. EMU Databook)</t>
        </r>
      </text>
    </comment>
    <comment ref="P149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49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D150" authorId="1" shapeId="0">
      <text>
        <r>
          <rPr>
            <sz val="10"/>
            <rFont val="Arial"/>
            <family val="2"/>
          </rPr>
          <t>Based on Apollo A7LB Suit, minus EMU Battery mass (ref BVAD and EMU Databook)</t>
        </r>
      </text>
    </comment>
    <comment ref="E150" authorId="1" shapeId="0">
      <text>
        <r>
          <rPr>
            <sz val="10"/>
            <rFont val="Arial"/>
            <family val="2"/>
          </rPr>
          <t>Based on rough volume of EMU HUT and PLSS (other components assumed to fit within that volume) (ref. EMU Databook)</t>
        </r>
      </text>
    </comment>
    <comment ref="P150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Q150" authorId="0" shapeId="0">
      <text>
        <r>
          <rPr>
            <b/>
            <sz val="9"/>
            <color indexed="81"/>
            <rFont val="Tahoma"/>
            <family val="2"/>
          </rPr>
          <t>5x of Mars One</t>
        </r>
      </text>
    </comment>
    <comment ref="P156" authorId="0" shapeId="0">
      <text>
        <r>
          <rPr>
            <b/>
            <sz val="9"/>
            <color indexed="81"/>
            <rFont val="Tahoma"/>
            <family val="2"/>
          </rPr>
          <t>Need to bring before stable condition</t>
        </r>
      </text>
    </comment>
    <comment ref="S156" authorId="0" shapeId="0">
      <text>
        <r>
          <rPr>
            <b/>
            <sz val="9"/>
            <color indexed="81"/>
            <rFont val="Tahoma"/>
            <family val="2"/>
          </rPr>
          <t>Need Resupply periodically</t>
        </r>
      </text>
    </comment>
    <comment ref="U156" authorId="0" shapeId="0">
      <text>
        <r>
          <rPr>
            <b/>
            <sz val="9"/>
            <color indexed="81"/>
            <rFont val="Tahoma"/>
            <family val="2"/>
          </rPr>
          <t>Need Resupply periodically</t>
        </r>
      </text>
    </comment>
    <comment ref="P157" authorId="0" shapeId="0">
      <text>
        <r>
          <rPr>
            <b/>
            <sz val="9"/>
            <color indexed="81"/>
            <rFont val="Tahoma"/>
            <family val="2"/>
          </rPr>
          <t>Linear assumption based on Spec comparison</t>
        </r>
      </text>
    </comment>
    <comment ref="AA160" authorId="0" shapeId="0">
      <text>
        <r>
          <rPr>
            <b/>
            <sz val="9"/>
            <color indexed="81"/>
            <rFont val="Tahoma"/>
            <family val="2"/>
          </rPr>
          <t>Only inflatable part (excl. fixed modules, are they spaceships themselves?)</t>
        </r>
      </text>
    </comment>
  </commentList>
</comments>
</file>

<file path=xl/sharedStrings.xml><?xml version="1.0" encoding="utf-8"?>
<sst xmlns="http://schemas.openxmlformats.org/spreadsheetml/2006/main" count="1012" uniqueCount="605">
  <si>
    <t>ECLSS Architecture</t>
  </si>
  <si>
    <t>Atmosphere</t>
  </si>
  <si>
    <t>Earth-like</t>
  </si>
  <si>
    <t>&lt;1atm, denser O2</t>
  </si>
  <si>
    <t>Biological</t>
  </si>
  <si>
    <t>Hybrid</t>
  </si>
  <si>
    <t>Shower</t>
  </si>
  <si>
    <t>Wet wipes</t>
  </si>
  <si>
    <t>Clothing</t>
  </si>
  <si>
    <t>Open-loop</t>
  </si>
  <si>
    <t>Medical care facilities</t>
  </si>
  <si>
    <t>None</t>
  </si>
  <si>
    <t>handkits</t>
  </si>
  <si>
    <t>dedicated module</t>
  </si>
  <si>
    <t>Failure Condition</t>
  </si>
  <si>
    <t>Crew starvation</t>
  </si>
  <si>
    <t>Crew caloric consumption requirement is greater than calories available within food store</t>
  </si>
  <si>
    <t>Crew dehydration</t>
  </si>
  <si>
    <t>Crew water requirement is greater than potable water available within potable water store</t>
  </si>
  <si>
    <t>Crew hypoxia</t>
  </si>
  <si>
    <t>Partial pressure of oxygen within crew environment is less than 15.168kPa13</t>
  </si>
  <si>
    <t>Crew CO2 poisoning</t>
  </si>
  <si>
    <t>Partial pressure of carbon dioxide within crew environment is greater than 0.482kPa (0.07psi)13</t>
  </si>
  <si>
    <t>Cabin underpressure condition</t>
  </si>
  <si>
    <t>Total cabin pressure is less than 20.7kPa (3psi)13</t>
  </si>
  <si>
    <t>High Fire Risk</t>
  </si>
  <si>
    <t>Molar fraction of oxygen within crew environment exceeds 30%14</t>
  </si>
  <si>
    <t>3.       Habitat Resource Demands:</t>
  </si>
  <si>
    <t>Once crew tasks/activities and distribution of equipment throughout habitat is finalized:</t>
  </si>
  <si>
    <t>-          Select atmospheres (constrained by EVA and rover operations) – refer to EAWG report</t>
  </si>
  <si>
    <t>-          Architect ECLSS and crew systems</t>
  </si>
  <si>
    <r>
      <t>o   </t>
    </r>
    <r>
      <rPr>
        <sz val="11"/>
        <color rgb="FF000000"/>
        <rFont val="Calibri"/>
        <family val="2"/>
        <scheme val="minor"/>
      </rPr>
      <t>Important questions:</t>
    </r>
  </si>
  <si>
    <r>
      <t xml:space="preserve">§  ECLSS: Physico-chemical vs biological ECLSS? Grow crops or send food? What proportion of diet comes from crops? (see </t>
    </r>
    <r>
      <rPr>
        <u/>
        <sz val="11"/>
        <color rgb="FF1155CC"/>
        <rFont val="Calibri"/>
        <family val="2"/>
        <scheme val="minor"/>
      </rPr>
      <t>BVAD</t>
    </r>
    <r>
      <rPr>
        <sz val="11"/>
        <color rgb="FF000000"/>
        <rFont val="Calibri"/>
        <family val="2"/>
        <scheme val="minor"/>
      </rPr>
      <t xml:space="preserve"> and baseline </t>
    </r>
    <r>
      <rPr>
        <u/>
        <sz val="11"/>
        <color rgb="FF1155CC"/>
        <rFont val="Calibri"/>
        <family val="2"/>
        <scheme val="minor"/>
      </rPr>
      <t>ECLSS archs</t>
    </r>
    <r>
      <rPr>
        <sz val="11"/>
        <color rgb="FF000000"/>
        <rFont val="Calibri"/>
        <family val="2"/>
        <scheme val="minor"/>
      </rPr>
      <t xml:space="preserve"> here, for guidance)</t>
    </r>
  </si>
  <si>
    <t>§  Showering or wet wipes? Open loop clothing/soft goods or laundry systems (see here)? Extent of food preparation facilities? Extent of medical/dental care facilities? (all of these drive total system mass and volume)</t>
  </si>
  <si>
    <r>
      <t>o   </t>
    </r>
    <r>
      <rPr>
        <sz val="11"/>
        <color rgb="FF000000"/>
        <rFont val="Calibri"/>
        <family val="2"/>
        <scheme val="minor"/>
      </rPr>
      <t>This determines recurring demand for consumables (resupply and spare parts demand – talk to Andrew Owens about estimating spares requirements), as well as initial mass, volume, and power requirement of equipment within hab</t>
    </r>
  </si>
  <si>
    <t>-          Output of this and above analyses should be preliminary mass, power, and volume budgets</t>
  </si>
  <si>
    <t>days</t>
  </si>
  <si>
    <t>TBD</t>
  </si>
  <si>
    <t>Grow crop</t>
  </si>
  <si>
    <t>Food</t>
  </si>
  <si>
    <t>kg</t>
  </si>
  <si>
    <t>m3</t>
  </si>
  <si>
    <t>Source</t>
  </si>
  <si>
    <t>Habitat</t>
  </si>
  <si>
    <t>EVA</t>
  </si>
  <si>
    <t>Vehicle Definition Parameters</t>
  </si>
  <si>
    <t>Interior Atmosphere Definition (Manned)</t>
  </si>
  <si>
    <t>Nominal Crew Inputs</t>
  </si>
  <si>
    <t>No</t>
  </si>
  <si>
    <t>CM</t>
  </si>
  <si>
    <t>kPa</t>
  </si>
  <si>
    <t>day</t>
  </si>
  <si>
    <t xml:space="preserve"> [kg/d•mod]</t>
  </si>
  <si>
    <t>[m³]</t>
  </si>
  <si>
    <t>[kg/CM-d]</t>
  </si>
  <si>
    <t>[kg/d]</t>
  </si>
  <si>
    <t>Number of Crewmembers</t>
  </si>
  <si>
    <t>Manned Mission Duration</t>
  </si>
  <si>
    <t>No. of Dockings Requiring PMA Pressurization per Mission</t>
  </si>
  <si>
    <t>Will contingency considerations be included in this mission?</t>
  </si>
  <si>
    <t>Number of Modules modules</t>
  </si>
  <si>
    <t>Maximum Atmospheric Leakage per Module</t>
  </si>
  <si>
    <t>Total Pressurized Atmospheric Volume</t>
  </si>
  <si>
    <t>Total PMA Atmosphere Volume</t>
  </si>
  <si>
    <t>Nominal Total Atmosphere Pressure</t>
  </si>
  <si>
    <t>Nominal Atmosphere Oxygen Partial Pressure</t>
  </si>
  <si>
    <t>Nominal Atmosphere Water Vapor Partial Pressure</t>
  </si>
  <si>
    <t>Nominal Atmosphere Carbon Dioxide Partial Pressure</t>
  </si>
  <si>
    <t>Oral Hygiene Water</t>
  </si>
  <si>
    <t>Hand / Face Wash Water</t>
  </si>
  <si>
    <t>Urinal Flush Water</t>
  </si>
  <si>
    <t>Laundry Water</t>
  </si>
  <si>
    <t>Water Supplied by Fuel Cells</t>
  </si>
  <si>
    <t>Shower Water</t>
  </si>
  <si>
    <t>Dishwashing Water</t>
  </si>
  <si>
    <t>Drinking Water</t>
  </si>
  <si>
    <t>EHS Sample Water</t>
  </si>
  <si>
    <t xml:space="preserve">[kPa] </t>
  </si>
  <si>
    <t>Thermal Control System, Vehicle Characteristics</t>
  </si>
  <si>
    <t>Thermal Control System, Internal Thermal Control System Fluid Loop</t>
  </si>
  <si>
    <t>Thermal Control System, ITCS Loop Characteristics</t>
  </si>
  <si>
    <t>Thermal Control System, Physical Constants</t>
  </si>
  <si>
    <t>[m]</t>
  </si>
  <si>
    <t>[K]</t>
  </si>
  <si>
    <t>[kWth]</t>
  </si>
  <si>
    <t>dimensionless</t>
  </si>
  <si>
    <t>[kWth/m²]</t>
  </si>
  <si>
    <t>[degrees]</t>
  </si>
  <si>
    <t>fraction</t>
  </si>
  <si>
    <t>Characteristic Vehicle Length</t>
  </si>
  <si>
    <t>Characteristic Vehicle Radius</t>
  </si>
  <si>
    <t>ITCS Inlet Temperature</t>
  </si>
  <si>
    <t>ITCS Outlet Temperature</t>
  </si>
  <si>
    <t>Water</t>
  </si>
  <si>
    <t>ITCS Working Fluid</t>
  </si>
  <si>
    <t>Avionics from Cold Plates</t>
  </si>
  <si>
    <t>Avionics from Heat Exchanger (HX)</t>
  </si>
  <si>
    <t>Percentage from Cold Plates</t>
  </si>
  <si>
    <t>ITCS Pump Efficiency (eta)</t>
  </si>
  <si>
    <t>ITCS Line Diameter (Outside Diameter)</t>
  </si>
  <si>
    <t>ITCS Effective Line Length Multiplier</t>
  </si>
  <si>
    <t>Maximum Insolation</t>
  </si>
  <si>
    <t>Solar Incident Angle</t>
  </si>
  <si>
    <t>Albedo dimensionless</t>
  </si>
  <si>
    <t>View Factor of Ground dimensionless</t>
  </si>
  <si>
    <t>Additional Service</t>
  </si>
  <si>
    <t>Liquid Tankage Mass Penalty</t>
  </si>
  <si>
    <t>Factor for Valves and Fittings in TCS Lines</t>
  </si>
  <si>
    <t>Accumulator Volume Factor</t>
  </si>
  <si>
    <t>Phase Change Material Container Mass</t>
  </si>
  <si>
    <t>Volume Factor for Re-Entry Containment</t>
  </si>
  <si>
    <t>Percentage of Re-Entry for Aero-Brake</t>
  </si>
  <si>
    <t>Percentage of FES Ducting Assumed</t>
  </si>
  <si>
    <t>External Interfaces, EVA Support</t>
  </si>
  <si>
    <t>External Interfaces, Human Accommodations</t>
  </si>
  <si>
    <t>External Interfaces, Integrated Control</t>
  </si>
  <si>
    <t>Computational Parameters</t>
  </si>
  <si>
    <t>Yes</t>
  </si>
  <si>
    <t>[sorties/d]</t>
  </si>
  <si>
    <t>[sorties]</t>
  </si>
  <si>
    <t>[CM/sortie]</t>
  </si>
  <si>
    <t>[kg/CM-h]</t>
  </si>
  <si>
    <t>[kg/CM-EVA]</t>
  </si>
  <si>
    <t xml:space="preserve">[h] </t>
  </si>
  <si>
    <t xml:space="preserve">[%] </t>
  </si>
  <si>
    <t>[m³/CM-d]</t>
  </si>
  <si>
    <t>Low Tech</t>
  </si>
  <si>
    <t>Will oxygen required by EVA be generated?</t>
  </si>
  <si>
    <t>Total Number of EVAs per Day</t>
  </si>
  <si>
    <t>Total Number of EVAs per Mission</t>
  </si>
  <si>
    <t>EVA Duration</t>
  </si>
  <si>
    <t>Crewmembers per EVA</t>
  </si>
  <si>
    <t>Airlock Volume</t>
  </si>
  <si>
    <t>Airlock Free Gas Volume</t>
  </si>
  <si>
    <t>Airlock Gas Losses per Cycle</t>
  </si>
  <si>
    <t xml:space="preserve">Oxygen Consumption </t>
  </si>
  <si>
    <t>Nominal EMU Waste Water Recovery</t>
  </si>
  <si>
    <t>EVA Drinking Water</t>
  </si>
  <si>
    <t>Cooling Water Losses</t>
  </si>
  <si>
    <t>Maximum Absorbency Garment</t>
  </si>
  <si>
    <t>Waste Water Absorbed by Maximum Absorbency Garment</t>
  </si>
  <si>
    <t xml:space="preserve">Mass of Clothing without a Laundry Facility </t>
  </si>
  <si>
    <t>Volume of Clothing without a Laundry Facility</t>
  </si>
  <si>
    <t>Mass of Clothing with a Laundry Facility</t>
  </si>
  <si>
    <t>Volume of Clothing with a Laundry Facility</t>
  </si>
  <si>
    <t>Please select a sensory control level</t>
  </si>
  <si>
    <t>Maximum Allowable Iteration Count</t>
  </si>
  <si>
    <t>Maximum Change at Convergence</t>
  </si>
  <si>
    <t>NASA
2005</t>
  </si>
  <si>
    <t>Mars 2040</t>
  </si>
  <si>
    <t>Not so far</t>
  </si>
  <si>
    <t>100% O2</t>
  </si>
  <si>
    <t>O2/N2 storage</t>
  </si>
  <si>
    <t>High-pressure tanks</t>
  </si>
  <si>
    <t>Cyrogenic Storage</t>
  </si>
  <si>
    <t>Air/Water Regeneration</t>
  </si>
  <si>
    <t>Phisico-chemical</t>
  </si>
  <si>
    <t>Food Supply</t>
  </si>
  <si>
    <t>Send from Earth</t>
  </si>
  <si>
    <t>Bath</t>
  </si>
  <si>
    <t>Solid Waste</t>
  </si>
  <si>
    <t>Laundry</t>
  </si>
  <si>
    <t>Water process</t>
  </si>
  <si>
    <t>UPA+WPA</t>
  </si>
  <si>
    <t>VPCAR</t>
  </si>
  <si>
    <t>Store</t>
  </si>
  <si>
    <t>Lyophilize</t>
  </si>
  <si>
    <t>Power Source</t>
  </si>
  <si>
    <t>Solar</t>
  </si>
  <si>
    <t>Nuclear</t>
  </si>
  <si>
    <t>FY2014(2013.10-2014.9)</t>
  </si>
  <si>
    <t>Group</t>
  </si>
  <si>
    <t>Subgroup</t>
  </si>
  <si>
    <t>Subassembly</t>
  </si>
  <si>
    <t>Mass [kg]</t>
  </si>
  <si>
    <t>Volume [m^3]</t>
  </si>
  <si>
    <t>MTBF [h]</t>
  </si>
  <si>
    <t>Life Limit [y]</t>
  </si>
  <si>
    <t># in Primary System</t>
  </si>
  <si>
    <t># in Secondary System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</si>
  <si>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</si>
  <si>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</si>
  <si>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</si>
  <si>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</si>
  <si>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</si>
  <si>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</si>
  <si>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</si>
  <si>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</si>
  <si>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</si>
  <si>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 &amp; ORA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</si>
  <si>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</si>
  <si>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</si>
  <si>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</si>
  <si>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</si>
  <si>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</si>
  <si>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</si>
  <si>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</si>
  <si>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</si>
  <si>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</si>
  <si>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CCAA (x4)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</si>
  <si>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</si>
  <si>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</si>
  <si>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</si>
  <si>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</si>
  <si>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</si>
  <si>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</si>
  <si>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</si>
  <si>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</si>
  <si>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</si>
  <si>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</si>
  <si>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</si>
  <si>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</si>
  <si>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</si>
  <si>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</si>
  <si>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</si>
  <si>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</si>
  <si>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</si>
  <si>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</si>
  <si>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</si>
  <si>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</si>
  <si>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</si>
  <si>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</si>
  <si>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</si>
  <si>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</si>
  <si>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</si>
  <si>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</si>
  <si>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</si>
  <si>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</si>
  <si>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</si>
  <si>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</si>
  <si>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</si>
  <si>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</si>
  <si>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</si>
  <si>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</si>
  <si>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Phase Separator</t>
  </si>
  <si>
    <t>Valves</t>
  </si>
  <si>
    <t>Sensors</t>
  </si>
  <si>
    <t>Controller</t>
  </si>
  <si>
    <t>Compressor</t>
  </si>
  <si>
    <t>CO2 Injector</t>
  </si>
  <si>
    <t>Compressor (Mars to 1atm)</t>
  </si>
  <si>
    <t>BPS</t>
  </si>
  <si>
    <t>Mechanization Systems and Secondary Structure</t>
  </si>
  <si>
    <t>GLS</t>
  </si>
  <si>
    <t>LED Growth Light ORU</t>
  </si>
  <si>
    <t>ISRU (Crew System)</t>
  </si>
  <si>
    <t>AP</t>
  </si>
  <si>
    <t>Zeolite and Support Structure</t>
  </si>
  <si>
    <t>Cryocooler</t>
  </si>
  <si>
    <t>SP</t>
  </si>
  <si>
    <t>Mixing Auger</t>
  </si>
  <si>
    <t>Feed Cone</t>
  </si>
  <si>
    <t>Hopper</t>
  </si>
  <si>
    <t>Horizontal Feed Auger</t>
  </si>
  <si>
    <t>Oven Heater</t>
  </si>
  <si>
    <t>ISRU (Pre-Deployed)</t>
  </si>
  <si>
    <t>Compressor 1 (Mars to 1atm)</t>
  </si>
  <si>
    <t>Storage</t>
  </si>
  <si>
    <t>O2 Tank</t>
  </si>
  <si>
    <t>N2 Tank</t>
  </si>
  <si>
    <t>CO2 Accumulator</t>
  </si>
  <si>
    <t>Potable Water Tank</t>
  </si>
  <si>
    <t>Dirty Water Tank</t>
  </si>
  <si>
    <t>Gray Water Tank</t>
  </si>
  <si>
    <t>Crop Water Tank</t>
  </si>
  <si>
    <t>Biomass Storage</t>
  </si>
  <si>
    <t>Habitat Structure</t>
  </si>
  <si>
    <t>Inflatable Hab</t>
  </si>
  <si>
    <t>Crew Systems</t>
  </si>
  <si>
    <t>Galley and Food System</t>
  </si>
  <si>
    <t>Freezers</t>
  </si>
  <si>
    <t>Conventional oven</t>
  </si>
  <si>
    <t>Microwave ovens (2 ea.)</t>
  </si>
  <si>
    <t>Kichen/oven cleaning supplies (fluids, sponges, etc.)</t>
  </si>
  <si>
    <t>Sink, spigot for hydration of food and drinking water</t>
  </si>
  <si>
    <t>Dishwasher</t>
  </si>
  <si>
    <t>Cooking/eating supplies (pans, plastic dishes, plates, etc.)</t>
  </si>
  <si>
    <t>Waste Collection System</t>
  </si>
  <si>
    <t>Waste Collection System (2 toilets)</t>
  </si>
  <si>
    <t>WCS supplies (toilet paper, cleaning solutions, filters, etc.)</t>
  </si>
  <si>
    <t>Contingency fecal and urine collection mittens/bags</t>
  </si>
  <si>
    <t>Personal Hygiene</t>
  </si>
  <si>
    <t>Handwash/mousewash faucet</t>
  </si>
  <si>
    <t>Personal hygiene kit</t>
  </si>
  <si>
    <t>Hygiene supplies</t>
  </si>
  <si>
    <t>Washing machine</t>
  </si>
  <si>
    <t>Clothes dryer</t>
  </si>
  <si>
    <t>Recreational Equipment and Personal Stowage</t>
  </si>
  <si>
    <t>Personal Stowage/Closet Space</t>
  </si>
  <si>
    <t>Housekeeping</t>
  </si>
  <si>
    <t>Vacuum</t>
  </si>
  <si>
    <t>Trash compactor/trash lock</t>
  </si>
  <si>
    <t>Trash bags</t>
  </si>
  <si>
    <t>Operational Supplies and Restraints</t>
  </si>
  <si>
    <t>Restraints and mobility aids</t>
  </si>
  <si>
    <t>Photography</t>
  </si>
  <si>
    <t>Equipment</t>
  </si>
  <si>
    <t>Sleep Accommodations</t>
  </si>
  <si>
    <t>Sleep Provisions</t>
  </si>
  <si>
    <t>Crew Healthcare</t>
  </si>
  <si>
    <t>Medical/Surgical/Dental suite</t>
  </si>
  <si>
    <t>Medical/Surgical/Dental consumables</t>
  </si>
  <si>
    <t>Exercise Equipment</t>
  </si>
  <si>
    <t>ARED</t>
  </si>
  <si>
    <t>COLBERT</t>
  </si>
  <si>
    <t>CEVIS</t>
  </si>
  <si>
    <t>Battery</t>
  </si>
  <si>
    <t>Misc. Hardware</t>
  </si>
  <si>
    <t>with BPS</t>
  </si>
  <si>
    <t>no BPS</t>
  </si>
  <si>
    <t>mass</t>
  </si>
  <si>
    <t>diff</t>
  </si>
  <si>
    <t>Mars One (4 crew)</t>
  </si>
  <si>
    <t>Mass
[kg]</t>
  </si>
  <si>
    <t>Peak
Power
[W]</t>
  </si>
  <si>
    <t>Average
Power
[W]</t>
  </si>
  <si>
    <t># of Crew</t>
  </si>
  <si>
    <t>O2</t>
  </si>
  <si>
    <t>EMU</t>
  </si>
  <si>
    <t>Input</t>
  </si>
  <si>
    <t>kg/CM/h</t>
  </si>
  <si>
    <t>BVAD</t>
  </si>
  <si>
    <t>Oxygen Losses</t>
  </si>
  <si>
    <t>Airlock Gas Vol</t>
  </si>
  <si>
    <t>Gas Loss per Cycle</t>
  </si>
  <si>
    <t>Oxygen Comsumption</t>
  </si>
  <si>
    <t>Water Consumption</t>
  </si>
  <si>
    <t>CO2 Production</t>
  </si>
  <si>
    <t>mission duration</t>
  </si>
  <si>
    <t>Category</t>
  </si>
  <si>
    <t>General</t>
  </si>
  <si>
    <t>Freq of EVA</t>
  </si>
  <si>
    <t># of Crew/EVA</t>
  </si>
  <si>
    <t>CM/EVA</t>
  </si>
  <si>
    <t>EVA/week</t>
  </si>
  <si>
    <t>duration of EVA</t>
  </si>
  <si>
    <t>29.65kPa,100% O2</t>
  </si>
  <si>
    <t>Comment</t>
  </si>
  <si>
    <t>Mission Decision</t>
  </si>
  <si>
    <t>Unit</t>
  </si>
  <si>
    <t>Number</t>
  </si>
  <si>
    <t>From Aravind</t>
  </si>
  <si>
    <t>Architectural Decision</t>
  </si>
  <si>
    <t>Cabin Pressure</t>
  </si>
  <si>
    <t>Leakage Rate</t>
  </si>
  <si>
    <t>CO2 Generation</t>
  </si>
  <si>
    <t>kg/CM/day</t>
  </si>
  <si>
    <t>Spacesuit Pressure</t>
  </si>
  <si>
    <t>O2 Comsumption</t>
  </si>
  <si>
    <t>O2 Loss by EVA</t>
  </si>
  <si>
    <t>EVA time/week</t>
  </si>
  <si>
    <t>O2 Loss from Airlock</t>
  </si>
  <si>
    <t>Temperature</t>
  </si>
  <si>
    <t>K</t>
  </si>
  <si>
    <t>Gas Loss from Airlock</t>
  </si>
  <si>
    <t>MarsOne</t>
  </si>
  <si>
    <t>mol</t>
  </si>
  <si>
    <t>mol/Cycle</t>
  </si>
  <si>
    <t>O2 Mol Ratio</t>
  </si>
  <si>
    <t>g/Cycle</t>
  </si>
  <si>
    <t>N2 Loss from AirLock</t>
  </si>
  <si>
    <t>Cabin Volume</t>
  </si>
  <si>
    <t>5 times of Mars One</t>
  </si>
  <si>
    <t>N2 Pressure</t>
  </si>
  <si>
    <t>CO2 Mol Ratio</t>
  </si>
  <si>
    <t>Gas Loss by Leakage</t>
  </si>
  <si>
    <t>Cabin Air</t>
  </si>
  <si>
    <t>Gas Constant</t>
  </si>
  <si>
    <t>J/K*mol</t>
  </si>
  <si>
    <t>/day</t>
  </si>
  <si>
    <t>mol/day</t>
  </si>
  <si>
    <t>O2 Loss by Leakage</t>
  </si>
  <si>
    <t>kg/day</t>
  </si>
  <si>
    <t>N2 Loss by Leakage</t>
  </si>
  <si>
    <t>O2 Consumption by Breathing</t>
  </si>
  <si>
    <t>N2</t>
  </si>
  <si>
    <t>CO2</t>
  </si>
  <si>
    <t>CO2 Loss from AirLock</t>
  </si>
  <si>
    <t>CO2 Loss by Leakage</t>
  </si>
  <si>
    <t>CO2 Production by Breathing</t>
  </si>
  <si>
    <t>Production Fraction</t>
  </si>
  <si>
    <t>Key Variables</t>
  </si>
  <si>
    <t>Amount</t>
  </si>
  <si>
    <t>Description</t>
  </si>
  <si>
    <t>O2 Generation by crops</t>
  </si>
  <si>
    <t>O2 Storage</t>
  </si>
  <si>
    <t>O2 from BPS via ORA</t>
  </si>
  <si>
    <t>Output</t>
  </si>
  <si>
    <t>O2 to Cabin</t>
  </si>
  <si>
    <t>Balance</t>
  </si>
  <si>
    <t>O2 Supply from Storage</t>
  </si>
  <si>
    <t>O2 Supply to EMU</t>
  </si>
  <si>
    <t>CO2 Loss by EVA</t>
  </si>
  <si>
    <t>CO2 Removal by CDRA</t>
  </si>
  <si>
    <t>N2 Supply from Storage</t>
  </si>
  <si>
    <t>N2 Storage</t>
  </si>
  <si>
    <t>N2 Supply from ISRU</t>
  </si>
  <si>
    <t>N2 to Cabin</t>
  </si>
  <si>
    <t>Crew Composition</t>
  </si>
  <si>
    <t>Man</t>
  </si>
  <si>
    <t>Woman</t>
  </si>
  <si>
    <t>Man's Weight</t>
  </si>
  <si>
    <t>Crew</t>
  </si>
  <si>
    <t>Women's Weight</t>
  </si>
  <si>
    <t>H2O</t>
  </si>
  <si>
    <t>Supply from Portable Water</t>
  </si>
  <si>
    <t>Generation/Comsumption</t>
  </si>
  <si>
    <t>CO2 supply from CDRA</t>
  </si>
  <si>
    <t>Efficiency of Water Recovery</t>
  </si>
  <si>
    <t>Sabatier Water Production Efficiency</t>
  </si>
  <si>
    <t>Prespired/Respired Water Vapor</t>
  </si>
  <si>
    <t>Fecal Water</t>
  </si>
  <si>
    <t>Urine Water</t>
  </si>
  <si>
    <t>Drink Water</t>
  </si>
  <si>
    <t>p99</t>
  </si>
  <si>
    <t>Respiration/Perspiration Vapor</t>
  </si>
  <si>
    <t>Urinal Flush</t>
  </si>
  <si>
    <t>Oral Hygiene</t>
  </si>
  <si>
    <t>Hand Wash</t>
  </si>
  <si>
    <t>Biomass Production Water Comsumption</t>
  </si>
  <si>
    <t>kg/m2/day</t>
  </si>
  <si>
    <t>Laundry Input</t>
  </si>
  <si>
    <t>Laundry Output</t>
  </si>
  <si>
    <t>Portable Water</t>
  </si>
  <si>
    <t>CCAA</t>
  </si>
  <si>
    <t>Urine Water + Flush</t>
  </si>
  <si>
    <t>Hygiene(Oral+Hand)</t>
  </si>
  <si>
    <t>Dirty Water</t>
  </si>
  <si>
    <t>Grey Water</t>
  </si>
  <si>
    <t>Urine Flush</t>
  </si>
  <si>
    <r>
      <rPr>
        <b/>
        <sz val="11"/>
        <color rgb="FF0070C0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/>
    </r>
  </si>
  <si>
    <t>From</t>
  </si>
  <si>
    <t>m2</t>
  </si>
  <si>
    <t>Growing Crop Area</t>
  </si>
  <si>
    <t>Assumption from MarsOne(200m3 for 4 crew)</t>
  </si>
  <si>
    <t>Crop Water</t>
  </si>
  <si>
    <t>Food Processor</t>
  </si>
  <si>
    <t>Water from Food Process</t>
  </si>
  <si>
    <t>Derived from Generation/Consumption (Initial Input Here)</t>
  </si>
  <si>
    <t>Interface with External Subsystem</t>
  </si>
  <si>
    <t>Loss by EVA</t>
  </si>
  <si>
    <t>Supply from Storage</t>
  </si>
  <si>
    <t>Prespired/Respired Vapor</t>
  </si>
  <si>
    <t>Removal by CCAA</t>
  </si>
  <si>
    <t>Lettuce</t>
  </si>
  <si>
    <t>Peanut</t>
  </si>
  <si>
    <t>Soybean</t>
  </si>
  <si>
    <t>Wheat</t>
  </si>
  <si>
    <t>Growth Rate
[g/m2/day]</t>
  </si>
  <si>
    <t>Dry Basis
[g/m2/day]</t>
  </si>
  <si>
    <t>Fresh Basis
[g/m2/day]</t>
  </si>
  <si>
    <t>O2 Generation
[g/m2/day]</t>
  </si>
  <si>
    <t>CO2 Uptake
[g/m2/day]</t>
  </si>
  <si>
    <t>Water Uptake
[kg/m2/day]</t>
  </si>
  <si>
    <t>Edible</t>
  </si>
  <si>
    <t>Inedible</t>
  </si>
  <si>
    <t>Grow Area
[m2]</t>
  </si>
  <si>
    <t>Time to 
Maturity
[day]</t>
  </si>
  <si>
    <t>O2
Generation
[kg/day]</t>
  </si>
  <si>
    <t>Sum</t>
  </si>
  <si>
    <t>CO2 Uptake
[kg/day]</t>
  </si>
  <si>
    <t>Water Uptake
[kg/day]</t>
  </si>
  <si>
    <t>Dry Basis
Edible Crop
[kg/day]</t>
  </si>
  <si>
    <t>Indiv</t>
  </si>
  <si>
    <t>Dry Basis
InEdible Crop
[kg/day]</t>
  </si>
  <si>
    <t>Water Transpiration
[kg/m2/day]</t>
  </si>
  <si>
    <t>Water in
Inedible Crop
[kg/day]</t>
  </si>
  <si>
    <t>Water in
Edible Crop
[kg/day]</t>
  </si>
  <si>
    <t>Crop Transpiration</t>
  </si>
  <si>
    <t>Dry Bean</t>
  </si>
  <si>
    <t>Rice</t>
  </si>
  <si>
    <t>Tomato</t>
  </si>
  <si>
    <t>White Potato</t>
  </si>
  <si>
    <t>Sweat Potato</t>
  </si>
  <si>
    <t>Supply to EMU</t>
  </si>
  <si>
    <t>Return from WPA</t>
  </si>
  <si>
    <t>Supply from Habitat</t>
  </si>
  <si>
    <t>Supply to Grey Water</t>
  </si>
  <si>
    <t>Store as waste</t>
  </si>
  <si>
    <t>Food Process</t>
  </si>
  <si>
    <t>Supply from UPA</t>
  </si>
  <si>
    <t>Supply from CCAA</t>
  </si>
  <si>
    <t>Supply from ISRU</t>
  </si>
  <si>
    <t>Supply to Portable Water</t>
  </si>
  <si>
    <t>From Food Process</t>
  </si>
  <si>
    <t>Crop Water Uptake</t>
  </si>
  <si>
    <t>Efficiency of Water Recovery from Inedible Mass</t>
  </si>
  <si>
    <t>Fraction of Food Production</t>
  </si>
  <si>
    <t>%</t>
  </si>
  <si>
    <t>Required Nitrogen from ISRU</t>
  </si>
  <si>
    <t>Required Water from ISRU</t>
  </si>
  <si>
    <t>Supply from Crew</t>
  </si>
  <si>
    <t>Portable Water/Crew</t>
  </si>
  <si>
    <t>Freqency of EVA</t>
  </si>
  <si>
    <t>Duration of EVA</t>
  </si>
  <si>
    <t>hrs/CM</t>
  </si>
  <si>
    <t>h/week</t>
  </si>
  <si>
    <t>h/CM</t>
  </si>
  <si>
    <t>Crop Water/Food Process/Portable Water</t>
  </si>
  <si>
    <t>Dirty Water/UPA</t>
  </si>
  <si>
    <t>Grey Water/WPA</t>
  </si>
  <si>
    <t>O2 Generation</t>
  </si>
  <si>
    <t>ORA Removal to O2 Storage</t>
  </si>
  <si>
    <t>CO2 Uptake</t>
  </si>
  <si>
    <t>Total - O2 - CO2</t>
  </si>
  <si>
    <t>n = PV/RT</t>
  </si>
  <si>
    <t>O2 Supply from ISRU</t>
  </si>
  <si>
    <t>CO2 Injection from Air</t>
  </si>
  <si>
    <t>Required Oxygen from ISRU</t>
  </si>
  <si>
    <t>CO2 Input from CDRA to Sabatier</t>
  </si>
  <si>
    <t>Spec</t>
  </si>
  <si>
    <t>Food Storage</t>
  </si>
  <si>
    <t>kg/mission</t>
  </si>
  <si>
    <t>m3/mission</t>
  </si>
  <si>
    <t>Required Power (Average)</t>
  </si>
  <si>
    <t>Spare Rate</t>
  </si>
  <si>
    <t>/mission</t>
  </si>
  <si>
    <t>m2/unit</t>
  </si>
  <si>
    <t>Sum of ECLSS</t>
  </si>
  <si>
    <t>70.3kPa,26.5% O2</t>
  </si>
  <si>
    <t>50% Grow Crop</t>
  </si>
  <si>
    <t>Assumption</t>
  </si>
  <si>
    <t>Input from Summary Tab = Input from external modules</t>
  </si>
  <si>
    <t>Cabin Volume (fixed)</t>
  </si>
  <si>
    <t>Cabin Volume (inflatable)</t>
  </si>
  <si>
    <t>Cabin Volume (Total)</t>
  </si>
  <si>
    <t>Mass
[kg/mission]</t>
  </si>
  <si>
    <t>Volume
[m3/mission]</t>
  </si>
  <si>
    <t>Sum of Storage</t>
  </si>
  <si>
    <t>Sum of Hub Structure</t>
  </si>
  <si>
    <t>Sum of Crew Systems</t>
  </si>
  <si>
    <t>Total</t>
  </si>
  <si>
    <t>kW</t>
  </si>
  <si>
    <r>
      <rPr>
        <b/>
        <i/>
        <sz val="18"/>
        <color rgb="FF0070C0"/>
        <rFont val="Calibri"/>
        <family val="2"/>
        <scheme val="minor"/>
      </rPr>
      <t>Input</t>
    </r>
    <r>
      <rPr>
        <i/>
        <sz val="18"/>
        <color rgb="FF0070C0"/>
        <rFont val="Calibri"/>
        <family val="2"/>
        <scheme val="minor"/>
      </rPr>
      <t xml:space="preserve"> </t>
    </r>
    <r>
      <rPr>
        <i/>
        <sz val="12"/>
        <color rgb="FF0070C0"/>
        <rFont val="Calibri"/>
        <family val="2"/>
        <scheme val="minor"/>
      </rPr>
      <t>- Architectual Decision / Input from External Subsystems</t>
    </r>
  </si>
  <si>
    <t>⇒</t>
  </si>
  <si>
    <r>
      <rPr>
        <b/>
        <i/>
        <sz val="18"/>
        <color rgb="FFFF0000"/>
        <rFont val="Calibri"/>
        <family val="2"/>
        <scheme val="minor"/>
      </rPr>
      <t xml:space="preserve">Output </t>
    </r>
    <r>
      <rPr>
        <i/>
        <sz val="18"/>
        <color rgb="FFFF0000"/>
        <rFont val="Calibri"/>
        <family val="2"/>
        <scheme val="minor"/>
      </rPr>
      <t>- to External Subsystems</t>
    </r>
  </si>
  <si>
    <t>Crew Activity</t>
  </si>
  <si>
    <t>ISRU</t>
  </si>
  <si>
    <t>Logistics</t>
  </si>
  <si>
    <t>Power Supply</t>
  </si>
  <si>
    <t>Interface</t>
  </si>
  <si>
    <t>Required Consumables (Mass)</t>
  </si>
  <si>
    <t>Required Consumables (Volume)</t>
  </si>
  <si>
    <t>Derived from Generation/Consumption Table(Initial Input Here)</t>
  </si>
  <si>
    <t>Vapor generated by crop transpiration can be recovered with 100% efficiency</t>
  </si>
  <si>
    <t>Water and Oxygen consumed in EVA are not recoverable</t>
  </si>
  <si>
    <t>Input from external Subsystem / Constants</t>
  </si>
  <si>
    <t>Grow Crop</t>
  </si>
  <si>
    <t>Spares</t>
  </si>
  <si>
    <t>Consumables</t>
  </si>
  <si>
    <t>Hub Structure</t>
  </si>
  <si>
    <t>Partial water can be recovered from inedible biomass, but the recovery of other gas(CO2 etc) is not considered yet</t>
  </si>
  <si>
    <t>2 crews can go outside at once (constraint from airlock capacity)</t>
  </si>
  <si>
    <t>Just assuming stable condition with constant average flow rate</t>
  </si>
  <si>
    <t>Packed Food Mass</t>
  </si>
  <si>
    <t>BVAD p56</t>
  </si>
  <si>
    <t>Packed Food Volume</t>
  </si>
  <si>
    <t>Crop composition is same as Mars One Analysis</t>
  </si>
  <si>
    <t>Exogenous Constants</t>
  </si>
  <si>
    <t>Grey Cells - Not necessary for calculation so far</t>
  </si>
  <si>
    <t>Habitat volume is given, and all parts are pressurized</t>
  </si>
  <si>
    <t>Crew Hour for food growth</t>
  </si>
  <si>
    <t>CM-h/m3/yr</t>
  </si>
  <si>
    <t>BVAD 2015 p163</t>
  </si>
  <si>
    <t>Food Growth</t>
  </si>
  <si>
    <t>Crew Time for Food Growth</t>
  </si>
  <si>
    <t>BVAD 2015 p53</t>
  </si>
  <si>
    <t>Architectual Decision, BVAD 2015 p53</t>
  </si>
  <si>
    <t>BVAD 2015</t>
  </si>
  <si>
    <t>p131</t>
  </si>
  <si>
    <t>p53</t>
  </si>
  <si>
    <t>p65</t>
  </si>
  <si>
    <t>p50</t>
  </si>
  <si>
    <t>BVAD 2015 p166</t>
  </si>
  <si>
    <t>BVAD 2015 p167</t>
  </si>
  <si>
    <t>p132</t>
  </si>
  <si>
    <t>p130</t>
  </si>
  <si>
    <t>Grown Edible Food Mass[kg/day]</t>
  </si>
  <si>
    <t>CM-h/day</t>
  </si>
  <si>
    <t>Edible Food Growth Time[CM-h/kg]</t>
  </si>
  <si>
    <t>Dry</t>
  </si>
  <si>
    <t>Packed</t>
  </si>
  <si>
    <t>Grown</t>
  </si>
  <si>
    <t>Drink</t>
  </si>
  <si>
    <t>BVAD 2015 p50</t>
  </si>
  <si>
    <t>Ref</t>
  </si>
  <si>
    <t>BVAD p27</t>
  </si>
  <si>
    <t>FoodMass</t>
  </si>
  <si>
    <t>Mass[kg]</t>
  </si>
  <si>
    <t>Vol[m3]</t>
  </si>
  <si>
    <t>Power[W]</t>
  </si>
  <si>
    <t>CM-h/day/%</t>
  </si>
  <si>
    <t>CM-h/CM-day</t>
  </si>
  <si>
    <t>BVAD 2015 p109</t>
  </si>
  <si>
    <t>Packed Food Preparation Time</t>
  </si>
  <si>
    <t>Grown Food Preparation Time</t>
  </si>
  <si>
    <t>Food Preparation Time</t>
  </si>
  <si>
    <t>Crew Time for Cooking</t>
  </si>
  <si>
    <t>BOS-EWR</t>
  </si>
  <si>
    <t>BVAD 2015
p169</t>
  </si>
  <si>
    <t>Acid Usage
[g/m2/day]</t>
  </si>
  <si>
    <t>Neseccary Acid[g/day]</t>
  </si>
  <si>
    <t>Neseccary Acid[kg/mission]</t>
  </si>
  <si>
    <t>Units</t>
  </si>
  <si>
    <t>m3/CM/day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</si>
</sst>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0" tint="-0.499984740745262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i/>
      <sz val="18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sz val="8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i/>
      <sz val="18"/>
      <color rgb="FF0070C0"/>
      <name val="Calibri"/>
      <family val="2"/>
      <scheme val="minor"/>
    </font>
    <font>
      <b/>
      <sz val="8"/>
      <color theme="0" tint="-0.499984740745262"/>
      <name val="Arial"/>
      <family val="2"/>
    </font>
    <font>
      <i/>
      <sz val="12"/>
      <color rgb="FF0070C0"/>
      <name val="Calibri"/>
      <family val="2"/>
      <scheme val="minor"/>
    </font>
    <font>
      <i/>
      <sz val="18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sz val="20"/>
      <color theme="1"/>
      <name val="Arial"/>
      <family val="2"/>
    </font>
    <font>
      <b/>
      <sz val="4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373">
    <xf numFmtId="0" fontId="0" fillId="0" borderId="0" xfId="0"/>
    <xf numFmtId="0" fontId="1" fillId="0" borderId="0" xfId="0" applyFont="1" applyFill="1" applyBorder="1" applyAlignment="1">
      <alignment wrapText="1"/>
    </xf>
    <xf numFmtId="0" fontId="2" fillId="0" borderId="0" xfId="0" applyFont="1" applyAlignment="1">
      <alignment horizontal="left" vertical="center" indent="5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/>
    <xf numFmtId="0" fontId="7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/>
    </xf>
    <xf numFmtId="0" fontId="1" fillId="3" borderId="3" xfId="0" applyFont="1" applyFill="1" applyBorder="1" applyAlignment="1">
      <alignment wrapText="1"/>
    </xf>
    <xf numFmtId="0" fontId="0" fillId="0" borderId="3" xfId="0" applyBorder="1"/>
    <xf numFmtId="0" fontId="1" fillId="0" borderId="1" xfId="0" applyFont="1" applyBorder="1" applyAlignment="1">
      <alignment wrapText="1"/>
    </xf>
    <xf numFmtId="0" fontId="0" fillId="0" borderId="0" xfId="0" applyFill="1"/>
    <xf numFmtId="0" fontId="9" fillId="0" borderId="0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right"/>
    </xf>
    <xf numFmtId="0" fontId="10" fillId="2" borderId="0" xfId="0" applyFont="1" applyFill="1" applyBorder="1"/>
    <xf numFmtId="0" fontId="10" fillId="0" borderId="0" xfId="0" applyFont="1" applyBorder="1" applyAlignment="1">
      <alignment vertical="center" wrapText="1"/>
    </xf>
    <xf numFmtId="0" fontId="10" fillId="0" borderId="6" xfId="0" applyFont="1" applyBorder="1" applyAlignment="1">
      <alignment wrapText="1"/>
    </xf>
    <xf numFmtId="0" fontId="10" fillId="0" borderId="6" xfId="0" applyFont="1" applyBorder="1"/>
    <xf numFmtId="0" fontId="10" fillId="0" borderId="6" xfId="0" applyFont="1" applyBorder="1" applyAlignment="1">
      <alignment horizontal="right"/>
    </xf>
    <xf numFmtId="0" fontId="10" fillId="0" borderId="6" xfId="0" applyFont="1" applyBorder="1" applyAlignment="1">
      <alignment horizontal="right" wrapText="1"/>
    </xf>
    <xf numFmtId="0" fontId="10" fillId="0" borderId="6" xfId="0" applyFont="1" applyFill="1" applyBorder="1" applyAlignment="1">
      <alignment horizontal="right" wrapText="1"/>
    </xf>
    <xf numFmtId="0" fontId="10" fillId="0" borderId="6" xfId="0" applyFont="1" applyFill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165" fontId="12" fillId="0" borderId="0" xfId="0" applyNumberFormat="1" applyFont="1" applyBorder="1" applyAlignment="1"/>
    <xf numFmtId="164" fontId="12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164" fontId="12" fillId="0" borderId="0" xfId="0" applyNumberFormat="1" applyFont="1" applyBorder="1" applyAlignment="1"/>
    <xf numFmtId="0" fontId="12" fillId="0" borderId="0" xfId="0" applyFont="1" applyBorder="1"/>
    <xf numFmtId="165" fontId="12" fillId="0" borderId="6" xfId="0" applyNumberFormat="1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8" fillId="0" borderId="6" xfId="0" applyFont="1" applyBorder="1"/>
    <xf numFmtId="10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8" fillId="0" borderId="8" xfId="0" applyFont="1" applyBorder="1" applyAlignment="1"/>
    <xf numFmtId="0" fontId="0" fillId="0" borderId="9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0" xfId="0" applyBorder="1"/>
    <xf numFmtId="2" fontId="17" fillId="0" borderId="0" xfId="0" applyNumberFormat="1" applyFont="1" applyBorder="1"/>
    <xf numFmtId="0" fontId="0" fillId="0" borderId="12" xfId="0" applyBorder="1"/>
    <xf numFmtId="0" fontId="0" fillId="0" borderId="6" xfId="0" applyBorder="1"/>
    <xf numFmtId="2" fontId="18" fillId="0" borderId="6" xfId="0" applyNumberFormat="1" applyFont="1" applyBorder="1"/>
    <xf numFmtId="0" fontId="0" fillId="0" borderId="14" xfId="0" applyBorder="1"/>
    <xf numFmtId="2" fontId="18" fillId="0" borderId="0" xfId="0" applyNumberFormat="1" applyFont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9" xfId="0" applyBorder="1" applyAlignment="1">
      <alignment horizontal="center" vertical="center"/>
    </xf>
    <xf numFmtId="2" fontId="17" fillId="4" borderId="0" xfId="0" applyNumberFormat="1" applyFont="1" applyFill="1" applyBorder="1"/>
    <xf numFmtId="0" fontId="8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2" fontId="0" fillId="4" borderId="0" xfId="0" applyNumberFormat="1" applyFill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2" fontId="18" fillId="9" borderId="6" xfId="0" applyNumberFormat="1" applyFont="1" applyFill="1" applyBorder="1"/>
    <xf numFmtId="2" fontId="17" fillId="9" borderId="0" xfId="0" applyNumberFormat="1" applyFont="1" applyFill="1" applyBorder="1"/>
    <xf numFmtId="2" fontId="18" fillId="9" borderId="0" xfId="0" applyNumberFormat="1" applyFont="1" applyFill="1" applyBorder="1"/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0" borderId="0" xfId="0" applyFont="1"/>
    <xf numFmtId="0" fontId="1" fillId="0" borderId="0" xfId="0" applyFont="1"/>
    <xf numFmtId="0" fontId="1" fillId="0" borderId="0" xfId="0" applyFont="1" applyFill="1" applyBorder="1"/>
    <xf numFmtId="2" fontId="1" fillId="0" borderId="0" xfId="0" applyNumberFormat="1" applyFont="1"/>
    <xf numFmtId="0" fontId="24" fillId="0" borderId="0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wrapText="1"/>
    </xf>
    <xf numFmtId="2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" fillId="0" borderId="1" xfId="0" applyFont="1" applyBorder="1"/>
    <xf numFmtId="2" fontId="1" fillId="0" borderId="1" xfId="0" applyNumberFormat="1" applyFont="1" applyBorder="1"/>
    <xf numFmtId="0" fontId="8" fillId="0" borderId="8" xfId="0" applyFont="1" applyBorder="1"/>
    <xf numFmtId="2" fontId="0" fillId="0" borderId="6" xfId="0" applyNumberFormat="1" applyBorder="1"/>
    <xf numFmtId="0" fontId="0" fillId="8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2" fontId="0" fillId="9" borderId="0" xfId="0" applyNumberFormat="1" applyFill="1" applyBorder="1"/>
    <xf numFmtId="0" fontId="0" fillId="0" borderId="13" xfId="0" applyBorder="1" applyAlignment="1">
      <alignment vertical="center"/>
    </xf>
    <xf numFmtId="0" fontId="0" fillId="7" borderId="6" xfId="0" applyFill="1" applyBorder="1" applyAlignment="1">
      <alignment vertical="center"/>
    </xf>
    <xf numFmtId="0" fontId="26" fillId="2" borderId="1" xfId="0" applyFont="1" applyFill="1" applyBorder="1"/>
    <xf numFmtId="2" fontId="26" fillId="2" borderId="1" xfId="0" applyNumberFormat="1" applyFont="1" applyFill="1" applyBorder="1"/>
    <xf numFmtId="0" fontId="0" fillId="0" borderId="11" xfId="0" applyBorder="1" applyAlignment="1">
      <alignment vertical="center"/>
    </xf>
    <xf numFmtId="0" fontId="0" fillId="0" borderId="0" xfId="0" applyFill="1" applyBorder="1"/>
    <xf numFmtId="2" fontId="0" fillId="9" borderId="6" xfId="0" applyNumberFormat="1" applyFill="1" applyBorder="1"/>
    <xf numFmtId="2" fontId="24" fillId="2" borderId="0" xfId="0" applyNumberFormat="1" applyFont="1" applyFill="1"/>
    <xf numFmtId="0" fontId="23" fillId="0" borderId="8" xfId="0" applyFont="1" applyBorder="1"/>
    <xf numFmtId="0" fontId="22" fillId="0" borderId="0" xfId="0" applyFont="1" applyFill="1" applyBorder="1"/>
    <xf numFmtId="0" fontId="0" fillId="0" borderId="13" xfId="0" applyBorder="1" applyAlignment="1">
      <alignment horizontal="center"/>
    </xf>
    <xf numFmtId="0" fontId="0" fillId="8" borderId="6" xfId="0" applyFill="1" applyBorder="1" applyAlignment="1">
      <alignment vertical="center"/>
    </xf>
    <xf numFmtId="2" fontId="17" fillId="4" borderId="6" xfId="0" applyNumberFormat="1" applyFont="1" applyFill="1" applyBorder="1"/>
    <xf numFmtId="2" fontId="26" fillId="4" borderId="1" xfId="0" applyNumberFormat="1" applyFont="1" applyFill="1" applyBorder="1"/>
    <xf numFmtId="0" fontId="28" fillId="0" borderId="0" xfId="0" applyFont="1"/>
    <xf numFmtId="0" fontId="28" fillId="0" borderId="0" xfId="0" applyFont="1" applyFill="1"/>
    <xf numFmtId="9" fontId="0" fillId="2" borderId="0" xfId="0" applyNumberFormat="1" applyFill="1"/>
    <xf numFmtId="2" fontId="8" fillId="0" borderId="0" xfId="0" applyNumberFormat="1" applyFont="1" applyBorder="1"/>
    <xf numFmtId="0" fontId="9" fillId="0" borderId="4" xfId="0" applyNumberFormat="1" applyFont="1" applyBorder="1" applyAlignment="1">
      <alignment wrapText="1"/>
    </xf>
    <xf numFmtId="0" fontId="10" fillId="0" borderId="0" xfId="0" applyNumberFormat="1" applyFont="1" applyBorder="1" applyAlignment="1">
      <alignment horizontal="right" wrapText="1"/>
    </xf>
    <xf numFmtId="0" fontId="10" fillId="0" borderId="6" xfId="0" applyNumberFormat="1" applyFont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right" wrapText="1"/>
    </xf>
    <xf numFmtId="0" fontId="10" fillId="0" borderId="6" xfId="0" applyNumberFormat="1" applyFont="1" applyFill="1" applyBorder="1" applyAlignment="1">
      <alignment horizontal="right" wrapText="1"/>
    </xf>
    <xf numFmtId="0" fontId="10" fillId="0" borderId="0" xfId="0" applyNumberFormat="1" applyFont="1" applyBorder="1" applyAlignment="1">
      <alignment wrapText="1"/>
    </xf>
    <xf numFmtId="0" fontId="10" fillId="0" borderId="0" xfId="0" applyNumberFormat="1" applyFont="1" applyBorder="1"/>
    <xf numFmtId="0" fontId="9" fillId="0" borderId="6" xfId="0" applyFont="1" applyBorder="1" applyAlignment="1">
      <alignment horizontal="right"/>
    </xf>
    <xf numFmtId="2" fontId="10" fillId="0" borderId="0" xfId="0" applyNumberFormat="1" applyFont="1" applyBorder="1"/>
    <xf numFmtId="2" fontId="9" fillId="0" borderId="4" xfId="0" applyNumberFormat="1" applyFont="1" applyBorder="1" applyAlignment="1">
      <alignment wrapText="1"/>
    </xf>
    <xf numFmtId="2" fontId="10" fillId="0" borderId="6" xfId="0" applyNumberFormat="1" applyFont="1" applyBorder="1"/>
    <xf numFmtId="0" fontId="9" fillId="0" borderId="16" xfId="0" applyNumberFormat="1" applyFont="1" applyBorder="1" applyAlignment="1">
      <alignment wrapText="1"/>
    </xf>
    <xf numFmtId="0" fontId="10" fillId="0" borderId="11" xfId="0" applyNumberFormat="1" applyFont="1" applyBorder="1" applyAlignment="1">
      <alignment horizontal="right" wrapText="1"/>
    </xf>
    <xf numFmtId="0" fontId="10" fillId="0" borderId="13" xfId="0" applyNumberFormat="1" applyFont="1" applyBorder="1" applyAlignment="1">
      <alignment horizontal="right" wrapText="1"/>
    </xf>
    <xf numFmtId="2" fontId="9" fillId="0" borderId="13" xfId="0" applyNumberFormat="1" applyFont="1" applyBorder="1" applyAlignment="1">
      <alignment horizontal="right" wrapText="1"/>
    </xf>
    <xf numFmtId="0" fontId="10" fillId="0" borderId="11" xfId="0" applyNumberFormat="1" applyFont="1" applyFill="1" applyBorder="1" applyAlignment="1">
      <alignment horizontal="right" wrapText="1"/>
    </xf>
    <xf numFmtId="0" fontId="10" fillId="0" borderId="13" xfId="0" applyNumberFormat="1" applyFont="1" applyFill="1" applyBorder="1" applyAlignment="1">
      <alignment horizontal="right" wrapText="1"/>
    </xf>
    <xf numFmtId="2" fontId="9" fillId="0" borderId="13" xfId="0" applyNumberFormat="1" applyFont="1" applyFill="1" applyBorder="1" applyAlignment="1">
      <alignment horizontal="right" wrapText="1"/>
    </xf>
    <xf numFmtId="0" fontId="10" fillId="0" borderId="11" xfId="0" applyNumberFormat="1" applyFont="1" applyBorder="1" applyAlignment="1">
      <alignment wrapText="1"/>
    </xf>
    <xf numFmtId="0" fontId="10" fillId="0" borderId="11" xfId="0" applyNumberFormat="1" applyFont="1" applyBorder="1"/>
    <xf numFmtId="2" fontId="10" fillId="0" borderId="0" xfId="0" applyNumberFormat="1" applyFont="1" applyBorder="1" applyAlignment="1">
      <alignment wrapText="1"/>
    </xf>
    <xf numFmtId="2" fontId="12" fillId="0" borderId="0" xfId="0" applyNumberFormat="1" applyFont="1" applyBorder="1" applyAlignment="1">
      <alignment horizontal="right"/>
    </xf>
    <xf numFmtId="2" fontId="12" fillId="0" borderId="6" xfId="0" applyNumberFormat="1" applyFont="1" applyBorder="1" applyAlignment="1">
      <alignment horizontal="right"/>
    </xf>
    <xf numFmtId="2" fontId="9" fillId="2" borderId="6" xfId="0" applyNumberFormat="1" applyFont="1" applyFill="1" applyBorder="1" applyAlignment="1">
      <alignment horizontal="right"/>
    </xf>
    <xf numFmtId="2" fontId="9" fillId="2" borderId="6" xfId="0" applyNumberFormat="1" applyFont="1" applyFill="1" applyBorder="1" applyAlignment="1">
      <alignment horizontal="right" wrapText="1"/>
    </xf>
    <xf numFmtId="2" fontId="10" fillId="0" borderId="6" xfId="0" applyNumberFormat="1" applyFont="1" applyBorder="1" applyAlignment="1">
      <alignment horizontal="right"/>
    </xf>
    <xf numFmtId="2" fontId="10" fillId="0" borderId="6" xfId="0" applyNumberFormat="1" applyFont="1" applyBorder="1" applyAlignment="1">
      <alignment horizontal="right" wrapText="1"/>
    </xf>
    <xf numFmtId="2" fontId="12" fillId="0" borderId="0" xfId="0" applyNumberFormat="1" applyFont="1" applyBorder="1" applyAlignment="1"/>
    <xf numFmtId="2" fontId="12" fillId="5" borderId="0" xfId="0" applyNumberFormat="1" applyFont="1" applyFill="1" applyBorder="1" applyAlignment="1">
      <alignment horizontal="right"/>
    </xf>
    <xf numFmtId="2" fontId="10" fillId="0" borderId="0" xfId="0" applyNumberFormat="1" applyFont="1" applyBorder="1" applyAlignment="1">
      <alignment vertical="center" wrapText="1"/>
    </xf>
    <xf numFmtId="2" fontId="13" fillId="9" borderId="0" xfId="0" applyNumberFormat="1" applyFont="1" applyFill="1" applyBorder="1" applyAlignment="1">
      <alignment horizontal="right"/>
    </xf>
    <xf numFmtId="0" fontId="10" fillId="9" borderId="0" xfId="0" applyFont="1" applyFill="1" applyBorder="1" applyAlignment="1">
      <alignment horizontal="right"/>
    </xf>
    <xf numFmtId="0" fontId="12" fillId="9" borderId="0" xfId="0" applyFont="1" applyFill="1" applyBorder="1" applyAlignment="1">
      <alignment horizontal="right"/>
    </xf>
    <xf numFmtId="0" fontId="9" fillId="0" borderId="6" xfId="0" applyFont="1" applyBorder="1" applyAlignment="1">
      <alignment horizontal="right" wrapText="1"/>
    </xf>
    <xf numFmtId="0" fontId="10" fillId="0" borderId="9" xfId="0" applyFont="1" applyBorder="1"/>
    <xf numFmtId="2" fontId="14" fillId="0" borderId="9" xfId="0" applyNumberFormat="1" applyFont="1" applyBorder="1" applyAlignment="1">
      <alignment horizontal="right"/>
    </xf>
    <xf numFmtId="165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16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wrapText="1"/>
    </xf>
    <xf numFmtId="0" fontId="14" fillId="0" borderId="9" xfId="0" applyFont="1" applyFill="1" applyBorder="1" applyAlignment="1">
      <alignment horizontal="right" wrapText="1"/>
    </xf>
    <xf numFmtId="0" fontId="14" fillId="0" borderId="9" xfId="0" applyNumberFormat="1" applyFont="1" applyFill="1" applyBorder="1" applyAlignment="1">
      <alignment horizontal="right" wrapText="1"/>
    </xf>
    <xf numFmtId="0" fontId="14" fillId="0" borderId="8" xfId="0" applyNumberFormat="1" applyFont="1" applyFill="1" applyBorder="1" applyAlignment="1">
      <alignment horizontal="right" wrapText="1"/>
    </xf>
    <xf numFmtId="2" fontId="14" fillId="0" borderId="9" xfId="0" applyNumberFormat="1" applyFont="1" applyBorder="1"/>
    <xf numFmtId="2" fontId="10" fillId="0" borderId="9" xfId="0" applyNumberFormat="1" applyFont="1" applyBorder="1"/>
    <xf numFmtId="0" fontId="1" fillId="0" borderId="21" xfId="0" applyFont="1" applyBorder="1" applyAlignment="1">
      <alignment wrapText="1"/>
    </xf>
    <xf numFmtId="0" fontId="1" fillId="0" borderId="19" xfId="0" applyFont="1" applyFill="1" applyBorder="1" applyAlignment="1">
      <alignment wrapText="1"/>
    </xf>
    <xf numFmtId="0" fontId="0" fillId="0" borderId="19" xfId="0" applyBorder="1"/>
    <xf numFmtId="0" fontId="1" fillId="2" borderId="19" xfId="0" applyFont="1" applyFill="1" applyBorder="1" applyAlignment="1">
      <alignment wrapText="1"/>
    </xf>
    <xf numFmtId="0" fontId="0" fillId="0" borderId="11" xfId="0" applyBorder="1"/>
    <xf numFmtId="0" fontId="1" fillId="0" borderId="11" xfId="0" applyFont="1" applyFill="1" applyBorder="1" applyAlignment="1">
      <alignment wrapText="1"/>
    </xf>
    <xf numFmtId="2" fontId="9" fillId="0" borderId="6" xfId="0" applyNumberFormat="1" applyFont="1" applyBorder="1" applyAlignment="1">
      <alignment horizontal="right" wrapText="1"/>
    </xf>
    <xf numFmtId="0" fontId="10" fillId="0" borderId="14" xfId="0" applyFont="1" applyBorder="1"/>
    <xf numFmtId="0" fontId="31" fillId="0" borderId="1" xfId="0" applyFont="1" applyFill="1" applyBorder="1" applyAlignment="1">
      <alignment wrapText="1"/>
    </xf>
    <xf numFmtId="0" fontId="32" fillId="0" borderId="1" xfId="0" applyFont="1" applyFill="1" applyBorder="1" applyAlignment="1">
      <alignment wrapText="1"/>
    </xf>
    <xf numFmtId="0" fontId="32" fillId="0" borderId="1" xfId="0" applyFont="1" applyFill="1" applyBorder="1"/>
    <xf numFmtId="2" fontId="32" fillId="0" borderId="1" xfId="0" applyNumberFormat="1" applyFont="1" applyFill="1" applyBorder="1" applyAlignment="1">
      <alignment wrapText="1"/>
    </xf>
    <xf numFmtId="2" fontId="32" fillId="0" borderId="1" xfId="0" applyNumberFormat="1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2" fillId="0" borderId="1" xfId="0" applyFont="1" applyBorder="1"/>
    <xf numFmtId="2" fontId="32" fillId="0" borderId="1" xfId="0" applyNumberFormat="1" applyFont="1" applyBorder="1"/>
    <xf numFmtId="2" fontId="9" fillId="4" borderId="0" xfId="0" applyNumberFormat="1" applyFont="1" applyFill="1" applyBorder="1"/>
    <xf numFmtId="0" fontId="9" fillId="0" borderId="11" xfId="0" applyNumberFormat="1" applyFont="1" applyBorder="1" applyAlignment="1">
      <alignment horizontal="right" wrapText="1"/>
    </xf>
    <xf numFmtId="2" fontId="9" fillId="4" borderId="18" xfId="0" applyNumberFormat="1" applyFont="1" applyFill="1" applyBorder="1" applyAlignment="1">
      <alignment vertical="center"/>
    </xf>
    <xf numFmtId="2" fontId="9" fillId="12" borderId="18" xfId="0" applyNumberFormat="1" applyFont="1" applyFill="1" applyBorder="1" applyAlignment="1">
      <alignment vertical="center"/>
    </xf>
    <xf numFmtId="2" fontId="9" fillId="0" borderId="0" xfId="0" applyNumberFormat="1" applyFont="1" applyFill="1" applyBorder="1"/>
    <xf numFmtId="0" fontId="10" fillId="2" borderId="6" xfId="0" applyFont="1" applyFill="1" applyBorder="1" applyAlignment="1">
      <alignment horizontal="right" wrapText="1"/>
    </xf>
    <xf numFmtId="0" fontId="10" fillId="2" borderId="6" xfId="0" applyNumberFormat="1" applyFont="1" applyFill="1" applyBorder="1" applyAlignment="1">
      <alignment horizontal="right" wrapText="1"/>
    </xf>
    <xf numFmtId="1" fontId="9" fillId="0" borderId="13" xfId="0" applyNumberFormat="1" applyFont="1" applyFill="1" applyBorder="1" applyAlignment="1">
      <alignment horizontal="right" wrapText="1"/>
    </xf>
    <xf numFmtId="0" fontId="29" fillId="0" borderId="6" xfId="0" applyNumberFormat="1" applyFont="1" applyFill="1" applyBorder="1" applyAlignment="1">
      <alignment horizontal="right" wrapText="1"/>
    </xf>
    <xf numFmtId="0" fontId="9" fillId="0" borderId="13" xfId="0" applyNumberFormat="1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2" fontId="12" fillId="0" borderId="4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0" fontId="10" fillId="0" borderId="4" xfId="0" applyNumberFormat="1" applyFont="1" applyBorder="1" applyAlignment="1">
      <alignment wrapText="1"/>
    </xf>
    <xf numFmtId="0" fontId="10" fillId="0" borderId="16" xfId="0" applyNumberFormat="1" applyFont="1" applyBorder="1" applyAlignment="1">
      <alignment wrapText="1"/>
    </xf>
    <xf numFmtId="2" fontId="10" fillId="0" borderId="4" xfId="0" applyNumberFormat="1" applyFont="1" applyBorder="1"/>
    <xf numFmtId="2" fontId="9" fillId="4" borderId="6" xfId="0" applyNumberFormat="1" applyFont="1" applyFill="1" applyBorder="1"/>
    <xf numFmtId="0" fontId="10" fillId="0" borderId="4" xfId="0" applyFont="1" applyBorder="1" applyAlignment="1">
      <alignment horizontal="right" wrapText="1"/>
    </xf>
    <xf numFmtId="0" fontId="10" fillId="0" borderId="4" xfId="0" applyFont="1" applyFill="1" applyBorder="1" applyAlignment="1">
      <alignment horizontal="right" wrapText="1"/>
    </xf>
    <xf numFmtId="0" fontId="10" fillId="0" borderId="4" xfId="0" applyNumberFormat="1" applyFont="1" applyFill="1" applyBorder="1" applyAlignment="1">
      <alignment horizontal="right" wrapText="1"/>
    </xf>
    <xf numFmtId="0" fontId="10" fillId="0" borderId="16" xfId="0" applyNumberFormat="1" applyFont="1" applyFill="1" applyBorder="1" applyAlignment="1">
      <alignment horizontal="right" wrapText="1"/>
    </xf>
    <xf numFmtId="0" fontId="10" fillId="0" borderId="4" xfId="0" applyNumberFormat="1" applyFont="1" applyBorder="1" applyAlignment="1">
      <alignment horizontal="right" wrapText="1"/>
    </xf>
    <xf numFmtId="0" fontId="9" fillId="0" borderId="16" xfId="0" applyNumberFormat="1" applyFont="1" applyBorder="1" applyAlignment="1">
      <alignment horizontal="right" wrapText="1"/>
    </xf>
    <xf numFmtId="2" fontId="9" fillId="0" borderId="4" xfId="0" applyNumberFormat="1" applyFont="1" applyFill="1" applyBorder="1"/>
    <xf numFmtId="0" fontId="10" fillId="0" borderId="4" xfId="0" applyFont="1" applyBorder="1" applyAlignment="1">
      <alignment vertical="center" wrapText="1"/>
    </xf>
    <xf numFmtId="2" fontId="10" fillId="0" borderId="4" xfId="0" applyNumberFormat="1" applyFont="1" applyBorder="1" applyAlignment="1">
      <alignment vertical="center" wrapText="1"/>
    </xf>
    <xf numFmtId="0" fontId="14" fillId="0" borderId="0" xfId="0" applyFont="1" applyBorder="1"/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 wrapText="1"/>
    </xf>
    <xf numFmtId="0" fontId="14" fillId="0" borderId="0" xfId="0" applyFont="1" applyBorder="1" applyAlignment="1">
      <alignment wrapText="1"/>
    </xf>
    <xf numFmtId="0" fontId="14" fillId="0" borderId="6" xfId="0" applyFont="1" applyBorder="1"/>
    <xf numFmtId="2" fontId="14" fillId="0" borderId="6" xfId="0" applyNumberFormat="1" applyFont="1" applyBorder="1" applyAlignment="1">
      <alignment horizontal="right"/>
    </xf>
    <xf numFmtId="165" fontId="34" fillId="0" borderId="6" xfId="0" applyNumberFormat="1" applyFont="1" applyBorder="1" applyAlignment="1">
      <alignment horizontal="right"/>
    </xf>
    <xf numFmtId="165" fontId="14" fillId="0" borderId="6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6" xfId="0" applyFont="1" applyBorder="1" applyAlignment="1">
      <alignment horizontal="right" wrapText="1"/>
    </xf>
    <xf numFmtId="164" fontId="14" fillId="0" borderId="0" xfId="0" applyNumberFormat="1" applyFont="1" applyBorder="1" applyAlignment="1">
      <alignment horizontal="right"/>
    </xf>
    <xf numFmtId="164" fontId="14" fillId="0" borderId="6" xfId="0" applyNumberFormat="1" applyFont="1" applyBorder="1" applyAlignment="1">
      <alignment horizontal="right"/>
    </xf>
    <xf numFmtId="0" fontId="14" fillId="0" borderId="6" xfId="0" applyFont="1" applyBorder="1" applyAlignment="1">
      <alignment wrapText="1"/>
    </xf>
    <xf numFmtId="0" fontId="14" fillId="0" borderId="7" xfId="0" applyFont="1" applyBorder="1" applyAlignment="1">
      <alignment horizontal="right"/>
    </xf>
    <xf numFmtId="0" fontId="14" fillId="0" borderId="15" xfId="0" applyFont="1" applyBorder="1" applyAlignment="1">
      <alignment horizontal="right"/>
    </xf>
    <xf numFmtId="0" fontId="34" fillId="0" borderId="6" xfId="0" applyFont="1" applyBorder="1" applyAlignment="1">
      <alignment horizontal="right"/>
    </xf>
    <xf numFmtId="0" fontId="27" fillId="0" borderId="22" xfId="0" applyFont="1" applyBorder="1"/>
    <xf numFmtId="0" fontId="0" fillId="0" borderId="23" xfId="0" applyBorder="1"/>
    <xf numFmtId="0" fontId="0" fillId="0" borderId="24" xfId="0" applyBorder="1"/>
    <xf numFmtId="0" fontId="8" fillId="0" borderId="17" xfId="0" applyFont="1" applyBorder="1"/>
    <xf numFmtId="0" fontId="0" fillId="0" borderId="5" xfId="0" applyBorder="1"/>
    <xf numFmtId="0" fontId="0" fillId="0" borderId="17" xfId="0" applyBorder="1"/>
    <xf numFmtId="0" fontId="26" fillId="2" borderId="26" xfId="0" applyFont="1" applyFill="1" applyBorder="1"/>
    <xf numFmtId="0" fontId="0" fillId="0" borderId="27" xfId="0" applyBorder="1"/>
    <xf numFmtId="0" fontId="36" fillId="0" borderId="22" xfId="0" applyFont="1" applyBorder="1"/>
    <xf numFmtId="0" fontId="8" fillId="0" borderId="0" xfId="0" applyFont="1" applyBorder="1"/>
    <xf numFmtId="0" fontId="8" fillId="0" borderId="0" xfId="0" applyFont="1" applyFill="1" applyBorder="1"/>
    <xf numFmtId="0" fontId="8" fillId="0" borderId="4" xfId="0" applyFont="1" applyBorder="1"/>
    <xf numFmtId="0" fontId="0" fillId="0" borderId="25" xfId="0" applyBorder="1"/>
    <xf numFmtId="0" fontId="36" fillId="0" borderId="23" xfId="0" applyFont="1" applyBorder="1"/>
    <xf numFmtId="0" fontId="0" fillId="0" borderId="17" xfId="0" applyFont="1" applyBorder="1"/>
    <xf numFmtId="0" fontId="0" fillId="0" borderId="17" xfId="0" applyFont="1" applyBorder="1" applyAlignment="1">
      <alignment vertical="center"/>
    </xf>
    <xf numFmtId="2" fontId="9" fillId="12" borderId="18" xfId="0" applyNumberFormat="1" applyFont="1" applyFill="1" applyBorder="1"/>
    <xf numFmtId="0" fontId="19" fillId="0" borderId="22" xfId="0" applyFont="1" applyBorder="1"/>
    <xf numFmtId="0" fontId="15" fillId="0" borderId="23" xfId="0" applyFont="1" applyBorder="1"/>
    <xf numFmtId="2" fontId="0" fillId="0" borderId="23" xfId="0" applyNumberFormat="1" applyBorder="1"/>
    <xf numFmtId="0" fontId="18" fillId="0" borderId="17" xfId="0" applyFont="1" applyBorder="1"/>
    <xf numFmtId="0" fontId="8" fillId="0" borderId="5" xfId="0" applyFont="1" applyBorder="1"/>
    <xf numFmtId="2" fontId="18" fillId="0" borderId="0" xfId="0" applyNumberFormat="1" applyFont="1" applyFill="1" applyBorder="1"/>
    <xf numFmtId="2" fontId="0" fillId="0" borderId="0" xfId="0" applyNumberFormat="1" applyFill="1" applyBorder="1"/>
    <xf numFmtId="2" fontId="17" fillId="0" borderId="0" xfId="0" applyNumberFormat="1" applyFont="1" applyFill="1" applyBorder="1"/>
    <xf numFmtId="2" fontId="8" fillId="0" borderId="0" xfId="0" applyNumberFormat="1" applyFont="1" applyFill="1" applyBorder="1"/>
    <xf numFmtId="0" fontId="0" fillId="0" borderId="4" xfId="0" applyBorder="1"/>
    <xf numFmtId="2" fontId="17" fillId="0" borderId="4" xfId="0" applyNumberFormat="1" applyFont="1" applyFill="1" applyBorder="1"/>
    <xf numFmtId="0" fontId="20" fillId="0" borderId="22" xfId="0" applyFont="1" applyBorder="1"/>
    <xf numFmtId="0" fontId="0" fillId="6" borderId="0" xfId="0" applyFill="1" applyBorder="1"/>
    <xf numFmtId="10" fontId="0" fillId="6" borderId="0" xfId="0" applyNumberFormat="1" applyFill="1" applyBorder="1"/>
    <xf numFmtId="0" fontId="18" fillId="0" borderId="0" xfId="0" applyFont="1" applyBorder="1"/>
    <xf numFmtId="2" fontId="17" fillId="7" borderId="4" xfId="0" applyNumberFormat="1" applyFont="1" applyFill="1" applyBorder="1"/>
    <xf numFmtId="9" fontId="0" fillId="6" borderId="0" xfId="0" applyNumberFormat="1" applyFill="1" applyBorder="1"/>
    <xf numFmtId="0" fontId="28" fillId="0" borderId="17" xfId="0" applyFont="1" applyBorder="1"/>
    <xf numFmtId="0" fontId="28" fillId="0" borderId="0" xfId="0" applyFont="1" applyBorder="1"/>
    <xf numFmtId="0" fontId="28" fillId="0" borderId="5" xfId="0" applyFont="1" applyBorder="1"/>
    <xf numFmtId="0" fontId="28" fillId="6" borderId="0" xfId="0" applyFont="1" applyFill="1" applyBorder="1"/>
    <xf numFmtId="0" fontId="32" fillId="0" borderId="0" xfId="0" applyFont="1" applyAlignment="1">
      <alignment horizontal="right"/>
    </xf>
    <xf numFmtId="2" fontId="32" fillId="0" borderId="0" xfId="0" applyNumberFormat="1" applyFont="1"/>
    <xf numFmtId="1" fontId="9" fillId="4" borderId="0" xfId="0" applyNumberFormat="1" applyFont="1" applyFill="1" applyBorder="1"/>
    <xf numFmtId="2" fontId="9" fillId="12" borderId="9" xfId="0" applyNumberFormat="1" applyFont="1" applyFill="1" applyBorder="1"/>
    <xf numFmtId="2" fontId="9" fillId="4" borderId="9" xfId="0" applyNumberFormat="1" applyFont="1" applyFill="1" applyBorder="1"/>
    <xf numFmtId="2" fontId="9" fillId="12" borderId="0" xfId="0" applyNumberFormat="1" applyFont="1" applyFill="1" applyBorder="1"/>
    <xf numFmtId="2" fontId="9" fillId="0" borderId="0" xfId="0" applyNumberFormat="1" applyFont="1" applyFill="1" applyBorder="1" applyAlignment="1">
      <alignment vertical="center"/>
    </xf>
    <xf numFmtId="0" fontId="10" fillId="0" borderId="4" xfId="0" applyFont="1" applyBorder="1"/>
    <xf numFmtId="2" fontId="10" fillId="0" borderId="0" xfId="0" applyNumberFormat="1" applyFont="1" applyFill="1" applyBorder="1"/>
    <xf numFmtId="2" fontId="10" fillId="0" borderId="9" xfId="0" applyNumberFormat="1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2" fontId="10" fillId="0" borderId="6" xfId="0" applyNumberFormat="1" applyFont="1" applyFill="1" applyBorder="1"/>
    <xf numFmtId="9" fontId="10" fillId="0" borderId="0" xfId="0" applyNumberFormat="1" applyFont="1" applyBorder="1"/>
    <xf numFmtId="2" fontId="9" fillId="4" borderId="6" xfId="0" applyNumberFormat="1" applyFont="1" applyFill="1" applyBorder="1" applyAlignment="1">
      <alignment vertical="center"/>
    </xf>
    <xf numFmtId="2" fontId="9" fillId="12" borderId="6" xfId="0" applyNumberFormat="1" applyFont="1" applyFill="1" applyBorder="1" applyAlignment="1">
      <alignment vertical="center"/>
    </xf>
    <xf numFmtId="2" fontId="9" fillId="4" borderId="4" xfId="0" applyNumberFormat="1" applyFont="1" applyFill="1" applyBorder="1"/>
    <xf numFmtId="2" fontId="9" fillId="12" borderId="4" xfId="0" applyNumberFormat="1" applyFont="1" applyFill="1" applyBorder="1"/>
    <xf numFmtId="2" fontId="9" fillId="12" borderId="10" xfId="0" applyNumberFormat="1" applyFont="1" applyFill="1" applyBorder="1"/>
    <xf numFmtId="2" fontId="9" fillId="12" borderId="12" xfId="0" applyNumberFormat="1" applyFont="1" applyFill="1" applyBorder="1"/>
    <xf numFmtId="2" fontId="9" fillId="12" borderId="14" xfId="0" applyNumberFormat="1" applyFont="1" applyFill="1" applyBorder="1" applyAlignment="1">
      <alignment vertical="center"/>
    </xf>
    <xf numFmtId="2" fontId="10" fillId="0" borderId="29" xfId="0" applyNumberFormat="1" applyFont="1" applyBorder="1"/>
    <xf numFmtId="0" fontId="10" fillId="0" borderId="29" xfId="0" applyFont="1" applyBorder="1"/>
    <xf numFmtId="2" fontId="9" fillId="12" borderId="28" xfId="0" applyNumberFormat="1" applyFont="1" applyFill="1" applyBorder="1"/>
    <xf numFmtId="0" fontId="19" fillId="0" borderId="0" xfId="0" applyFont="1" applyAlignment="1">
      <alignment horizontal="left"/>
    </xf>
    <xf numFmtId="2" fontId="10" fillId="0" borderId="4" xfId="0" applyNumberFormat="1" applyFont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2" fillId="6" borderId="1" xfId="0" applyFont="1" applyFill="1" applyBorder="1" applyAlignment="1">
      <alignment wrapText="1"/>
    </xf>
    <xf numFmtId="0" fontId="0" fillId="6" borderId="0" xfId="0" applyFill="1"/>
    <xf numFmtId="10" fontId="0" fillId="6" borderId="0" xfId="0" applyNumberFormat="1" applyFill="1"/>
    <xf numFmtId="0" fontId="28" fillId="0" borderId="25" xfId="0" applyFont="1" applyBorder="1"/>
    <xf numFmtId="0" fontId="28" fillId="6" borderId="4" xfId="0" applyFont="1" applyFill="1" applyBorder="1"/>
    <xf numFmtId="0" fontId="0" fillId="7" borderId="0" xfId="0" applyFill="1"/>
    <xf numFmtId="2" fontId="26" fillId="4" borderId="3" xfId="0" applyNumberFormat="1" applyFont="1" applyFill="1" applyBorder="1"/>
    <xf numFmtId="0" fontId="0" fillId="7" borderId="17" xfId="0" applyFill="1" applyBorder="1"/>
    <xf numFmtId="0" fontId="1" fillId="7" borderId="1" xfId="0" applyFont="1" applyFill="1" applyBorder="1" applyAlignment="1">
      <alignment wrapText="1"/>
    </xf>
    <xf numFmtId="9" fontId="0" fillId="9" borderId="4" xfId="0" applyNumberFormat="1" applyFill="1" applyBorder="1"/>
    <xf numFmtId="2" fontId="12" fillId="7" borderId="6" xfId="0" applyNumberFormat="1" applyFont="1" applyFill="1" applyBorder="1"/>
    <xf numFmtId="2" fontId="10" fillId="7" borderId="6" xfId="0" applyNumberFormat="1" applyFont="1" applyFill="1" applyBorder="1"/>
    <xf numFmtId="0" fontId="10" fillId="0" borderId="0" xfId="0" applyFont="1" applyAlignment="1">
      <alignment wrapText="1"/>
    </xf>
    <xf numFmtId="2" fontId="1" fillId="0" borderId="0" xfId="0" applyNumberFormat="1" applyFont="1" applyFill="1"/>
    <xf numFmtId="0" fontId="1" fillId="7" borderId="0" xfId="0" applyFont="1" applyFill="1" applyAlignment="1">
      <alignment horizontal="right"/>
    </xf>
    <xf numFmtId="2" fontId="1" fillId="7" borderId="0" xfId="0" applyNumberFormat="1" applyFont="1" applyFill="1"/>
    <xf numFmtId="0" fontId="1" fillId="7" borderId="1" xfId="0" applyFont="1" applyFill="1" applyBorder="1"/>
    <xf numFmtId="0" fontId="1" fillId="7" borderId="0" xfId="0" applyFont="1" applyFill="1"/>
    <xf numFmtId="2" fontId="1" fillId="7" borderId="1" xfId="0" applyNumberFormat="1" applyFont="1" applyFill="1" applyBorder="1"/>
    <xf numFmtId="0" fontId="1" fillId="7" borderId="32" xfId="0" applyFont="1" applyFill="1" applyBorder="1"/>
    <xf numFmtId="2" fontId="1" fillId="7" borderId="32" xfId="0" applyNumberFormat="1" applyFont="1" applyFill="1" applyBorder="1"/>
    <xf numFmtId="0" fontId="1" fillId="7" borderId="33" xfId="0" applyFont="1" applyFill="1" applyBorder="1"/>
    <xf numFmtId="2" fontId="1" fillId="7" borderId="33" xfId="0" applyNumberFormat="1" applyFont="1" applyFill="1" applyBorder="1"/>
    <xf numFmtId="0" fontId="0" fillId="0" borderId="1" xfId="0" applyFont="1" applyBorder="1"/>
    <xf numFmtId="1" fontId="0" fillId="0" borderId="1" xfId="0" applyNumberFormat="1" applyFont="1" applyBorder="1"/>
    <xf numFmtId="2" fontId="41" fillId="0" borderId="1" xfId="0" applyNumberFormat="1" applyFont="1" applyBorder="1"/>
    <xf numFmtId="0" fontId="41" fillId="0" borderId="1" xfId="0" applyFont="1" applyBorder="1"/>
    <xf numFmtId="2" fontId="0" fillId="0" borderId="5" xfId="0" applyNumberFormat="1" applyBorder="1"/>
    <xf numFmtId="0" fontId="0" fillId="0" borderId="5" xfId="0" applyFill="1" applyBorder="1"/>
    <xf numFmtId="0" fontId="26" fillId="4" borderId="1" xfId="0" applyFont="1" applyFill="1" applyBorder="1"/>
    <xf numFmtId="0" fontId="26" fillId="4" borderId="26" xfId="0" applyFont="1" applyFill="1" applyBorder="1"/>
    <xf numFmtId="2" fontId="1" fillId="6" borderId="1" xfId="0" applyNumberFormat="1" applyFont="1" applyFill="1" applyBorder="1" applyAlignment="1">
      <alignment wrapText="1"/>
    </xf>
    <xf numFmtId="2" fontId="32" fillId="6" borderId="1" xfId="0" applyNumberFormat="1" applyFont="1" applyFill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2" fontId="10" fillId="4" borderId="0" xfId="0" applyNumberFormat="1" applyFont="1" applyFill="1" applyBorder="1" applyAlignment="1">
      <alignment horizontal="center"/>
    </xf>
    <xf numFmtId="2" fontId="10" fillId="12" borderId="0" xfId="0" applyNumberFormat="1" applyFont="1" applyFill="1" applyBorder="1" applyAlignment="1">
      <alignment horizontal="center"/>
    </xf>
    <xf numFmtId="0" fontId="10" fillId="9" borderId="18" xfId="0" applyFont="1" applyFill="1" applyBorder="1" applyAlignment="1"/>
    <xf numFmtId="2" fontId="8" fillId="7" borderId="0" xfId="0" applyNumberFormat="1" applyFont="1" applyFill="1" applyBorder="1" applyAlignment="1">
      <alignment horizontal="left" vertical="center"/>
    </xf>
    <xf numFmtId="2" fontId="8" fillId="7" borderId="4" xfId="0" applyNumberFormat="1" applyFont="1" applyFill="1" applyBorder="1" applyAlignment="1">
      <alignment horizontal="left" vertical="center"/>
    </xf>
    <xf numFmtId="0" fontId="40" fillId="0" borderId="1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38" fillId="4" borderId="16" xfId="0" applyNumberFormat="1" applyFont="1" applyFill="1" applyBorder="1" applyAlignment="1">
      <alignment horizontal="center" vertical="center" wrapText="1"/>
    </xf>
    <xf numFmtId="0" fontId="38" fillId="4" borderId="28" xfId="0" applyNumberFormat="1" applyFont="1" applyFill="1" applyBorder="1" applyAlignment="1">
      <alignment horizontal="center" vertical="center" wrapText="1"/>
    </xf>
    <xf numFmtId="0" fontId="38" fillId="4" borderId="11" xfId="0" applyNumberFormat="1" applyFont="1" applyFill="1" applyBorder="1" applyAlignment="1">
      <alignment horizontal="center" vertical="center" wrapText="1"/>
    </xf>
    <xf numFmtId="0" fontId="38" fillId="4" borderId="12" xfId="0" applyNumberFormat="1" applyFont="1" applyFill="1" applyBorder="1" applyAlignment="1">
      <alignment horizontal="center" vertical="center" wrapText="1"/>
    </xf>
    <xf numFmtId="0" fontId="39" fillId="7" borderId="30" xfId="0" applyNumberFormat="1" applyFont="1" applyFill="1" applyBorder="1" applyAlignment="1">
      <alignment horizontal="center" vertical="center" wrapText="1"/>
    </xf>
    <xf numFmtId="0" fontId="39" fillId="7" borderId="31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/>
    </xf>
    <xf numFmtId="2" fontId="10" fillId="12" borderId="1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9" borderId="19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30" fillId="4" borderId="19" xfId="0" applyNumberFormat="1" applyFont="1" applyFill="1" applyBorder="1" applyAlignment="1">
      <alignment horizontal="center" vertical="center" wrapText="1"/>
    </xf>
    <xf numFmtId="0" fontId="30" fillId="4" borderId="20" xfId="0" applyNumberFormat="1" applyFont="1" applyFill="1" applyBorder="1" applyAlignment="1">
      <alignment horizontal="center" vertical="center" wrapText="1"/>
    </xf>
    <xf numFmtId="0" fontId="24" fillId="4" borderId="19" xfId="0" applyNumberFormat="1" applyFont="1" applyFill="1" applyBorder="1" applyAlignment="1">
      <alignment horizontal="center" vertical="center" wrapText="1"/>
    </xf>
    <xf numFmtId="0" fontId="24" fillId="4" borderId="20" xfId="0" applyNumberFormat="1" applyFont="1" applyFill="1" applyBorder="1" applyAlignment="1">
      <alignment horizontal="center" vertical="center" wrapText="1"/>
    </xf>
    <xf numFmtId="0" fontId="38" fillId="4" borderId="8" xfId="0" applyNumberFormat="1" applyFont="1" applyFill="1" applyBorder="1" applyAlignment="1">
      <alignment horizontal="center" vertical="center" wrapText="1"/>
    </xf>
    <xf numFmtId="0" fontId="38" fillId="4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6</xdr:col>
      <xdr:colOff>382745</xdr:colOff>
      <xdr:row>35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1147"/>
          <a:ext cx="5201274" cy="29813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54427</xdr:colOff>
      <xdr:row>24</xdr:row>
      <xdr:rowOff>42104</xdr:rowOff>
    </xdr:from>
    <xdr:to>
      <xdr:col>14</xdr:col>
      <xdr:colOff>128791</xdr:colOff>
      <xdr:row>48</xdr:row>
      <xdr:rowOff>160984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0" y="4777390"/>
          <a:ext cx="7803221" cy="4677273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68036</xdr:colOff>
      <xdr:row>22</xdr:row>
      <xdr:rowOff>95250</xdr:rowOff>
    </xdr:from>
    <xdr:to>
      <xdr:col>12</xdr:col>
      <xdr:colOff>399428</xdr:colOff>
      <xdr:row>44</xdr:row>
      <xdr:rowOff>164253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6786" y="4422321"/>
          <a:ext cx="6917249" cy="427361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S17"/>
  <sheetViews>
    <sheetView zoomScale="85" zoomScaleNormal="85" workbookViewId="0">
      <selection activeCell="B14" sqref="B14"/>
    </sheetView>
  </sheetViews>
  <sheetFormatPr defaultRowHeight="15" x14ac:dyDescent="0.25"/>
  <cols>
    <col min="1" max="1" width="1.140625" customWidth="1"/>
    <col min="2" max="2" width="16.7109375" customWidth="1"/>
    <col min="3" max="3" width="24.140625" customWidth="1"/>
    <col min="4" max="4" width="8.85546875" customWidth="1"/>
    <col min="5" max="5" width="12.28515625" customWidth="1"/>
    <col min="6" max="6" width="9.140625" customWidth="1"/>
    <col min="7" max="7" width="14.42578125" customWidth="1"/>
    <col min="8" max="8" width="30.85546875" customWidth="1"/>
    <col min="9" max="9" width="11.42578125" customWidth="1"/>
    <col min="10" max="10" width="12.140625" bestFit="1" customWidth="1"/>
    <col min="12" max="12" width="13.5703125" bestFit="1" customWidth="1"/>
    <col min="13" max="13" width="7.85546875" bestFit="1" customWidth="1"/>
    <col min="14" max="14" width="6.7109375" bestFit="1" customWidth="1"/>
    <col min="15" max="15" width="8" bestFit="1" customWidth="1"/>
    <col min="16" max="16" width="7.85546875" bestFit="1" customWidth="1"/>
    <col min="17" max="17" width="6.7109375" bestFit="1" customWidth="1"/>
    <col min="18" max="18" width="7.85546875" bestFit="1" customWidth="1"/>
    <col min="19" max="19" width="6.7109375" bestFit="1" customWidth="1"/>
  </cols>
  <sheetData>
    <row r="1" spans="2:19" ht="15.75" thickBot="1" x14ac:dyDescent="0.3"/>
    <row r="2" spans="2:19" ht="23.25" x14ac:dyDescent="0.35">
      <c r="B2" s="227" t="s">
        <v>533</v>
      </c>
      <c r="C2" s="228"/>
      <c r="D2" s="228"/>
      <c r="E2" s="229"/>
      <c r="F2" s="332" t="s">
        <v>534</v>
      </c>
      <c r="G2" s="235" t="s">
        <v>535</v>
      </c>
      <c r="H2" s="240"/>
      <c r="I2" s="228"/>
      <c r="J2" s="229"/>
      <c r="L2" s="333"/>
      <c r="M2" s="333" t="str">
        <f>MassEstimate!P156</f>
        <v>Equipment</v>
      </c>
      <c r="N2" s="333"/>
      <c r="O2" s="333"/>
      <c r="P2" s="333" t="str">
        <f>MassEstimate!S156</f>
        <v>Spares</v>
      </c>
      <c r="Q2" s="333"/>
      <c r="R2" s="333" t="str">
        <f>MassEstimate!U156</f>
        <v>Consumables</v>
      </c>
      <c r="S2" s="333"/>
    </row>
    <row r="3" spans="2:19" x14ac:dyDescent="0.25">
      <c r="B3" s="232" t="s">
        <v>598</v>
      </c>
      <c r="C3" s="56"/>
      <c r="D3" s="56"/>
      <c r="E3" s="231"/>
      <c r="F3" s="332"/>
      <c r="G3" s="241" t="s">
        <v>540</v>
      </c>
      <c r="H3" s="56"/>
      <c r="I3" s="56"/>
      <c r="J3" s="231"/>
      <c r="L3" s="333"/>
      <c r="M3" s="317" t="s">
        <v>588</v>
      </c>
      <c r="N3" s="317" t="s">
        <v>589</v>
      </c>
      <c r="O3" s="318" t="s">
        <v>590</v>
      </c>
      <c r="P3" s="317" t="s">
        <v>588</v>
      </c>
      <c r="Q3" s="317" t="s">
        <v>589</v>
      </c>
      <c r="R3" s="317" t="s">
        <v>588</v>
      </c>
      <c r="S3" s="317" t="s">
        <v>589</v>
      </c>
    </row>
    <row r="4" spans="2:19" ht="18.75" customHeight="1" x14ac:dyDescent="0.3">
      <c r="B4" s="232" t="s">
        <v>157</v>
      </c>
      <c r="C4" s="236" t="s">
        <v>487</v>
      </c>
      <c r="D4" s="102">
        <v>50</v>
      </c>
      <c r="E4" s="231" t="s">
        <v>488</v>
      </c>
      <c r="F4" s="332"/>
      <c r="G4" s="242" t="s">
        <v>537</v>
      </c>
      <c r="H4" s="236" t="s">
        <v>508</v>
      </c>
      <c r="I4" s="113">
        <f>'Gas InOut'!D17</f>
        <v>5.0418731705087598</v>
      </c>
      <c r="J4" s="231" t="s">
        <v>372</v>
      </c>
      <c r="L4" s="315" t="str">
        <f>MassEstimate!AA158</f>
        <v>ECLSS</v>
      </c>
      <c r="M4" s="316">
        <f>MassEstimate!P158</f>
        <v>20554.62006205185</v>
      </c>
      <c r="N4" s="316">
        <f>MassEstimate!Q158</f>
        <v>66.122226459199368</v>
      </c>
      <c r="O4" s="316">
        <f>MassEstimate!R158</f>
        <v>209140.84950041148</v>
      </c>
      <c r="P4" s="316">
        <f>MassEstimate!S158</f>
        <v>2055.4620062051849</v>
      </c>
      <c r="Q4" s="316">
        <f>MassEstimate!T158</f>
        <v>6.6122226459199371</v>
      </c>
      <c r="R4" s="316">
        <f>MassEstimate!U158</f>
        <v>0</v>
      </c>
      <c r="S4" s="316">
        <f>MassEstimate!V158</f>
        <v>0</v>
      </c>
    </row>
    <row r="5" spans="2:19" ht="18.75" customHeight="1" x14ac:dyDescent="0.3">
      <c r="B5" s="232"/>
      <c r="C5" s="56"/>
      <c r="D5" s="56"/>
      <c r="E5" s="231"/>
      <c r="F5" s="332"/>
      <c r="G5" s="242"/>
      <c r="H5" s="236" t="s">
        <v>490</v>
      </c>
      <c r="I5" s="113">
        <f>'Water InOut'!D37</f>
        <v>71.077504896428479</v>
      </c>
      <c r="J5" s="231" t="s">
        <v>372</v>
      </c>
      <c r="L5" s="315" t="str">
        <f>MassEstimate!AA159</f>
        <v>Storage</v>
      </c>
      <c r="M5" s="316">
        <f>MassEstimate!P159</f>
        <v>4191.3863999485366</v>
      </c>
      <c r="N5" s="316">
        <f>MassEstimate!Q159</f>
        <v>11.570898226770929</v>
      </c>
      <c r="O5" s="316">
        <f>MassEstimate!R159</f>
        <v>0</v>
      </c>
      <c r="P5" s="316">
        <f>MassEstimate!S159</f>
        <v>419.13863999485375</v>
      </c>
      <c r="Q5" s="316">
        <f>MassEstimate!T159</f>
        <v>1.1570898226770931</v>
      </c>
      <c r="R5" s="316">
        <f>MassEstimate!U159</f>
        <v>16146</v>
      </c>
      <c r="S5" s="316">
        <f>MassEstimate!V159</f>
        <v>46.121400000000001</v>
      </c>
    </row>
    <row r="6" spans="2:19" ht="18.75" customHeight="1" x14ac:dyDescent="0.3">
      <c r="B6" s="232" t="s">
        <v>536</v>
      </c>
      <c r="C6" s="237" t="s">
        <v>493</v>
      </c>
      <c r="D6" s="102">
        <v>5</v>
      </c>
      <c r="E6" s="231" t="s">
        <v>334</v>
      </c>
      <c r="F6" s="332"/>
      <c r="G6" s="242"/>
      <c r="H6" s="236" t="s">
        <v>489</v>
      </c>
      <c r="I6" s="103">
        <f>'Gas InOut'!D32</f>
        <v>1.6845848298738628</v>
      </c>
      <c r="J6" s="231" t="s">
        <v>372</v>
      </c>
      <c r="L6" s="315" t="str">
        <f>MassEstimate!AA160</f>
        <v>Hub Structure</v>
      </c>
      <c r="M6" s="316">
        <f>MassEstimate!P160</f>
        <v>45800</v>
      </c>
      <c r="N6" s="316">
        <f>MassEstimate!Q160</f>
        <v>333.33333333333331</v>
      </c>
      <c r="O6" s="316">
        <f>MassEstimate!R160</f>
        <v>0</v>
      </c>
      <c r="P6" s="316">
        <f>MassEstimate!S160</f>
        <v>4580</v>
      </c>
      <c r="Q6" s="316">
        <f>MassEstimate!T160</f>
        <v>33.333333333333336</v>
      </c>
      <c r="R6" s="316">
        <f>MassEstimate!U160</f>
        <v>0</v>
      </c>
      <c r="S6" s="316">
        <f>MassEstimate!V160</f>
        <v>0</v>
      </c>
    </row>
    <row r="7" spans="2:19" ht="18.75" customHeight="1" x14ac:dyDescent="0.3">
      <c r="B7" s="232"/>
      <c r="C7" s="237" t="s">
        <v>332</v>
      </c>
      <c r="D7" s="102">
        <v>10</v>
      </c>
      <c r="E7" s="231" t="s">
        <v>333</v>
      </c>
      <c r="F7" s="332"/>
      <c r="G7" s="242"/>
      <c r="H7" s="236" t="s">
        <v>509</v>
      </c>
      <c r="I7" s="103">
        <f>'Gas InOut'!D37</f>
        <v>18.692565412768563</v>
      </c>
      <c r="J7" s="231" t="s">
        <v>372</v>
      </c>
      <c r="L7" s="315" t="str">
        <f>MassEstimate!AA161</f>
        <v>Crew Systems</v>
      </c>
      <c r="M7" s="316">
        <f>MassEstimate!P161</f>
        <v>20415.293639999996</v>
      </c>
      <c r="N7" s="316">
        <f>MassEstimate!Q161</f>
        <v>114.04219061273059</v>
      </c>
      <c r="O7" s="316">
        <f>MassEstimate!R161</f>
        <v>12925</v>
      </c>
      <c r="P7" s="316">
        <f>MassEstimate!S161</f>
        <v>2041.529364</v>
      </c>
      <c r="Q7" s="316">
        <f>MassEstimate!T161</f>
        <v>11.404219061273061</v>
      </c>
      <c r="R7" s="316">
        <f>MassEstimate!U161</f>
        <v>11535.6</v>
      </c>
      <c r="S7" s="316">
        <f>MassEstimate!V161</f>
        <v>90.195200000000014</v>
      </c>
    </row>
    <row r="8" spans="2:19" ht="18.75" customHeight="1" x14ac:dyDescent="0.3">
      <c r="B8" s="232"/>
      <c r="C8" s="237" t="s">
        <v>494</v>
      </c>
      <c r="D8" s="102">
        <v>6</v>
      </c>
      <c r="E8" s="231" t="s">
        <v>495</v>
      </c>
      <c r="F8" s="332"/>
      <c r="G8" s="242"/>
      <c r="H8" s="56"/>
      <c r="I8" s="56"/>
      <c r="J8" s="231"/>
      <c r="L8" s="315" t="str">
        <f>MassEstimate!AA162</f>
        <v>Total</v>
      </c>
      <c r="M8" s="316">
        <f>MassEstimate!P162</f>
        <v>90961.300102000387</v>
      </c>
      <c r="N8" s="316">
        <f>MassEstimate!Q162</f>
        <v>525.06864863203418</v>
      </c>
      <c r="O8" s="316">
        <f>MassEstimate!R162</f>
        <v>222065.84950041148</v>
      </c>
      <c r="P8" s="316">
        <f>MassEstimate!S162</f>
        <v>9096.1300102000387</v>
      </c>
      <c r="Q8" s="316">
        <f>MassEstimate!T162</f>
        <v>52.506864863203425</v>
      </c>
      <c r="R8" s="316">
        <f>MassEstimate!U162</f>
        <v>27681.599999999999</v>
      </c>
      <c r="S8" s="316">
        <f>MassEstimate!V162</f>
        <v>136.31660000000002</v>
      </c>
    </row>
    <row r="9" spans="2:19" ht="18.75" customHeight="1" x14ac:dyDescent="0.3">
      <c r="B9" s="232"/>
      <c r="C9" s="56"/>
      <c r="D9" s="56"/>
      <c r="E9" s="231"/>
      <c r="F9" s="332"/>
      <c r="G9" s="242" t="s">
        <v>538</v>
      </c>
      <c r="H9" s="236" t="s">
        <v>541</v>
      </c>
      <c r="I9" s="113">
        <f>MassEstimate!S162+MassEstimate!U162</f>
        <v>36777.730010200037</v>
      </c>
      <c r="J9" s="231" t="s">
        <v>512</v>
      </c>
    </row>
    <row r="10" spans="2:19" ht="18.75" x14ac:dyDescent="0.3">
      <c r="B10" s="232" t="s">
        <v>266</v>
      </c>
      <c r="C10" s="236" t="s">
        <v>525</v>
      </c>
      <c r="D10" s="102">
        <f>SUM(D11:D12)</f>
        <v>5750</v>
      </c>
      <c r="E10" s="231" t="s">
        <v>41</v>
      </c>
      <c r="F10" s="332"/>
      <c r="G10" s="241"/>
      <c r="H10" s="236" t="s">
        <v>542</v>
      </c>
      <c r="I10" s="113">
        <f>MassEstimate!T162+MassEstimate!V162</f>
        <v>188.82346486320344</v>
      </c>
      <c r="J10" s="231" t="s">
        <v>513</v>
      </c>
    </row>
    <row r="11" spans="2:19" ht="18.75" x14ac:dyDescent="0.3">
      <c r="B11" s="232"/>
      <c r="C11" s="236" t="s">
        <v>523</v>
      </c>
      <c r="D11" s="102">
        <v>750</v>
      </c>
      <c r="E11" s="231" t="s">
        <v>41</v>
      </c>
      <c r="F11" s="332"/>
      <c r="G11" s="241"/>
      <c r="H11" s="56"/>
      <c r="I11" s="56"/>
      <c r="J11" s="231"/>
    </row>
    <row r="12" spans="2:19" ht="19.5" thickBot="1" x14ac:dyDescent="0.35">
      <c r="B12" s="239"/>
      <c r="C12" s="238" t="s">
        <v>524</v>
      </c>
      <c r="D12" s="233">
        <v>5000</v>
      </c>
      <c r="E12" s="234" t="s">
        <v>41</v>
      </c>
      <c r="F12" s="332"/>
      <c r="G12" s="241" t="s">
        <v>539</v>
      </c>
      <c r="H12" s="236" t="s">
        <v>514</v>
      </c>
      <c r="I12" s="298">
        <f>MassEstimate!R162/1000</f>
        <v>222.06584950041147</v>
      </c>
      <c r="J12" s="231" t="s">
        <v>532</v>
      </c>
    </row>
    <row r="13" spans="2:19" ht="18.75" x14ac:dyDescent="0.3">
      <c r="G13" s="241"/>
      <c r="H13" s="236"/>
      <c r="I13" s="113"/>
      <c r="J13" s="231"/>
    </row>
    <row r="14" spans="2:19" ht="18.75" x14ac:dyDescent="0.3">
      <c r="G14" s="241" t="s">
        <v>564</v>
      </c>
      <c r="H14" s="330" t="s">
        <v>565</v>
      </c>
      <c r="I14" s="113">
        <f>Input!C24*Input!C27/365</f>
        <v>16.150684931506849</v>
      </c>
      <c r="J14" s="319" t="s">
        <v>578</v>
      </c>
    </row>
    <row r="15" spans="2:19" ht="18.75" x14ac:dyDescent="0.3">
      <c r="G15" s="241"/>
      <c r="H15" s="330"/>
      <c r="I15" s="113">
        <f>I14/D4</f>
        <v>0.32301369863013696</v>
      </c>
      <c r="J15" s="231" t="s">
        <v>591</v>
      </c>
    </row>
    <row r="16" spans="2:19" ht="18.75" x14ac:dyDescent="0.3">
      <c r="G16" s="232"/>
      <c r="H16" s="330" t="s">
        <v>597</v>
      </c>
      <c r="I16" s="321">
        <f>Input!C30*Input!C4</f>
        <v>9</v>
      </c>
      <c r="J16" s="320" t="s">
        <v>578</v>
      </c>
    </row>
    <row r="17" spans="7:10" ht="19.5" thickBot="1" x14ac:dyDescent="0.35">
      <c r="G17" s="239"/>
      <c r="H17" s="331"/>
      <c r="I17" s="322">
        <f>I16/D4</f>
        <v>0.18</v>
      </c>
      <c r="J17" s="234" t="s">
        <v>591</v>
      </c>
    </row>
  </sheetData>
  <mergeCells count="7">
    <mergeCell ref="H14:H15"/>
    <mergeCell ref="H16:H17"/>
    <mergeCell ref="F2:F12"/>
    <mergeCell ref="M2:O2"/>
    <mergeCell ref="R2:S2"/>
    <mergeCell ref="P2:Q2"/>
    <mergeCell ref="L2:L3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66"/>
  <sheetViews>
    <sheetView topLeftCell="A37" workbookViewId="0">
      <selection activeCell="B17" sqref="B17"/>
    </sheetView>
  </sheetViews>
  <sheetFormatPr defaultRowHeight="15" x14ac:dyDescent="0.25"/>
  <cols>
    <col min="1" max="1" width="23.5703125" style="9" customWidth="1"/>
    <col min="2" max="2" width="55.7109375" bestFit="1" customWidth="1"/>
    <col min="3" max="3" width="11.85546875" bestFit="1" customWidth="1"/>
    <col min="4" max="4" width="10" style="11" bestFit="1" customWidth="1"/>
    <col min="5" max="5" width="9.7109375" style="11" bestFit="1" customWidth="1"/>
  </cols>
  <sheetData>
    <row r="1" spans="1:5" ht="30" x14ac:dyDescent="0.25">
      <c r="D1" s="15" t="s">
        <v>148</v>
      </c>
      <c r="E1" s="11" t="s">
        <v>149</v>
      </c>
    </row>
    <row r="2" spans="1:5" x14ac:dyDescent="0.25">
      <c r="A2" s="371" t="s">
        <v>170</v>
      </c>
      <c r="B2" t="s">
        <v>56</v>
      </c>
      <c r="C2" t="s">
        <v>49</v>
      </c>
      <c r="D2" s="11">
        <v>6</v>
      </c>
      <c r="E2" s="11">
        <v>20</v>
      </c>
    </row>
    <row r="3" spans="1:5" x14ac:dyDescent="0.25">
      <c r="A3" s="372"/>
      <c r="B3" t="s">
        <v>57</v>
      </c>
      <c r="C3" t="s">
        <v>51</v>
      </c>
      <c r="D3" s="11">
        <v>600</v>
      </c>
      <c r="E3" s="11">
        <v>780</v>
      </c>
    </row>
    <row r="4" spans="1:5" x14ac:dyDescent="0.25">
      <c r="A4" s="372"/>
      <c r="B4" t="s">
        <v>58</v>
      </c>
      <c r="D4" s="11">
        <v>0</v>
      </c>
      <c r="E4" s="11">
        <v>0</v>
      </c>
    </row>
    <row r="5" spans="1:5" x14ac:dyDescent="0.25">
      <c r="A5" s="372"/>
      <c r="B5" t="s">
        <v>59</v>
      </c>
      <c r="D5" s="11" t="s">
        <v>48</v>
      </c>
      <c r="E5" s="11" t="s">
        <v>150</v>
      </c>
    </row>
    <row r="6" spans="1:5" x14ac:dyDescent="0.25">
      <c r="A6" s="372" t="s">
        <v>45</v>
      </c>
      <c r="B6" t="s">
        <v>60</v>
      </c>
      <c r="D6" s="11">
        <v>2</v>
      </c>
      <c r="E6" s="11" t="s">
        <v>37</v>
      </c>
    </row>
    <row r="7" spans="1:5" x14ac:dyDescent="0.25">
      <c r="A7" s="372"/>
      <c r="B7" t="s">
        <v>61</v>
      </c>
      <c r="C7" t="s">
        <v>52</v>
      </c>
      <c r="D7" s="11">
        <f>2.24*10^-3</f>
        <v>2.2400000000000002E-3</v>
      </c>
    </row>
    <row r="8" spans="1:5" x14ac:dyDescent="0.25">
      <c r="A8" s="372"/>
      <c r="B8" t="s">
        <v>62</v>
      </c>
      <c r="C8" t="s">
        <v>53</v>
      </c>
      <c r="D8" s="11">
        <v>110</v>
      </c>
    </row>
    <row r="9" spans="1:5" x14ac:dyDescent="0.25">
      <c r="A9" s="372"/>
      <c r="B9" t="s">
        <v>63</v>
      </c>
      <c r="C9" t="s">
        <v>53</v>
      </c>
      <c r="D9" s="11">
        <v>0</v>
      </c>
    </row>
    <row r="10" spans="1:5" x14ac:dyDescent="0.25">
      <c r="A10" s="372" t="s">
        <v>46</v>
      </c>
      <c r="B10" t="s">
        <v>64</v>
      </c>
      <c r="C10" t="s">
        <v>77</v>
      </c>
      <c r="D10" s="11">
        <v>70.3</v>
      </c>
      <c r="E10" s="11">
        <v>70.3</v>
      </c>
    </row>
    <row r="11" spans="1:5" x14ac:dyDescent="0.25">
      <c r="A11" s="372"/>
      <c r="B11" t="s">
        <v>65</v>
      </c>
      <c r="C11" t="s">
        <v>77</v>
      </c>
      <c r="D11" s="11">
        <v>21.3</v>
      </c>
      <c r="E11" s="16">
        <v>21.3</v>
      </c>
    </row>
    <row r="12" spans="1:5" x14ac:dyDescent="0.25">
      <c r="A12" s="372"/>
      <c r="B12" t="s">
        <v>66</v>
      </c>
      <c r="C12" t="s">
        <v>77</v>
      </c>
      <c r="D12" s="11">
        <v>1.2</v>
      </c>
    </row>
    <row r="13" spans="1:5" x14ac:dyDescent="0.25">
      <c r="A13" s="372"/>
      <c r="B13" t="s">
        <v>67</v>
      </c>
      <c r="C13" t="s">
        <v>77</v>
      </c>
      <c r="D13" s="11">
        <v>0.4</v>
      </c>
    </row>
    <row r="14" spans="1:5" x14ac:dyDescent="0.25">
      <c r="A14" s="372" t="s">
        <v>47</v>
      </c>
      <c r="B14" t="s">
        <v>68</v>
      </c>
      <c r="C14" t="s">
        <v>54</v>
      </c>
      <c r="D14" s="11">
        <v>0.36299999999999999</v>
      </c>
    </row>
    <row r="15" spans="1:5" x14ac:dyDescent="0.25">
      <c r="A15" s="372"/>
      <c r="B15" t="s">
        <v>69</v>
      </c>
      <c r="C15" t="s">
        <v>54</v>
      </c>
      <c r="D15" s="11">
        <v>4.0819999999999999</v>
      </c>
    </row>
    <row r="16" spans="1:5" x14ac:dyDescent="0.25">
      <c r="A16" s="372"/>
      <c r="B16" t="s">
        <v>70</v>
      </c>
      <c r="C16" t="s">
        <v>54</v>
      </c>
      <c r="D16" s="11">
        <v>0.49399999999999999</v>
      </c>
    </row>
    <row r="17" spans="1:4" x14ac:dyDescent="0.25">
      <c r="A17" s="372"/>
      <c r="B17" t="s">
        <v>71</v>
      </c>
      <c r="C17" t="s">
        <v>54</v>
      </c>
      <c r="D17" s="11">
        <v>12.474</v>
      </c>
    </row>
    <row r="18" spans="1:4" x14ac:dyDescent="0.25">
      <c r="A18" s="372"/>
      <c r="B18" t="s">
        <v>72</v>
      </c>
      <c r="C18" t="s">
        <v>55</v>
      </c>
      <c r="D18" s="11">
        <v>0</v>
      </c>
    </row>
    <row r="19" spans="1:4" x14ac:dyDescent="0.25">
      <c r="A19" s="372"/>
      <c r="B19" t="s">
        <v>73</v>
      </c>
      <c r="C19" t="s">
        <v>54</v>
      </c>
      <c r="D19" s="11">
        <v>2.722</v>
      </c>
    </row>
    <row r="20" spans="1:4" x14ac:dyDescent="0.25">
      <c r="A20" s="372"/>
      <c r="B20" t="s">
        <v>74</v>
      </c>
      <c r="C20" t="s">
        <v>54</v>
      </c>
      <c r="D20" s="11">
        <v>0</v>
      </c>
    </row>
    <row r="21" spans="1:4" x14ac:dyDescent="0.25">
      <c r="A21" s="372"/>
      <c r="B21" t="s">
        <v>75</v>
      </c>
      <c r="C21" t="s">
        <v>54</v>
      </c>
      <c r="D21" s="11">
        <v>2</v>
      </c>
    </row>
    <row r="22" spans="1:4" x14ac:dyDescent="0.25">
      <c r="A22" s="372"/>
      <c r="B22" t="s">
        <v>76</v>
      </c>
      <c r="C22" t="s">
        <v>55</v>
      </c>
      <c r="D22" s="11">
        <v>0</v>
      </c>
    </row>
    <row r="23" spans="1:4" x14ac:dyDescent="0.25">
      <c r="A23" s="372" t="s">
        <v>78</v>
      </c>
      <c r="B23" t="s">
        <v>89</v>
      </c>
      <c r="C23" t="s">
        <v>82</v>
      </c>
      <c r="D23" s="11">
        <v>5.6</v>
      </c>
    </row>
    <row r="24" spans="1:4" x14ac:dyDescent="0.25">
      <c r="A24" s="372"/>
      <c r="B24" t="s">
        <v>90</v>
      </c>
      <c r="C24" t="s">
        <v>82</v>
      </c>
      <c r="D24" s="11">
        <v>2.5</v>
      </c>
    </row>
    <row r="25" spans="1:4" x14ac:dyDescent="0.25">
      <c r="A25" s="372" t="s">
        <v>79</v>
      </c>
      <c r="B25" t="s">
        <v>91</v>
      </c>
      <c r="C25" t="s">
        <v>83</v>
      </c>
      <c r="D25" s="11">
        <v>275</v>
      </c>
    </row>
    <row r="26" spans="1:4" x14ac:dyDescent="0.25">
      <c r="A26" s="372"/>
      <c r="B26" t="s">
        <v>92</v>
      </c>
      <c r="C26" t="s">
        <v>83</v>
      </c>
      <c r="D26" s="11">
        <v>308.14999999999998</v>
      </c>
    </row>
    <row r="27" spans="1:4" x14ac:dyDescent="0.25">
      <c r="A27" s="372"/>
      <c r="B27" t="s">
        <v>94</v>
      </c>
      <c r="D27" s="11" t="s">
        <v>93</v>
      </c>
    </row>
    <row r="28" spans="1:4" x14ac:dyDescent="0.25">
      <c r="A28" s="372"/>
      <c r="B28" t="s">
        <v>95</v>
      </c>
      <c r="C28" t="s">
        <v>84</v>
      </c>
      <c r="D28" s="11">
        <v>3.4</v>
      </c>
    </row>
    <row r="29" spans="1:4" x14ac:dyDescent="0.25">
      <c r="A29" s="372"/>
      <c r="B29" t="s">
        <v>96</v>
      </c>
      <c r="C29" t="s">
        <v>84</v>
      </c>
      <c r="D29" s="11">
        <v>5.0999999999999996</v>
      </c>
    </row>
    <row r="30" spans="1:4" x14ac:dyDescent="0.25">
      <c r="A30" s="372"/>
      <c r="B30" t="s">
        <v>97</v>
      </c>
      <c r="C30" t="s">
        <v>88</v>
      </c>
      <c r="D30" s="11">
        <v>0.4</v>
      </c>
    </row>
    <row r="31" spans="1:4" x14ac:dyDescent="0.25">
      <c r="A31" s="372" t="s">
        <v>80</v>
      </c>
      <c r="B31" t="s">
        <v>98</v>
      </c>
      <c r="C31" s="6" t="s">
        <v>85</v>
      </c>
      <c r="D31" s="11">
        <v>0.45</v>
      </c>
    </row>
    <row r="32" spans="1:4" x14ac:dyDescent="0.25">
      <c r="A32" s="372"/>
      <c r="B32" t="s">
        <v>99</v>
      </c>
      <c r="C32" t="s">
        <v>82</v>
      </c>
      <c r="D32" s="11">
        <v>1.2699999999999999E-2</v>
      </c>
    </row>
    <row r="33" spans="1:5" x14ac:dyDescent="0.25">
      <c r="A33" s="372"/>
      <c r="B33" t="s">
        <v>100</v>
      </c>
      <c r="C33" s="6" t="s">
        <v>85</v>
      </c>
      <c r="D33" s="11">
        <v>10</v>
      </c>
    </row>
    <row r="34" spans="1:5" x14ac:dyDescent="0.25">
      <c r="A34" s="372" t="s">
        <v>81</v>
      </c>
      <c r="B34" t="s">
        <v>101</v>
      </c>
      <c r="C34" t="s">
        <v>86</v>
      </c>
      <c r="D34" s="11">
        <v>1.4139999999999999</v>
      </c>
    </row>
    <row r="35" spans="1:5" x14ac:dyDescent="0.25">
      <c r="A35" s="372"/>
      <c r="B35" t="s">
        <v>102</v>
      </c>
      <c r="C35" t="s">
        <v>87</v>
      </c>
      <c r="D35" s="11">
        <v>30</v>
      </c>
    </row>
    <row r="36" spans="1:5" x14ac:dyDescent="0.25">
      <c r="A36" s="372"/>
      <c r="B36" t="s">
        <v>103</v>
      </c>
      <c r="C36" s="6" t="s">
        <v>85</v>
      </c>
      <c r="D36" s="11">
        <v>0.1</v>
      </c>
    </row>
    <row r="37" spans="1:5" x14ac:dyDescent="0.25">
      <c r="A37" s="372"/>
      <c r="B37" t="s">
        <v>104</v>
      </c>
      <c r="C37" s="6" t="s">
        <v>85</v>
      </c>
      <c r="D37" s="11">
        <v>0.5</v>
      </c>
    </row>
    <row r="38" spans="1:5" x14ac:dyDescent="0.25">
      <c r="A38" s="372"/>
      <c r="B38" t="s">
        <v>105</v>
      </c>
      <c r="C38" t="s">
        <v>82</v>
      </c>
      <c r="D38" s="11">
        <v>2</v>
      </c>
    </row>
    <row r="39" spans="1:5" x14ac:dyDescent="0.25">
      <c r="A39" s="372"/>
      <c r="B39" t="s">
        <v>106</v>
      </c>
      <c r="C39" t="s">
        <v>88</v>
      </c>
      <c r="D39" s="11">
        <v>0.1</v>
      </c>
    </row>
    <row r="40" spans="1:5" x14ac:dyDescent="0.25">
      <c r="A40" s="372"/>
      <c r="B40" t="s">
        <v>107</v>
      </c>
      <c r="C40" t="s">
        <v>88</v>
      </c>
      <c r="D40" s="11">
        <v>0.15</v>
      </c>
    </row>
    <row r="41" spans="1:5" x14ac:dyDescent="0.25">
      <c r="A41" s="372"/>
      <c r="B41" t="s">
        <v>108</v>
      </c>
      <c r="C41" t="s">
        <v>88</v>
      </c>
      <c r="D41" s="11">
        <v>0.3</v>
      </c>
    </row>
    <row r="42" spans="1:5" x14ac:dyDescent="0.25">
      <c r="A42" s="372"/>
      <c r="B42" t="s">
        <v>109</v>
      </c>
      <c r="C42" t="s">
        <v>88</v>
      </c>
      <c r="D42" s="11">
        <v>1</v>
      </c>
    </row>
    <row r="43" spans="1:5" x14ac:dyDescent="0.25">
      <c r="A43" s="372"/>
      <c r="B43" t="s">
        <v>110</v>
      </c>
      <c r="C43" t="s">
        <v>88</v>
      </c>
      <c r="D43" s="11">
        <v>0.25</v>
      </c>
    </row>
    <row r="44" spans="1:5" x14ac:dyDescent="0.25">
      <c r="A44" s="372"/>
      <c r="B44" t="s">
        <v>111</v>
      </c>
      <c r="C44" t="s">
        <v>88</v>
      </c>
      <c r="D44" s="11">
        <v>0.75</v>
      </c>
    </row>
    <row r="45" spans="1:5" x14ac:dyDescent="0.25">
      <c r="A45" s="372"/>
      <c r="B45" t="s">
        <v>112</v>
      </c>
      <c r="C45" t="s">
        <v>88</v>
      </c>
      <c r="D45" s="11">
        <v>1</v>
      </c>
    </row>
    <row r="46" spans="1:5" x14ac:dyDescent="0.25">
      <c r="A46" s="372" t="s">
        <v>113</v>
      </c>
      <c r="B46" t="s">
        <v>127</v>
      </c>
      <c r="D46" s="11" t="s">
        <v>117</v>
      </c>
      <c r="E46" s="11" t="s">
        <v>117</v>
      </c>
    </row>
    <row r="47" spans="1:5" x14ac:dyDescent="0.25">
      <c r="A47" s="372"/>
      <c r="B47" t="s">
        <v>128</v>
      </c>
      <c r="C47" t="s">
        <v>118</v>
      </c>
      <c r="D47" s="11">
        <v>2</v>
      </c>
    </row>
    <row r="48" spans="1:5" x14ac:dyDescent="0.25">
      <c r="A48" s="372"/>
      <c r="B48" t="s">
        <v>129</v>
      </c>
      <c r="C48" t="s">
        <v>119</v>
      </c>
      <c r="D48" s="11">
        <v>700</v>
      </c>
    </row>
    <row r="49" spans="1:5" x14ac:dyDescent="0.25">
      <c r="A49" s="372"/>
      <c r="B49" t="s">
        <v>130</v>
      </c>
      <c r="C49" t="s">
        <v>123</v>
      </c>
      <c r="D49" s="11">
        <v>4</v>
      </c>
    </row>
    <row r="50" spans="1:5" x14ac:dyDescent="0.25">
      <c r="A50" s="372"/>
      <c r="B50" t="s">
        <v>131</v>
      </c>
      <c r="C50" t="s">
        <v>120</v>
      </c>
      <c r="D50" s="11">
        <v>2</v>
      </c>
    </row>
    <row r="51" spans="1:5" x14ac:dyDescent="0.25">
      <c r="A51" s="372"/>
      <c r="B51" t="s">
        <v>132</v>
      </c>
      <c r="C51" t="s">
        <v>53</v>
      </c>
      <c r="D51" s="11">
        <v>4.25</v>
      </c>
    </row>
    <row r="52" spans="1:5" x14ac:dyDescent="0.25">
      <c r="A52" s="372"/>
      <c r="B52" t="s">
        <v>133</v>
      </c>
      <c r="C52" t="s">
        <v>53</v>
      </c>
      <c r="D52" s="11">
        <v>3.7</v>
      </c>
    </row>
    <row r="53" spans="1:5" x14ac:dyDescent="0.25">
      <c r="A53" s="372"/>
      <c r="B53" t="s">
        <v>134</v>
      </c>
      <c r="C53" t="s">
        <v>124</v>
      </c>
      <c r="D53" s="11">
        <v>10</v>
      </c>
    </row>
    <row r="54" spans="1:5" x14ac:dyDescent="0.25">
      <c r="A54" s="372"/>
      <c r="B54" t="s">
        <v>135</v>
      </c>
      <c r="C54" t="s">
        <v>121</v>
      </c>
      <c r="D54" s="11">
        <v>0.15</v>
      </c>
      <c r="E54" s="11">
        <v>0.15</v>
      </c>
    </row>
    <row r="55" spans="1:5" x14ac:dyDescent="0.25">
      <c r="A55" s="372"/>
      <c r="B55" t="s">
        <v>136</v>
      </c>
      <c r="C55" t="s">
        <v>124</v>
      </c>
      <c r="D55" s="11">
        <v>50</v>
      </c>
      <c r="E55" s="11">
        <v>50</v>
      </c>
    </row>
    <row r="56" spans="1:5" x14ac:dyDescent="0.25">
      <c r="A56" s="372"/>
      <c r="B56" t="s">
        <v>137</v>
      </c>
      <c r="C56" t="s">
        <v>121</v>
      </c>
      <c r="D56" s="11">
        <v>0.24</v>
      </c>
      <c r="E56" s="11">
        <v>0.24</v>
      </c>
    </row>
    <row r="57" spans="1:5" x14ac:dyDescent="0.25">
      <c r="A57" s="372"/>
      <c r="B57" t="s">
        <v>138</v>
      </c>
      <c r="C57" t="s">
        <v>121</v>
      </c>
      <c r="D57" s="11">
        <v>0.19</v>
      </c>
      <c r="E57" s="11">
        <v>0.19</v>
      </c>
    </row>
    <row r="58" spans="1:5" x14ac:dyDescent="0.25">
      <c r="A58" s="372"/>
      <c r="B58" t="s">
        <v>139</v>
      </c>
      <c r="C58" t="s">
        <v>122</v>
      </c>
      <c r="D58" s="11">
        <v>0.17299999999999999</v>
      </c>
    </row>
    <row r="59" spans="1:5" x14ac:dyDescent="0.25">
      <c r="A59" s="372"/>
      <c r="B59" t="s">
        <v>140</v>
      </c>
      <c r="C59" t="s">
        <v>122</v>
      </c>
      <c r="D59" s="11">
        <v>0.55000000000000004</v>
      </c>
    </row>
    <row r="60" spans="1:5" x14ac:dyDescent="0.25">
      <c r="A60" s="372" t="s">
        <v>114</v>
      </c>
      <c r="B60" t="s">
        <v>141</v>
      </c>
      <c r="C60" t="s">
        <v>54</v>
      </c>
      <c r="D60" s="11">
        <v>0.48599999999999999</v>
      </c>
      <c r="E60" s="11">
        <v>0.48599999999999999</v>
      </c>
    </row>
    <row r="61" spans="1:5" x14ac:dyDescent="0.25">
      <c r="A61" s="372"/>
      <c r="B61" t="s">
        <v>142</v>
      </c>
      <c r="C61" t="s">
        <v>125</v>
      </c>
      <c r="D61" s="11">
        <f>2.85*10^-3</f>
        <v>2.8500000000000001E-3</v>
      </c>
      <c r="E61" s="11">
        <f>2.85*10^-3</f>
        <v>2.8500000000000001E-3</v>
      </c>
    </row>
    <row r="62" spans="1:5" x14ac:dyDescent="0.25">
      <c r="A62" s="372"/>
      <c r="B62" t="s">
        <v>143</v>
      </c>
      <c r="C62" t="s">
        <v>54</v>
      </c>
      <c r="D62" s="11">
        <v>0.02</v>
      </c>
      <c r="E62" s="11">
        <v>0.02</v>
      </c>
    </row>
    <row r="63" spans="1:5" x14ac:dyDescent="0.25">
      <c r="A63" s="372"/>
      <c r="B63" t="s">
        <v>144</v>
      </c>
      <c r="C63" t="s">
        <v>125</v>
      </c>
      <c r="D63" s="11">
        <f>1.173*10^-4</f>
        <v>1.1730000000000001E-4</v>
      </c>
      <c r="E63" s="11">
        <f>1.173*10^-4</f>
        <v>1.1730000000000001E-4</v>
      </c>
    </row>
    <row r="64" spans="1:5" ht="30" x14ac:dyDescent="0.25">
      <c r="A64" s="10" t="s">
        <v>115</v>
      </c>
      <c r="B64" t="s">
        <v>145</v>
      </c>
      <c r="C64" s="6" t="s">
        <v>85</v>
      </c>
      <c r="D64" s="11" t="s">
        <v>126</v>
      </c>
    </row>
    <row r="65" spans="1:4" x14ac:dyDescent="0.25">
      <c r="A65" s="372" t="s">
        <v>116</v>
      </c>
      <c r="B65" t="s">
        <v>146</v>
      </c>
      <c r="C65" s="6" t="s">
        <v>85</v>
      </c>
      <c r="D65" s="11">
        <v>1000</v>
      </c>
    </row>
    <row r="66" spans="1:4" x14ac:dyDescent="0.25">
      <c r="A66" s="372"/>
      <c r="B66" t="s">
        <v>147</v>
      </c>
      <c r="C66" s="6" t="s">
        <v>85</v>
      </c>
      <c r="D66" s="11">
        <f>1*10^-5</f>
        <v>1.0000000000000001E-5</v>
      </c>
    </row>
  </sheetData>
  <mergeCells count="11">
    <mergeCell ref="A65:A66"/>
    <mergeCell ref="A60:A63"/>
    <mergeCell ref="A46:A59"/>
    <mergeCell ref="A34:A45"/>
    <mergeCell ref="A31:A33"/>
    <mergeCell ref="A2:A5"/>
    <mergeCell ref="A25:A30"/>
    <mergeCell ref="A23:A24"/>
    <mergeCell ref="A14:A22"/>
    <mergeCell ref="A10:A13"/>
    <mergeCell ref="A6:A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10"/>
  <sheetViews>
    <sheetView workbookViewId="0">
      <selection activeCell="I17" sqref="I17"/>
    </sheetView>
  </sheetViews>
  <sheetFormatPr defaultRowHeight="15" x14ac:dyDescent="0.25"/>
  <sheetData>
    <row r="1" spans="1:1" x14ac:dyDescent="0.25">
      <c r="A1" s="2" t="s">
        <v>27</v>
      </c>
    </row>
    <row r="2" spans="1:1" x14ac:dyDescent="0.25">
      <c r="A2" s="3" t="s">
        <v>28</v>
      </c>
    </row>
    <row r="3" spans="1:1" x14ac:dyDescent="0.25">
      <c r="A3" t="s">
        <v>29</v>
      </c>
    </row>
    <row r="5" spans="1:1" x14ac:dyDescent="0.25">
      <c r="A5" s="3" t="s">
        <v>30</v>
      </c>
    </row>
    <row r="6" spans="1:1" x14ac:dyDescent="0.25">
      <c r="A6" s="4" t="s">
        <v>31</v>
      </c>
    </row>
    <row r="7" spans="1:1" x14ac:dyDescent="0.25">
      <c r="A7" s="3" t="s">
        <v>32</v>
      </c>
    </row>
    <row r="8" spans="1:1" x14ac:dyDescent="0.25">
      <c r="A8" t="s">
        <v>33</v>
      </c>
    </row>
    <row r="9" spans="1:1" x14ac:dyDescent="0.25">
      <c r="A9" s="4" t="s">
        <v>34</v>
      </c>
    </row>
    <row r="10" spans="1:1" x14ac:dyDescent="0.25">
      <c r="A10" s="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F30"/>
  <sheetViews>
    <sheetView topLeftCell="A2" workbookViewId="0">
      <selection activeCell="C4" sqref="C4"/>
    </sheetView>
  </sheetViews>
  <sheetFormatPr defaultRowHeight="15" x14ac:dyDescent="0.25"/>
  <cols>
    <col min="2" max="2" width="25" bestFit="1" customWidth="1"/>
    <col min="4" max="4" width="13.5703125" bestFit="1" customWidth="1"/>
    <col min="5" max="5" width="42.140625" bestFit="1" customWidth="1"/>
    <col min="6" max="6" width="51.42578125" bestFit="1" customWidth="1"/>
  </cols>
  <sheetData>
    <row r="1" spans="1:6" ht="21" x14ac:dyDescent="0.35">
      <c r="A1" s="45" t="s">
        <v>546</v>
      </c>
      <c r="F1" s="5" t="s">
        <v>522</v>
      </c>
    </row>
    <row r="2" spans="1:6" ht="21" x14ac:dyDescent="0.35">
      <c r="B2" s="45"/>
      <c r="F2" s="293" t="s">
        <v>558</v>
      </c>
    </row>
    <row r="3" spans="1:6" x14ac:dyDescent="0.25">
      <c r="A3" s="46" t="s">
        <v>329</v>
      </c>
      <c r="B3" s="46" t="s">
        <v>319</v>
      </c>
      <c r="C3" s="46" t="s">
        <v>340</v>
      </c>
      <c r="D3" s="46" t="s">
        <v>339</v>
      </c>
      <c r="E3" s="46" t="s">
        <v>337</v>
      </c>
      <c r="F3" s="114" t="s">
        <v>559</v>
      </c>
    </row>
    <row r="4" spans="1:6" x14ac:dyDescent="0.25">
      <c r="A4" t="s">
        <v>330</v>
      </c>
      <c r="B4" t="s">
        <v>316</v>
      </c>
      <c r="C4" s="293">
        <v>18</v>
      </c>
      <c r="D4" t="s">
        <v>49</v>
      </c>
      <c r="E4" t="s">
        <v>338</v>
      </c>
    </row>
    <row r="5" spans="1:6" x14ac:dyDescent="0.25">
      <c r="B5" t="s">
        <v>328</v>
      </c>
      <c r="C5" s="293">
        <v>780</v>
      </c>
      <c r="D5" t="s">
        <v>36</v>
      </c>
      <c r="E5" t="s">
        <v>338</v>
      </c>
    </row>
    <row r="6" spans="1:6" x14ac:dyDescent="0.25">
      <c r="A6" s="114" t="s">
        <v>402</v>
      </c>
      <c r="B6" s="114" t="s">
        <v>398</v>
      </c>
      <c r="C6" s="114">
        <v>10</v>
      </c>
      <c r="D6" s="114" t="s">
        <v>399</v>
      </c>
      <c r="E6" s="114"/>
    </row>
    <row r="7" spans="1:6" x14ac:dyDescent="0.25">
      <c r="A7" s="114"/>
      <c r="B7" s="114"/>
      <c r="C7" s="114">
        <f>C4-C6</f>
        <v>8</v>
      </c>
      <c r="D7" s="114" t="s">
        <v>400</v>
      </c>
      <c r="E7" s="114"/>
    </row>
    <row r="8" spans="1:6" x14ac:dyDescent="0.25">
      <c r="A8" s="114"/>
      <c r="B8" s="114" t="s">
        <v>401</v>
      </c>
      <c r="C8" s="114">
        <v>75</v>
      </c>
      <c r="D8" s="114" t="s">
        <v>40</v>
      </c>
      <c r="E8" s="114"/>
    </row>
    <row r="9" spans="1:6" x14ac:dyDescent="0.25">
      <c r="A9" s="114"/>
      <c r="B9" s="114" t="s">
        <v>403</v>
      </c>
      <c r="C9" s="114">
        <v>55</v>
      </c>
      <c r="D9" s="114" t="s">
        <v>40</v>
      </c>
      <c r="E9" s="114"/>
    </row>
    <row r="10" spans="1:6" x14ac:dyDescent="0.25">
      <c r="A10" t="s">
        <v>44</v>
      </c>
      <c r="B10" s="20" t="s">
        <v>331</v>
      </c>
      <c r="C10" s="5">
        <f>Summary!D6</f>
        <v>5</v>
      </c>
      <c r="D10" t="s">
        <v>334</v>
      </c>
      <c r="E10" t="s">
        <v>341</v>
      </c>
    </row>
    <row r="11" spans="1:6" x14ac:dyDescent="0.25">
      <c r="B11" s="20" t="s">
        <v>332</v>
      </c>
      <c r="C11" s="5">
        <f>Summary!D7</f>
        <v>10</v>
      </c>
      <c r="D11" t="s">
        <v>333</v>
      </c>
      <c r="E11" t="s">
        <v>341</v>
      </c>
    </row>
    <row r="12" spans="1:6" x14ac:dyDescent="0.25">
      <c r="B12" s="20" t="s">
        <v>335</v>
      </c>
      <c r="C12" s="5">
        <f>Summary!D8</f>
        <v>6</v>
      </c>
      <c r="D12" t="s">
        <v>497</v>
      </c>
      <c r="E12" t="s">
        <v>341</v>
      </c>
    </row>
    <row r="13" spans="1:6" x14ac:dyDescent="0.25">
      <c r="B13" s="20" t="s">
        <v>350</v>
      </c>
      <c r="C13">
        <f>C10*C11*C12</f>
        <v>300</v>
      </c>
      <c r="D13" t="s">
        <v>496</v>
      </c>
    </row>
    <row r="14" spans="1:6" x14ac:dyDescent="0.25">
      <c r="B14" s="115" t="s">
        <v>347</v>
      </c>
      <c r="C14" s="114">
        <v>29.6</v>
      </c>
      <c r="D14" s="114" t="s">
        <v>50</v>
      </c>
      <c r="E14" s="114" t="s">
        <v>151</v>
      </c>
    </row>
    <row r="15" spans="1:6" x14ac:dyDescent="0.25">
      <c r="A15" t="s">
        <v>43</v>
      </c>
      <c r="B15" s="20" t="s">
        <v>361</v>
      </c>
      <c r="C15" s="5">
        <f>Summary!D10</f>
        <v>5750</v>
      </c>
      <c r="D15" t="s">
        <v>41</v>
      </c>
      <c r="E15" t="s">
        <v>362</v>
      </c>
    </row>
    <row r="16" spans="1:6" x14ac:dyDescent="0.25">
      <c r="B16" s="20" t="s">
        <v>343</v>
      </c>
      <c r="C16" s="293">
        <v>70.3</v>
      </c>
      <c r="D16" t="s">
        <v>50</v>
      </c>
      <c r="E16" t="s">
        <v>567</v>
      </c>
    </row>
    <row r="17" spans="1:5" x14ac:dyDescent="0.25">
      <c r="B17" s="20" t="s">
        <v>367</v>
      </c>
      <c r="C17" s="293">
        <v>8.3145100000000003</v>
      </c>
      <c r="D17" t="s">
        <v>368</v>
      </c>
    </row>
    <row r="18" spans="1:5" x14ac:dyDescent="0.25">
      <c r="B18" s="20" t="s">
        <v>366</v>
      </c>
      <c r="C18">
        <f>C16*10^3*C15/C17/C22</f>
        <v>164245.99886222999</v>
      </c>
      <c r="D18" t="s">
        <v>356</v>
      </c>
      <c r="E18" t="s">
        <v>505</v>
      </c>
    </row>
    <row r="19" spans="1:5" x14ac:dyDescent="0.25">
      <c r="B19" s="20" t="s">
        <v>358</v>
      </c>
      <c r="C19" s="294">
        <v>0.26500000000000001</v>
      </c>
      <c r="E19" t="s">
        <v>567</v>
      </c>
    </row>
    <row r="20" spans="1:5" x14ac:dyDescent="0.25">
      <c r="B20" s="297" t="s">
        <v>364</v>
      </c>
      <c r="C20" s="47">
        <f>0.53/C16</f>
        <v>7.5391180654338554E-3</v>
      </c>
      <c r="E20" s="20" t="s">
        <v>566</v>
      </c>
    </row>
    <row r="21" spans="1:5" x14ac:dyDescent="0.25">
      <c r="B21" s="20" t="s">
        <v>363</v>
      </c>
      <c r="C21" s="47">
        <f>1-C19-C20</f>
        <v>0.72746088193456615</v>
      </c>
      <c r="E21" t="s">
        <v>504</v>
      </c>
    </row>
    <row r="22" spans="1:5" x14ac:dyDescent="0.25">
      <c r="B22" s="297" t="s">
        <v>352</v>
      </c>
      <c r="C22" s="293">
        <v>296</v>
      </c>
      <c r="D22" t="s">
        <v>353</v>
      </c>
      <c r="E22" s="20" t="s">
        <v>566</v>
      </c>
    </row>
    <row r="23" spans="1:5" x14ac:dyDescent="0.25">
      <c r="A23" t="s">
        <v>39</v>
      </c>
      <c r="B23" s="20" t="s">
        <v>380</v>
      </c>
      <c r="C23" s="116">
        <f>Summary!D4/100</f>
        <v>0.5</v>
      </c>
      <c r="E23" t="s">
        <v>342</v>
      </c>
    </row>
    <row r="24" spans="1:5" x14ac:dyDescent="0.25">
      <c r="B24" s="20" t="s">
        <v>433</v>
      </c>
      <c r="C24">
        <f>200*(C4/4)*C23</f>
        <v>450</v>
      </c>
      <c r="D24" t="s">
        <v>432</v>
      </c>
      <c r="E24" t="s">
        <v>434</v>
      </c>
    </row>
    <row r="25" spans="1:5" x14ac:dyDescent="0.25">
      <c r="B25" s="20" t="s">
        <v>554</v>
      </c>
      <c r="C25" s="293">
        <v>2.2999999999999998</v>
      </c>
      <c r="D25" t="s">
        <v>346</v>
      </c>
      <c r="E25" t="s">
        <v>555</v>
      </c>
    </row>
    <row r="26" spans="1:5" x14ac:dyDescent="0.25">
      <c r="B26" s="20" t="s">
        <v>556</v>
      </c>
      <c r="C26" s="293">
        <v>6.5700000000000003E-3</v>
      </c>
      <c r="D26" t="s">
        <v>604</v>
      </c>
      <c r="E26" t="s">
        <v>555</v>
      </c>
    </row>
    <row r="27" spans="1:5" x14ac:dyDescent="0.25">
      <c r="B27" s="297" t="s">
        <v>561</v>
      </c>
      <c r="C27" s="293">
        <v>13.1</v>
      </c>
      <c r="D27" t="s">
        <v>562</v>
      </c>
      <c r="E27" t="s">
        <v>563</v>
      </c>
    </row>
    <row r="28" spans="1:5" x14ac:dyDescent="0.25">
      <c r="B28" s="297" t="s">
        <v>595</v>
      </c>
      <c r="C28" s="293">
        <v>0.83</v>
      </c>
      <c r="D28" t="s">
        <v>592</v>
      </c>
      <c r="E28" t="s">
        <v>593</v>
      </c>
    </row>
    <row r="29" spans="1:5" x14ac:dyDescent="0.25">
      <c r="B29" s="297" t="s">
        <v>594</v>
      </c>
      <c r="C29" s="293">
        <v>0.17</v>
      </c>
      <c r="D29" t="s">
        <v>592</v>
      </c>
      <c r="E29" t="s">
        <v>593</v>
      </c>
    </row>
    <row r="30" spans="1:5" x14ac:dyDescent="0.25">
      <c r="B30" s="297" t="s">
        <v>596</v>
      </c>
      <c r="C30">
        <f>C28*C23+C29*(1-C23)</f>
        <v>0.5</v>
      </c>
      <c r="D30" t="s">
        <v>592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44"/>
  <sheetViews>
    <sheetView topLeftCell="A22" zoomScale="70" zoomScaleNormal="70" workbookViewId="0">
      <selection activeCell="F21" sqref="F21"/>
    </sheetView>
  </sheetViews>
  <sheetFormatPr defaultRowHeight="15" x14ac:dyDescent="0.25"/>
  <cols>
    <col min="1" max="2" width="9.140625" style="48"/>
    <col min="3" max="3" width="29.7109375" customWidth="1"/>
    <col min="4" max="4" width="10" style="8" bestFit="1" customWidth="1"/>
    <col min="6" max="6" width="20.140625" customWidth="1"/>
    <col min="7" max="7" width="13.5703125" customWidth="1"/>
    <col min="8" max="8" width="27.85546875" bestFit="1" customWidth="1"/>
    <col min="9" max="9" width="10.28515625" bestFit="1" customWidth="1"/>
    <col min="10" max="10" width="10.7109375" bestFit="1" customWidth="1"/>
    <col min="11" max="11" width="9.5703125" customWidth="1"/>
    <col min="12" max="12" width="36.7109375" bestFit="1" customWidth="1"/>
    <col min="14" max="14" width="11.42578125" bestFit="1" customWidth="1"/>
    <col min="15" max="15" width="12" bestFit="1" customWidth="1"/>
  </cols>
  <sheetData>
    <row r="1" spans="1:16" ht="15.75" thickBot="1" x14ac:dyDescent="0.3"/>
    <row r="2" spans="1:16" ht="23.25" x14ac:dyDescent="0.35">
      <c r="A2" s="289" t="s">
        <v>389</v>
      </c>
      <c r="G2" s="244" t="s">
        <v>406</v>
      </c>
      <c r="H2" s="245"/>
      <c r="I2" s="246"/>
      <c r="J2" s="229"/>
      <c r="L2" s="255" t="s">
        <v>381</v>
      </c>
      <c r="M2" s="334" t="s">
        <v>558</v>
      </c>
      <c r="N2" s="334"/>
      <c r="O2" s="334"/>
      <c r="P2" s="229"/>
    </row>
    <row r="3" spans="1:16" ht="21" x14ac:dyDescent="0.35">
      <c r="A3" s="49"/>
      <c r="B3" s="81"/>
      <c r="C3" t="s">
        <v>543</v>
      </c>
      <c r="G3" s="247" t="s">
        <v>317</v>
      </c>
      <c r="H3" s="56"/>
      <c r="I3" s="65"/>
      <c r="J3" s="231"/>
      <c r="L3" s="232" t="s">
        <v>44</v>
      </c>
      <c r="M3" s="56"/>
      <c r="N3" s="56"/>
      <c r="O3" s="56" t="s">
        <v>42</v>
      </c>
      <c r="P3" s="231"/>
    </row>
    <row r="4" spans="1:16" ht="21" x14ac:dyDescent="0.35">
      <c r="A4" s="49"/>
      <c r="B4" s="82"/>
      <c r="C4" t="s">
        <v>439</v>
      </c>
      <c r="G4" s="230" t="s">
        <v>329</v>
      </c>
      <c r="H4" s="236" t="s">
        <v>383</v>
      </c>
      <c r="I4" s="117" t="s">
        <v>382</v>
      </c>
      <c r="J4" s="248" t="s">
        <v>339</v>
      </c>
      <c r="L4" s="299" t="s">
        <v>322</v>
      </c>
      <c r="M4" s="256">
        <v>9.1999999999999998E-2</v>
      </c>
      <c r="N4" s="56" t="s">
        <v>320</v>
      </c>
      <c r="O4" s="56" t="s">
        <v>568</v>
      </c>
      <c r="P4" s="231" t="s">
        <v>569</v>
      </c>
    </row>
    <row r="5" spans="1:16" ht="21" x14ac:dyDescent="0.35">
      <c r="A5" s="49"/>
      <c r="G5" s="232" t="s">
        <v>318</v>
      </c>
      <c r="H5" s="56" t="s">
        <v>349</v>
      </c>
      <c r="I5" s="249">
        <f>(M4+M8)*Input!C13/7</f>
        <v>7.1571428571428566</v>
      </c>
      <c r="J5" s="231" t="s">
        <v>372</v>
      </c>
      <c r="L5" s="299" t="s">
        <v>323</v>
      </c>
      <c r="M5" s="256">
        <v>2.9</v>
      </c>
      <c r="N5" s="56" t="s">
        <v>41</v>
      </c>
      <c r="O5" s="56" t="s">
        <v>568</v>
      </c>
      <c r="P5" s="231" t="s">
        <v>569</v>
      </c>
    </row>
    <row r="6" spans="1:16" x14ac:dyDescent="0.25">
      <c r="A6" s="51" t="s">
        <v>318</v>
      </c>
      <c r="B6" s="52"/>
      <c r="C6" s="53"/>
      <c r="D6" s="54"/>
      <c r="E6" s="55"/>
      <c r="G6" s="232"/>
      <c r="H6" s="56" t="s">
        <v>351</v>
      </c>
      <c r="I6" s="250">
        <f>M7*Input!C19/100*32</f>
        <v>1.3789374466070989</v>
      </c>
      <c r="J6" s="231" t="s">
        <v>359</v>
      </c>
      <c r="L6" s="232" t="s">
        <v>324</v>
      </c>
      <c r="M6" s="256">
        <v>13.8</v>
      </c>
      <c r="N6" s="56" t="s">
        <v>50</v>
      </c>
      <c r="O6" s="56" t="s">
        <v>355</v>
      </c>
      <c r="P6" s="231"/>
    </row>
    <row r="7" spans="1:16" x14ac:dyDescent="0.25">
      <c r="A7" s="335" t="s">
        <v>317</v>
      </c>
      <c r="B7" s="71" t="s">
        <v>319</v>
      </c>
      <c r="C7" s="56" t="s">
        <v>390</v>
      </c>
      <c r="D7" s="57">
        <f>-D8</f>
        <v>7.1620676337378821</v>
      </c>
      <c r="E7" s="58" t="s">
        <v>372</v>
      </c>
      <c r="G7" s="232"/>
      <c r="H7" s="56"/>
      <c r="I7" s="249">
        <f>I6*(Input!C11/2)*Input!C10/1000/7</f>
        <v>4.9247765950253533E-3</v>
      </c>
      <c r="J7" s="231" t="s">
        <v>372</v>
      </c>
      <c r="L7" s="232" t="s">
        <v>354</v>
      </c>
      <c r="M7" s="65">
        <f>13.8*10^3*M5/(Input!C17*Input!C22)</f>
        <v>16.261054794895035</v>
      </c>
      <c r="N7" s="56" t="s">
        <v>357</v>
      </c>
      <c r="O7" s="56"/>
      <c r="P7" s="231"/>
    </row>
    <row r="8" spans="1:16" x14ac:dyDescent="0.25">
      <c r="A8" s="336"/>
      <c r="B8" s="74" t="s">
        <v>387</v>
      </c>
      <c r="C8" s="59" t="s">
        <v>349</v>
      </c>
      <c r="D8" s="78">
        <f>-(I5+I7)</f>
        <v>-7.1620676337378821</v>
      </c>
      <c r="E8" s="61" t="s">
        <v>372</v>
      </c>
      <c r="G8" s="232" t="s">
        <v>43</v>
      </c>
      <c r="H8" s="56" t="s">
        <v>371</v>
      </c>
      <c r="I8" s="249">
        <f>M13*Input!C19*32/1000</f>
        <v>0.69640303517585511</v>
      </c>
      <c r="J8" s="231" t="s">
        <v>372</v>
      </c>
      <c r="L8" s="299" t="s">
        <v>325</v>
      </c>
      <c r="M8" s="256">
        <v>7.4999999999999997E-2</v>
      </c>
      <c r="N8" s="56" t="s">
        <v>320</v>
      </c>
      <c r="O8" s="56" t="s">
        <v>568</v>
      </c>
      <c r="P8" s="231" t="s">
        <v>575</v>
      </c>
    </row>
    <row r="9" spans="1:16" x14ac:dyDescent="0.25">
      <c r="G9" s="232"/>
      <c r="H9" s="56" t="s">
        <v>374</v>
      </c>
      <c r="I9" s="249">
        <f>M15*Input!C4</f>
        <v>14.687999999999999</v>
      </c>
      <c r="J9" s="231" t="s">
        <v>372</v>
      </c>
      <c r="L9" s="299" t="s">
        <v>327</v>
      </c>
      <c r="M9" s="256">
        <v>9.2999999999999999E-2</v>
      </c>
      <c r="N9" s="56" t="s">
        <v>320</v>
      </c>
      <c r="O9" s="56" t="s">
        <v>568</v>
      </c>
      <c r="P9" s="231" t="s">
        <v>575</v>
      </c>
    </row>
    <row r="10" spans="1:16" x14ac:dyDescent="0.25">
      <c r="A10" s="51" t="s">
        <v>385</v>
      </c>
      <c r="B10" s="52"/>
      <c r="C10" s="53"/>
      <c r="D10" s="54"/>
      <c r="E10" s="55"/>
      <c r="G10" s="232" t="s">
        <v>241</v>
      </c>
      <c r="H10" s="56" t="s">
        <v>384</v>
      </c>
      <c r="I10" s="251">
        <f>Crop!N13</f>
        <v>17.509522275000002</v>
      </c>
      <c r="J10" s="231" t="s">
        <v>372</v>
      </c>
      <c r="L10" s="232"/>
      <c r="M10" s="56"/>
      <c r="N10" s="56"/>
      <c r="O10" s="56"/>
      <c r="P10" s="231"/>
    </row>
    <row r="11" spans="1:16" x14ac:dyDescent="0.25">
      <c r="A11" s="335" t="s">
        <v>317</v>
      </c>
      <c r="B11" s="71" t="s">
        <v>319</v>
      </c>
      <c r="C11" s="56" t="s">
        <v>386</v>
      </c>
      <c r="D11" s="79">
        <f>I10</f>
        <v>17.509522275000002</v>
      </c>
      <c r="E11" s="58" t="s">
        <v>372</v>
      </c>
      <c r="G11" s="247" t="s">
        <v>375</v>
      </c>
      <c r="H11" s="56"/>
      <c r="I11" s="250"/>
      <c r="J11" s="231"/>
      <c r="L11" s="232" t="s">
        <v>43</v>
      </c>
      <c r="M11" s="56"/>
      <c r="N11" s="56"/>
      <c r="O11" s="56"/>
      <c r="P11" s="231"/>
    </row>
    <row r="12" spans="1:16" x14ac:dyDescent="0.25">
      <c r="A12" s="335"/>
      <c r="B12" s="337" t="s">
        <v>387</v>
      </c>
      <c r="C12" s="56" t="s">
        <v>391</v>
      </c>
      <c r="D12" s="62">
        <f>-D7</f>
        <v>-7.1620676337378821</v>
      </c>
      <c r="E12" s="58" t="s">
        <v>372</v>
      </c>
      <c r="G12" s="230" t="s">
        <v>329</v>
      </c>
      <c r="H12" s="236" t="s">
        <v>383</v>
      </c>
      <c r="I12" s="252" t="s">
        <v>382</v>
      </c>
      <c r="J12" s="248" t="s">
        <v>339</v>
      </c>
      <c r="L12" s="299" t="s">
        <v>344</v>
      </c>
      <c r="M12" s="257">
        <v>5.0000000000000001E-4</v>
      </c>
      <c r="N12" s="56" t="s">
        <v>369</v>
      </c>
      <c r="O12" s="56" t="s">
        <v>568</v>
      </c>
      <c r="P12" s="231" t="s">
        <v>570</v>
      </c>
    </row>
    <row r="13" spans="1:16" x14ac:dyDescent="0.25">
      <c r="A13" s="336"/>
      <c r="B13" s="338"/>
      <c r="C13" s="59" t="s">
        <v>388</v>
      </c>
      <c r="D13" s="60">
        <f>-(D11+D12)</f>
        <v>-10.34745464126212</v>
      </c>
      <c r="E13" s="61" t="s">
        <v>372</v>
      </c>
      <c r="G13" s="232" t="s">
        <v>318</v>
      </c>
      <c r="H13" s="56" t="s">
        <v>360</v>
      </c>
      <c r="I13" s="250">
        <f>M7*Input!C21/100*28</f>
        <v>3.3121987534385813</v>
      </c>
      <c r="J13" s="231" t="s">
        <v>359</v>
      </c>
      <c r="L13" s="232" t="s">
        <v>365</v>
      </c>
      <c r="M13" s="56">
        <f>Input!C18*'Gas InOut'!M12</f>
        <v>82.122999431114991</v>
      </c>
      <c r="N13" s="56" t="s">
        <v>370</v>
      </c>
      <c r="O13" s="56"/>
      <c r="P13" s="231"/>
    </row>
    <row r="14" spans="1:16" x14ac:dyDescent="0.25">
      <c r="G14" s="232"/>
      <c r="H14" s="56"/>
      <c r="I14" s="249">
        <f>I13*(Input!C11/2)*Input!C10/1000/7</f>
        <v>1.1829281262280647E-2</v>
      </c>
      <c r="J14" s="231" t="s">
        <v>372</v>
      </c>
      <c r="L14" s="299" t="s">
        <v>345</v>
      </c>
      <c r="M14" s="256">
        <v>1.04</v>
      </c>
      <c r="N14" s="56" t="s">
        <v>346</v>
      </c>
      <c r="O14" s="56" t="s">
        <v>568</v>
      </c>
      <c r="P14" s="231" t="s">
        <v>572</v>
      </c>
    </row>
    <row r="15" spans="1:16" x14ac:dyDescent="0.25">
      <c r="A15" s="51" t="s">
        <v>43</v>
      </c>
      <c r="B15" s="52"/>
      <c r="C15" s="53"/>
      <c r="D15" s="54"/>
      <c r="E15" s="55"/>
      <c r="G15" s="232" t="s">
        <v>43</v>
      </c>
      <c r="H15" s="56" t="s">
        <v>373</v>
      </c>
      <c r="I15" s="249">
        <f>M13*Input!C21*28/1000</f>
        <v>1.6727555486115822</v>
      </c>
      <c r="J15" s="231" t="s">
        <v>372</v>
      </c>
      <c r="L15" s="299" t="s">
        <v>348</v>
      </c>
      <c r="M15" s="256">
        <v>0.81599999999999995</v>
      </c>
      <c r="N15" s="56" t="s">
        <v>346</v>
      </c>
      <c r="O15" s="56" t="s">
        <v>568</v>
      </c>
      <c r="P15" s="231" t="s">
        <v>572</v>
      </c>
    </row>
    <row r="16" spans="1:16" x14ac:dyDescent="0.25">
      <c r="A16" s="335" t="s">
        <v>317</v>
      </c>
      <c r="B16" s="340" t="s">
        <v>319</v>
      </c>
      <c r="C16" s="56" t="s">
        <v>390</v>
      </c>
      <c r="D16" s="57">
        <f>-D13</f>
        <v>10.34745464126212</v>
      </c>
      <c r="E16" s="58" t="s">
        <v>372</v>
      </c>
      <c r="G16" s="247" t="s">
        <v>376</v>
      </c>
      <c r="H16" s="56"/>
      <c r="I16" s="250"/>
      <c r="J16" s="231"/>
      <c r="L16" s="232"/>
      <c r="M16" s="56"/>
      <c r="N16" s="56"/>
      <c r="O16" s="56"/>
      <c r="P16" s="231"/>
    </row>
    <row r="17" spans="1:16" x14ac:dyDescent="0.25">
      <c r="A17" s="335"/>
      <c r="B17" s="340"/>
      <c r="C17" s="56" t="s">
        <v>506</v>
      </c>
      <c r="D17" s="67">
        <f>IF(-D16-(D18+D19+D20)&lt;0,0,-D16-(D18+D19+D20))</f>
        <v>5.0418731705087598</v>
      </c>
      <c r="E17" s="58" t="s">
        <v>372</v>
      </c>
      <c r="G17" s="230" t="s">
        <v>329</v>
      </c>
      <c r="H17" s="236" t="s">
        <v>383</v>
      </c>
      <c r="I17" s="252" t="s">
        <v>382</v>
      </c>
      <c r="J17" s="248" t="s">
        <v>339</v>
      </c>
      <c r="L17" s="261" t="s">
        <v>241</v>
      </c>
      <c r="M17" s="262"/>
      <c r="N17" s="56"/>
      <c r="O17" s="56"/>
      <c r="P17" s="231"/>
    </row>
    <row r="18" spans="1:16" x14ac:dyDescent="0.25">
      <c r="A18" s="335"/>
      <c r="B18" s="337" t="s">
        <v>387</v>
      </c>
      <c r="C18" s="56" t="s">
        <v>351</v>
      </c>
      <c r="D18" s="80">
        <f>-I7</f>
        <v>-4.9247765950253533E-3</v>
      </c>
      <c r="E18" s="58" t="s">
        <v>372</v>
      </c>
      <c r="G18" s="232" t="s">
        <v>318</v>
      </c>
      <c r="H18" s="56" t="s">
        <v>377</v>
      </c>
      <c r="I18" s="250">
        <f>M7*Input!C20/100*44</f>
        <v>5.3941365265569308E-2</v>
      </c>
      <c r="J18" s="231" t="s">
        <v>359</v>
      </c>
      <c r="L18" s="261"/>
      <c r="M18" s="262"/>
      <c r="N18" s="56"/>
      <c r="O18" s="56"/>
      <c r="P18" s="231"/>
    </row>
    <row r="19" spans="1:16" x14ac:dyDescent="0.25">
      <c r="A19" s="335"/>
      <c r="B19" s="337"/>
      <c r="C19" s="56" t="s">
        <v>371</v>
      </c>
      <c r="D19" s="80">
        <f>-I8</f>
        <v>-0.69640303517585511</v>
      </c>
      <c r="E19" s="58" t="s">
        <v>372</v>
      </c>
      <c r="G19" s="232"/>
      <c r="H19" s="56"/>
      <c r="I19" s="249">
        <f>I18*(Input!C11/2)*Input!C10/1000/7</f>
        <v>1.9264773309131896E-4</v>
      </c>
      <c r="J19" s="231" t="s">
        <v>372</v>
      </c>
      <c r="L19" s="261" t="s">
        <v>232</v>
      </c>
      <c r="M19" s="262"/>
      <c r="N19" s="56"/>
      <c r="O19" s="56"/>
      <c r="P19" s="231"/>
    </row>
    <row r="20" spans="1:16" ht="15.75" thickBot="1" x14ac:dyDescent="0.3">
      <c r="A20" s="335"/>
      <c r="B20" s="337"/>
      <c r="C20" s="56" t="s">
        <v>374</v>
      </c>
      <c r="D20" s="80">
        <f>-I9</f>
        <v>-14.687999999999999</v>
      </c>
      <c r="E20" s="58" t="s">
        <v>372</v>
      </c>
      <c r="G20" s="232" t="s">
        <v>43</v>
      </c>
      <c r="H20" s="56" t="s">
        <v>378</v>
      </c>
      <c r="I20" s="249">
        <f>M13*Input!C20*44/1000</f>
        <v>2.7241939498344265E-2</v>
      </c>
      <c r="J20" s="231" t="s">
        <v>372</v>
      </c>
      <c r="L20" s="295" t="s">
        <v>409</v>
      </c>
      <c r="M20" s="296">
        <v>0.9</v>
      </c>
      <c r="N20" s="253"/>
      <c r="O20" s="253"/>
      <c r="P20" s="234"/>
    </row>
    <row r="21" spans="1:16" ht="15.75" thickBot="1" x14ac:dyDescent="0.3">
      <c r="A21" s="63"/>
      <c r="B21" s="64"/>
      <c r="C21" s="56"/>
      <c r="D21" s="65"/>
      <c r="E21" s="58"/>
      <c r="G21" s="239"/>
      <c r="H21" s="253" t="s">
        <v>379</v>
      </c>
      <c r="I21" s="254">
        <f>M14*Input!C4</f>
        <v>18.72</v>
      </c>
      <c r="J21" s="234" t="s">
        <v>372</v>
      </c>
    </row>
    <row r="22" spans="1:16" x14ac:dyDescent="0.25">
      <c r="A22" s="339" t="s">
        <v>376</v>
      </c>
      <c r="B22" s="71" t="s">
        <v>319</v>
      </c>
      <c r="C22" s="56" t="s">
        <v>379</v>
      </c>
      <c r="D22" s="79">
        <f>I21</f>
        <v>18.72</v>
      </c>
      <c r="E22" s="58" t="s">
        <v>372</v>
      </c>
    </row>
    <row r="23" spans="1:16" x14ac:dyDescent="0.25">
      <c r="A23" s="339"/>
      <c r="B23" s="337" t="s">
        <v>387</v>
      </c>
      <c r="C23" s="56" t="s">
        <v>392</v>
      </c>
      <c r="D23" s="80">
        <f>-I19</f>
        <v>-1.9264773309131896E-4</v>
      </c>
      <c r="E23" s="58" t="s">
        <v>372</v>
      </c>
    </row>
    <row r="24" spans="1:16" x14ac:dyDescent="0.25">
      <c r="A24" s="339"/>
      <c r="B24" s="337"/>
      <c r="C24" s="56" t="s">
        <v>378</v>
      </c>
      <c r="D24" s="80">
        <f>-I20</f>
        <v>-2.7241939498344265E-2</v>
      </c>
      <c r="E24" s="58" t="s">
        <v>372</v>
      </c>
    </row>
    <row r="25" spans="1:16" x14ac:dyDescent="0.25">
      <c r="A25" s="339"/>
      <c r="B25" s="337"/>
      <c r="C25" s="56" t="s">
        <v>393</v>
      </c>
      <c r="D25" s="62">
        <f>-(D22+D23+D24)</f>
        <v>-18.692565412768563</v>
      </c>
      <c r="E25" s="58" t="s">
        <v>372</v>
      </c>
    </row>
    <row r="26" spans="1:16" x14ac:dyDescent="0.25">
      <c r="A26" s="63"/>
      <c r="B26" s="64"/>
      <c r="C26" s="56"/>
      <c r="D26" s="65"/>
      <c r="E26" s="58"/>
    </row>
    <row r="27" spans="1:16" x14ac:dyDescent="0.25">
      <c r="A27" s="335" t="s">
        <v>375</v>
      </c>
      <c r="B27" s="71" t="s">
        <v>319</v>
      </c>
      <c r="C27" s="56" t="s">
        <v>394</v>
      </c>
      <c r="D27" s="57">
        <f>-(D28+D29)</f>
        <v>1.6845848298738628</v>
      </c>
      <c r="E27" s="58" t="s">
        <v>372</v>
      </c>
    </row>
    <row r="28" spans="1:16" x14ac:dyDescent="0.25">
      <c r="A28" s="335"/>
      <c r="B28" s="337" t="s">
        <v>387</v>
      </c>
      <c r="C28" s="56" t="s">
        <v>360</v>
      </c>
      <c r="D28" s="80">
        <f>-I14</f>
        <v>-1.1829281262280647E-2</v>
      </c>
      <c r="E28" s="58" t="s">
        <v>372</v>
      </c>
    </row>
    <row r="29" spans="1:16" x14ac:dyDescent="0.25">
      <c r="A29" s="336"/>
      <c r="B29" s="338"/>
      <c r="C29" s="59" t="s">
        <v>373</v>
      </c>
      <c r="D29" s="78">
        <f>-I15</f>
        <v>-1.6727555486115822</v>
      </c>
      <c r="E29" s="61" t="s">
        <v>372</v>
      </c>
    </row>
    <row r="31" spans="1:16" x14ac:dyDescent="0.25">
      <c r="A31" s="51" t="s">
        <v>395</v>
      </c>
      <c r="B31" s="66"/>
      <c r="C31" s="53"/>
      <c r="D31" s="54"/>
      <c r="E31" s="55"/>
    </row>
    <row r="32" spans="1:16" x14ac:dyDescent="0.25">
      <c r="A32" s="335" t="s">
        <v>375</v>
      </c>
      <c r="B32" s="71" t="s">
        <v>319</v>
      </c>
      <c r="C32" s="56" t="s">
        <v>396</v>
      </c>
      <c r="D32" s="67">
        <f>-D33</f>
        <v>1.6845848298738628</v>
      </c>
      <c r="E32" s="58" t="s">
        <v>372</v>
      </c>
    </row>
    <row r="33" spans="1:5" x14ac:dyDescent="0.25">
      <c r="A33" s="336"/>
      <c r="B33" s="74" t="s">
        <v>387</v>
      </c>
      <c r="C33" s="59" t="s">
        <v>397</v>
      </c>
      <c r="D33" s="60">
        <f>-D27</f>
        <v>-1.6845848298738628</v>
      </c>
      <c r="E33" s="61" t="s">
        <v>372</v>
      </c>
    </row>
    <row r="36" spans="1:5" x14ac:dyDescent="0.25">
      <c r="A36" s="69" t="s">
        <v>232</v>
      </c>
      <c r="B36" s="52"/>
      <c r="C36" s="53"/>
      <c r="D36" s="54"/>
      <c r="E36" s="55"/>
    </row>
    <row r="37" spans="1:5" x14ac:dyDescent="0.25">
      <c r="A37" s="100" t="s">
        <v>376</v>
      </c>
      <c r="B37" s="111" t="s">
        <v>319</v>
      </c>
      <c r="C37" s="59" t="s">
        <v>407</v>
      </c>
      <c r="D37" s="112">
        <f>-D25</f>
        <v>18.692565412768563</v>
      </c>
      <c r="E37" s="61" t="s">
        <v>372</v>
      </c>
    </row>
    <row r="38" spans="1:5" ht="14.25" customHeight="1" x14ac:dyDescent="0.25"/>
    <row r="39" spans="1:5" x14ac:dyDescent="0.25">
      <c r="A39" s="68" t="s">
        <v>241</v>
      </c>
      <c r="B39" s="52"/>
      <c r="C39" s="53"/>
      <c r="D39" s="54"/>
      <c r="E39" s="55"/>
    </row>
    <row r="40" spans="1:5" x14ac:dyDescent="0.25">
      <c r="A40" s="63" t="s">
        <v>317</v>
      </c>
      <c r="B40" s="73" t="s">
        <v>319</v>
      </c>
      <c r="C40" s="109" t="s">
        <v>501</v>
      </c>
      <c r="D40" s="99">
        <f>Crop!N13</f>
        <v>17.509522275000002</v>
      </c>
      <c r="E40" s="58" t="s">
        <v>372</v>
      </c>
    </row>
    <row r="41" spans="1:5" x14ac:dyDescent="0.25">
      <c r="A41" s="63"/>
      <c r="B41" s="76" t="s">
        <v>387</v>
      </c>
      <c r="C41" s="109" t="s">
        <v>502</v>
      </c>
      <c r="D41" s="65">
        <f>-D40</f>
        <v>-17.509522275000002</v>
      </c>
      <c r="E41" s="58" t="s">
        <v>372</v>
      </c>
    </row>
    <row r="42" spans="1:5" x14ac:dyDescent="0.25">
      <c r="A42" s="63"/>
      <c r="B42" s="64"/>
      <c r="C42" s="56"/>
      <c r="D42" s="65"/>
      <c r="E42" s="58"/>
    </row>
    <row r="43" spans="1:5" x14ac:dyDescent="0.25">
      <c r="A43" s="63" t="s">
        <v>376</v>
      </c>
      <c r="B43" s="73" t="s">
        <v>319</v>
      </c>
      <c r="C43" s="56" t="s">
        <v>507</v>
      </c>
      <c r="D43" s="70">
        <f>-D44</f>
        <v>24.086187225000003</v>
      </c>
      <c r="E43" s="58" t="s">
        <v>372</v>
      </c>
    </row>
    <row r="44" spans="1:5" x14ac:dyDescent="0.25">
      <c r="A44" s="110"/>
      <c r="B44" s="77" t="s">
        <v>387</v>
      </c>
      <c r="C44" s="59" t="s">
        <v>503</v>
      </c>
      <c r="D44" s="106">
        <f>-Crop!O13</f>
        <v>-24.086187225000003</v>
      </c>
      <c r="E44" s="61" t="s">
        <v>372</v>
      </c>
    </row>
  </sheetData>
  <mergeCells count="12">
    <mergeCell ref="M2:O2"/>
    <mergeCell ref="A27:A29"/>
    <mergeCell ref="B28:B29"/>
    <mergeCell ref="A32:A33"/>
    <mergeCell ref="A7:A8"/>
    <mergeCell ref="A11:A13"/>
    <mergeCell ref="A16:A20"/>
    <mergeCell ref="A22:A25"/>
    <mergeCell ref="B23:B25"/>
    <mergeCell ref="B18:B20"/>
    <mergeCell ref="B12:B13"/>
    <mergeCell ref="B16:B17"/>
  </mergeCells>
  <conditionalFormatting sqref="D1:D1048576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R44"/>
  <sheetViews>
    <sheetView topLeftCell="A16" zoomScale="70" zoomScaleNormal="70" workbookViewId="0">
      <selection activeCell="O29" sqref="O29"/>
    </sheetView>
  </sheetViews>
  <sheetFormatPr defaultRowHeight="15" x14ac:dyDescent="0.25"/>
  <cols>
    <col min="1" max="1" width="15.28515625" bestFit="1" customWidth="1"/>
    <col min="2" max="2" width="7.85546875" bestFit="1" customWidth="1"/>
    <col min="3" max="3" width="25.85546875" bestFit="1" customWidth="1"/>
    <col min="4" max="4" width="12.42578125" bestFit="1" customWidth="1"/>
    <col min="5" max="5" width="7.7109375" bestFit="1" customWidth="1"/>
    <col min="7" max="7" width="19.28515625" customWidth="1"/>
    <col min="8" max="8" width="32.140625" bestFit="1" customWidth="1"/>
    <col min="9" max="9" width="11.140625" style="8" bestFit="1" customWidth="1"/>
    <col min="11" max="11" width="15.28515625" bestFit="1" customWidth="1"/>
    <col min="12" max="12" width="11.42578125" bestFit="1" customWidth="1"/>
    <col min="14" max="14" width="40.28515625" bestFit="1" customWidth="1"/>
    <col min="16" max="16" width="11.42578125" bestFit="1" customWidth="1"/>
    <col min="17" max="17" width="12" bestFit="1" customWidth="1"/>
  </cols>
  <sheetData>
    <row r="1" spans="1:18" ht="15.75" thickBot="1" x14ac:dyDescent="0.3"/>
    <row r="2" spans="1:18" ht="23.25" x14ac:dyDescent="0.35">
      <c r="A2" s="50" t="s">
        <v>389</v>
      </c>
      <c r="B2" s="44"/>
      <c r="G2" s="244" t="s">
        <v>406</v>
      </c>
      <c r="H2" s="228"/>
      <c r="I2" s="246"/>
      <c r="J2" s="228"/>
      <c r="K2" s="228"/>
      <c r="L2" s="229"/>
      <c r="N2" s="255" t="s">
        <v>381</v>
      </c>
      <c r="O2" s="334" t="s">
        <v>558</v>
      </c>
      <c r="P2" s="334"/>
      <c r="Q2" s="334"/>
      <c r="R2" s="229"/>
    </row>
    <row r="3" spans="1:18" x14ac:dyDescent="0.25">
      <c r="B3" s="81"/>
      <c r="C3" t="s">
        <v>438</v>
      </c>
      <c r="G3" s="230" t="s">
        <v>329</v>
      </c>
      <c r="H3" s="236" t="s">
        <v>383</v>
      </c>
      <c r="I3" s="117" t="s">
        <v>382</v>
      </c>
      <c r="J3" s="236" t="s">
        <v>339</v>
      </c>
      <c r="K3" s="258" t="s">
        <v>431</v>
      </c>
      <c r="L3" s="248" t="s">
        <v>430</v>
      </c>
      <c r="N3" s="232" t="s">
        <v>44</v>
      </c>
      <c r="O3" s="56"/>
      <c r="P3" s="56"/>
      <c r="Q3" s="56" t="s">
        <v>42</v>
      </c>
      <c r="R3" s="231"/>
    </row>
    <row r="4" spans="1:18" x14ac:dyDescent="0.25">
      <c r="B4" s="82"/>
      <c r="C4" t="s">
        <v>439</v>
      </c>
      <c r="G4" s="232" t="s">
        <v>318</v>
      </c>
      <c r="H4" s="56" t="s">
        <v>138</v>
      </c>
      <c r="I4" s="62">
        <f>O4*Input!C13/7</f>
        <v>26.785714285714285</v>
      </c>
      <c r="J4" s="56" t="s">
        <v>372</v>
      </c>
      <c r="K4" s="56" t="s">
        <v>423</v>
      </c>
      <c r="L4" s="231"/>
      <c r="N4" s="299" t="s">
        <v>138</v>
      </c>
      <c r="O4" s="256">
        <v>0.625</v>
      </c>
      <c r="P4" s="56" t="s">
        <v>320</v>
      </c>
      <c r="Q4" s="56" t="s">
        <v>568</v>
      </c>
      <c r="R4" s="231" t="s">
        <v>576</v>
      </c>
    </row>
    <row r="5" spans="1:18" x14ac:dyDescent="0.25">
      <c r="G5" s="232"/>
      <c r="H5" s="56" t="s">
        <v>326</v>
      </c>
      <c r="I5" s="62">
        <f>O5*Input!C13/7</f>
        <v>10.285714285714286</v>
      </c>
      <c r="J5" s="56" t="s">
        <v>372</v>
      </c>
      <c r="K5" s="56" t="s">
        <v>423</v>
      </c>
      <c r="L5" s="231"/>
      <c r="N5" s="299" t="s">
        <v>326</v>
      </c>
      <c r="O5" s="256">
        <v>0.24</v>
      </c>
      <c r="P5" s="56" t="s">
        <v>320</v>
      </c>
      <c r="Q5" s="56" t="s">
        <v>568</v>
      </c>
      <c r="R5" s="231" t="s">
        <v>569</v>
      </c>
    </row>
    <row r="6" spans="1:18" x14ac:dyDescent="0.25">
      <c r="A6" s="51" t="s">
        <v>318</v>
      </c>
      <c r="B6" s="52"/>
      <c r="C6" s="53"/>
      <c r="D6" s="54"/>
      <c r="E6" s="55"/>
      <c r="G6" s="232"/>
      <c r="H6" s="56"/>
      <c r="I6" s="65"/>
      <c r="J6" s="56"/>
      <c r="K6" s="56"/>
      <c r="L6" s="231"/>
      <c r="N6" s="232"/>
      <c r="O6" s="56"/>
      <c r="P6" s="56"/>
      <c r="Q6" s="56"/>
      <c r="R6" s="231"/>
    </row>
    <row r="7" spans="1:18" x14ac:dyDescent="0.25">
      <c r="A7" s="335" t="s">
        <v>404</v>
      </c>
      <c r="B7" s="71" t="s">
        <v>319</v>
      </c>
      <c r="C7" s="56" t="s">
        <v>441</v>
      </c>
      <c r="D7" s="57">
        <f>-D8</f>
        <v>37.071428571428569</v>
      </c>
      <c r="E7" s="58" t="s">
        <v>372</v>
      </c>
      <c r="G7" s="232" t="s">
        <v>43</v>
      </c>
      <c r="H7" s="56" t="s">
        <v>75</v>
      </c>
      <c r="I7" s="62">
        <f>O8*Input!C4</f>
        <v>45</v>
      </c>
      <c r="J7" s="56" t="s">
        <v>372</v>
      </c>
      <c r="K7" s="56" t="s">
        <v>423</v>
      </c>
      <c r="L7" s="231"/>
      <c r="N7" s="232" t="s">
        <v>43</v>
      </c>
      <c r="O7" s="56"/>
      <c r="P7" s="56"/>
      <c r="Q7" s="56"/>
      <c r="R7" s="231"/>
    </row>
    <row r="8" spans="1:18" x14ac:dyDescent="0.25">
      <c r="A8" s="336"/>
      <c r="B8" s="74" t="s">
        <v>387</v>
      </c>
      <c r="C8" s="59" t="s">
        <v>440</v>
      </c>
      <c r="D8" s="78">
        <f>-(I4+I5)</f>
        <v>-37.071428571428569</v>
      </c>
      <c r="E8" s="61" t="s">
        <v>372</v>
      </c>
      <c r="G8" s="232"/>
      <c r="H8" s="56" t="s">
        <v>410</v>
      </c>
      <c r="I8" s="57">
        <f>O9*Input!C4</f>
        <v>34.199999999999996</v>
      </c>
      <c r="J8" s="56" t="s">
        <v>372</v>
      </c>
      <c r="K8" s="56"/>
      <c r="L8" s="231" t="s">
        <v>424</v>
      </c>
      <c r="N8" s="299" t="s">
        <v>413</v>
      </c>
      <c r="O8" s="256">
        <v>2.5</v>
      </c>
      <c r="P8" s="56" t="s">
        <v>346</v>
      </c>
      <c r="Q8" s="56" t="s">
        <v>568</v>
      </c>
      <c r="R8" s="231" t="s">
        <v>572</v>
      </c>
    </row>
    <row r="9" spans="1:18" x14ac:dyDescent="0.25">
      <c r="G9" s="232"/>
      <c r="H9" s="56" t="s">
        <v>429</v>
      </c>
      <c r="I9" s="62">
        <f>O12*Input!C4</f>
        <v>9</v>
      </c>
      <c r="J9" s="56" t="s">
        <v>372</v>
      </c>
      <c r="K9" s="56" t="s">
        <v>423</v>
      </c>
      <c r="L9" s="231"/>
      <c r="N9" s="299" t="s">
        <v>415</v>
      </c>
      <c r="O9" s="256">
        <v>1.9</v>
      </c>
      <c r="P9" s="56" t="s">
        <v>346</v>
      </c>
      <c r="Q9" s="56" t="s">
        <v>568</v>
      </c>
      <c r="R9" s="231" t="s">
        <v>572</v>
      </c>
    </row>
    <row r="10" spans="1:18" x14ac:dyDescent="0.25">
      <c r="A10" s="94" t="s">
        <v>43</v>
      </c>
      <c r="B10" s="53"/>
      <c r="C10" s="53"/>
      <c r="D10" s="53"/>
      <c r="E10" s="55"/>
      <c r="G10" s="232"/>
      <c r="H10" s="56" t="s">
        <v>425</v>
      </c>
      <c r="I10" s="57">
        <f>(O11+O12)*Input!C4</f>
        <v>37.800000000000004</v>
      </c>
      <c r="J10" s="56" t="s">
        <v>372</v>
      </c>
      <c r="K10" s="56"/>
      <c r="L10" s="231" t="s">
        <v>427</v>
      </c>
      <c r="N10" s="299" t="s">
        <v>411</v>
      </c>
      <c r="O10" s="256">
        <v>0.1</v>
      </c>
      <c r="P10" s="56" t="s">
        <v>346</v>
      </c>
      <c r="Q10" s="56" t="s">
        <v>568</v>
      </c>
      <c r="R10" s="231" t="s">
        <v>572</v>
      </c>
    </row>
    <row r="11" spans="1:18" x14ac:dyDescent="0.25">
      <c r="A11" s="335" t="s">
        <v>404</v>
      </c>
      <c r="B11" s="72" t="s">
        <v>319</v>
      </c>
      <c r="C11" s="56" t="s">
        <v>442</v>
      </c>
      <c r="D11" s="99">
        <f>I8</f>
        <v>34.199999999999996</v>
      </c>
      <c r="E11" s="58" t="s">
        <v>372</v>
      </c>
      <c r="G11" s="232"/>
      <c r="H11" s="56" t="s">
        <v>426</v>
      </c>
      <c r="I11" s="62">
        <f>(O13+O14)*Input!C4</f>
        <v>80.100000000000009</v>
      </c>
      <c r="J11" s="56" t="s">
        <v>372</v>
      </c>
      <c r="K11" s="56" t="s">
        <v>423</v>
      </c>
      <c r="L11" s="231"/>
      <c r="N11" s="299" t="s">
        <v>412</v>
      </c>
      <c r="O11" s="256">
        <v>1.6</v>
      </c>
      <c r="P11" s="56" t="s">
        <v>346</v>
      </c>
      <c r="Q11" s="56" t="s">
        <v>568</v>
      </c>
      <c r="R11" s="231" t="s">
        <v>572</v>
      </c>
    </row>
    <row r="12" spans="1:18" x14ac:dyDescent="0.25">
      <c r="A12" s="336"/>
      <c r="B12" s="75" t="s">
        <v>387</v>
      </c>
      <c r="C12" s="59" t="s">
        <v>443</v>
      </c>
      <c r="D12" s="95">
        <f>-D11</f>
        <v>-34.199999999999996</v>
      </c>
      <c r="E12" s="61" t="s">
        <v>372</v>
      </c>
      <c r="G12" s="232"/>
      <c r="H12" s="56" t="s">
        <v>426</v>
      </c>
      <c r="I12" s="57">
        <f>(O13+O14)*Input!C4</f>
        <v>80.100000000000009</v>
      </c>
      <c r="J12" s="56" t="s">
        <v>372</v>
      </c>
      <c r="K12" s="56"/>
      <c r="L12" s="231" t="s">
        <v>428</v>
      </c>
      <c r="N12" s="299" t="s">
        <v>416</v>
      </c>
      <c r="O12" s="256">
        <v>0.5</v>
      </c>
      <c r="P12" s="56" t="s">
        <v>346</v>
      </c>
      <c r="Q12" s="56" t="s">
        <v>568</v>
      </c>
      <c r="R12" s="231" t="s">
        <v>571</v>
      </c>
    </row>
    <row r="13" spans="1:18" x14ac:dyDescent="0.25">
      <c r="G13" s="232"/>
      <c r="H13" s="56" t="s">
        <v>6</v>
      </c>
      <c r="I13" s="62">
        <f>O15*Input!C4</f>
        <v>48.96</v>
      </c>
      <c r="J13" s="56" t="s">
        <v>372</v>
      </c>
      <c r="K13" s="56" t="s">
        <v>423</v>
      </c>
      <c r="L13" s="231"/>
      <c r="N13" s="299" t="s">
        <v>417</v>
      </c>
      <c r="O13" s="256">
        <v>0.37</v>
      </c>
      <c r="P13" s="56" t="s">
        <v>346</v>
      </c>
      <c r="Q13" s="56" t="s">
        <v>568</v>
      </c>
      <c r="R13" s="231" t="s">
        <v>571</v>
      </c>
    </row>
    <row r="14" spans="1:18" x14ac:dyDescent="0.25">
      <c r="A14" s="94" t="s">
        <v>492</v>
      </c>
      <c r="B14" s="53"/>
      <c r="C14" s="53"/>
      <c r="D14" s="53"/>
      <c r="E14" s="55"/>
      <c r="G14" s="232"/>
      <c r="H14" s="56" t="s">
        <v>6</v>
      </c>
      <c r="I14" s="57">
        <f>O15*Input!C4</f>
        <v>48.96</v>
      </c>
      <c r="J14" s="56" t="s">
        <v>372</v>
      </c>
      <c r="K14" s="56"/>
      <c r="L14" s="231" t="s">
        <v>428</v>
      </c>
      <c r="N14" s="299" t="s">
        <v>418</v>
      </c>
      <c r="O14" s="256">
        <v>4.08</v>
      </c>
      <c r="P14" s="56" t="s">
        <v>346</v>
      </c>
      <c r="Q14" s="56" t="s">
        <v>568</v>
      </c>
      <c r="R14" s="231" t="s">
        <v>571</v>
      </c>
    </row>
    <row r="15" spans="1:18" x14ac:dyDescent="0.25">
      <c r="A15" s="104" t="s">
        <v>404</v>
      </c>
      <c r="B15" s="96" t="s">
        <v>319</v>
      </c>
      <c r="C15" s="56" t="s">
        <v>475</v>
      </c>
      <c r="D15" s="65">
        <f>-SUM(D16:D22)</f>
        <v>486.76950489642849</v>
      </c>
      <c r="E15" s="58" t="s">
        <v>372</v>
      </c>
      <c r="G15" s="232"/>
      <c r="H15" s="56" t="s">
        <v>161</v>
      </c>
      <c r="I15" s="62">
        <f>O16*Input!C4</f>
        <v>224.46</v>
      </c>
      <c r="J15" s="56" t="s">
        <v>372</v>
      </c>
      <c r="K15" s="56" t="s">
        <v>423</v>
      </c>
      <c r="L15" s="231"/>
      <c r="N15" s="299" t="s">
        <v>6</v>
      </c>
      <c r="O15" s="256">
        <v>2.72</v>
      </c>
      <c r="P15" s="56" t="s">
        <v>346</v>
      </c>
      <c r="Q15" s="56" t="s">
        <v>568</v>
      </c>
      <c r="R15" s="231" t="s">
        <v>571</v>
      </c>
    </row>
    <row r="16" spans="1:18" x14ac:dyDescent="0.25">
      <c r="A16" s="104"/>
      <c r="B16" s="341" t="s">
        <v>387</v>
      </c>
      <c r="C16" s="56" t="s">
        <v>474</v>
      </c>
      <c r="D16" s="65">
        <f>-D7</f>
        <v>-37.071428571428569</v>
      </c>
      <c r="E16" s="58" t="s">
        <v>372</v>
      </c>
      <c r="G16" s="232"/>
      <c r="H16" s="56" t="s">
        <v>161</v>
      </c>
      <c r="I16" s="57">
        <f>O17*Input!C4</f>
        <v>213.66</v>
      </c>
      <c r="J16" s="56" t="s">
        <v>372</v>
      </c>
      <c r="K16" s="56"/>
      <c r="L16" s="231" t="s">
        <v>428</v>
      </c>
      <c r="N16" s="232" t="s">
        <v>421</v>
      </c>
      <c r="O16" s="256">
        <v>12.47</v>
      </c>
      <c r="P16" s="56" t="s">
        <v>346</v>
      </c>
      <c r="Q16" s="56" t="s">
        <v>321</v>
      </c>
      <c r="R16" s="231" t="s">
        <v>414</v>
      </c>
    </row>
    <row r="17" spans="1:18" x14ac:dyDescent="0.25">
      <c r="A17" s="104"/>
      <c r="B17" s="341"/>
      <c r="C17" s="56" t="s">
        <v>75</v>
      </c>
      <c r="D17" s="99">
        <f>-I7</f>
        <v>-45</v>
      </c>
      <c r="E17" s="58" t="s">
        <v>372</v>
      </c>
      <c r="G17" s="232"/>
      <c r="H17" s="56"/>
      <c r="I17" s="65"/>
      <c r="J17" s="56"/>
      <c r="K17" s="56"/>
      <c r="L17" s="231"/>
      <c r="N17" s="299" t="s">
        <v>422</v>
      </c>
      <c r="O17" s="256">
        <v>11.87</v>
      </c>
      <c r="P17" s="56" t="s">
        <v>346</v>
      </c>
      <c r="Q17" s="56" t="s">
        <v>568</v>
      </c>
      <c r="R17" s="231" t="s">
        <v>571</v>
      </c>
    </row>
    <row r="18" spans="1:18" x14ac:dyDescent="0.25">
      <c r="A18" s="104"/>
      <c r="B18" s="341"/>
      <c r="C18" s="56" t="s">
        <v>429</v>
      </c>
      <c r="D18" s="99">
        <f>-I9</f>
        <v>-9</v>
      </c>
      <c r="E18" s="58" t="s">
        <v>372</v>
      </c>
      <c r="G18" s="232" t="s">
        <v>241</v>
      </c>
      <c r="H18" s="56" t="s">
        <v>435</v>
      </c>
      <c r="I18" s="62">
        <f>Crop!P13</f>
        <v>2729.5065</v>
      </c>
      <c r="J18" s="56" t="s">
        <v>372</v>
      </c>
      <c r="K18" s="56" t="s">
        <v>498</v>
      </c>
      <c r="L18" s="231"/>
      <c r="N18" s="232"/>
      <c r="O18" s="56"/>
      <c r="P18" s="56"/>
      <c r="Q18" s="56"/>
      <c r="R18" s="231"/>
    </row>
    <row r="19" spans="1:18" x14ac:dyDescent="0.25">
      <c r="A19" s="104"/>
      <c r="B19" s="341"/>
      <c r="C19" s="56" t="s">
        <v>426</v>
      </c>
      <c r="D19" s="99">
        <f>-I11</f>
        <v>-80.100000000000009</v>
      </c>
      <c r="E19" s="58" t="s">
        <v>372</v>
      </c>
      <c r="G19" s="232"/>
      <c r="H19" s="56" t="s">
        <v>468</v>
      </c>
      <c r="I19" s="57">
        <f>Crop!U13</f>
        <v>2647.45956015</v>
      </c>
      <c r="J19" s="56" t="s">
        <v>372</v>
      </c>
      <c r="K19" s="56"/>
      <c r="L19" s="231" t="s">
        <v>435</v>
      </c>
      <c r="N19" s="232" t="s">
        <v>210</v>
      </c>
      <c r="O19" s="56"/>
      <c r="P19" s="56"/>
      <c r="Q19" s="56"/>
      <c r="R19" s="231"/>
    </row>
    <row r="20" spans="1:18" x14ac:dyDescent="0.25">
      <c r="A20" s="104"/>
      <c r="B20" s="341"/>
      <c r="C20" s="56" t="s">
        <v>6</v>
      </c>
      <c r="D20" s="99">
        <f>-I13</f>
        <v>-48.96</v>
      </c>
      <c r="E20" s="58" t="s">
        <v>372</v>
      </c>
      <c r="G20" s="232"/>
      <c r="H20" s="56"/>
      <c r="I20" s="65"/>
      <c r="J20" s="56"/>
      <c r="K20" s="56"/>
      <c r="L20" s="231"/>
      <c r="N20" s="232" t="s">
        <v>408</v>
      </c>
      <c r="O20" s="260">
        <v>0.74</v>
      </c>
      <c r="P20" s="56"/>
      <c r="Q20" s="56" t="s">
        <v>355</v>
      </c>
      <c r="R20" s="231"/>
    </row>
    <row r="21" spans="1:18" ht="15.75" thickBot="1" x14ac:dyDescent="0.3">
      <c r="A21" s="104"/>
      <c r="B21" s="341"/>
      <c r="C21" s="56" t="s">
        <v>161</v>
      </c>
      <c r="D21" s="99">
        <f>-I15</f>
        <v>-224.46</v>
      </c>
      <c r="E21" s="58" t="s">
        <v>372</v>
      </c>
      <c r="G21" s="239" t="s">
        <v>436</v>
      </c>
      <c r="H21" s="253" t="s">
        <v>437</v>
      </c>
      <c r="I21" s="259">
        <f>Crop!T13*'Water InOut'!O29</f>
        <v>39.868863525000002</v>
      </c>
      <c r="J21" s="253" t="s">
        <v>372</v>
      </c>
      <c r="K21" s="253"/>
      <c r="L21" s="234" t="s">
        <v>435</v>
      </c>
      <c r="N21" s="232"/>
      <c r="O21" s="56"/>
      <c r="P21" s="56"/>
      <c r="Q21" s="56"/>
      <c r="R21" s="231"/>
    </row>
    <row r="22" spans="1:18" x14ac:dyDescent="0.25">
      <c r="A22" s="100"/>
      <c r="B22" s="342"/>
      <c r="C22" s="59" t="s">
        <v>435</v>
      </c>
      <c r="D22" s="95">
        <f>-D41</f>
        <v>-42.178076324999893</v>
      </c>
      <c r="E22" s="61" t="s">
        <v>372</v>
      </c>
      <c r="N22" s="232" t="s">
        <v>217</v>
      </c>
      <c r="O22" s="56"/>
      <c r="P22" s="56"/>
      <c r="Q22" s="56"/>
      <c r="R22" s="231"/>
    </row>
    <row r="23" spans="1:18" x14ac:dyDescent="0.25">
      <c r="N23" s="232" t="s">
        <v>408</v>
      </c>
      <c r="O23" s="260">
        <v>1</v>
      </c>
      <c r="P23" s="56"/>
      <c r="Q23" s="56"/>
      <c r="R23" s="231"/>
    </row>
    <row r="24" spans="1:18" x14ac:dyDescent="0.25">
      <c r="A24" s="94" t="s">
        <v>424</v>
      </c>
      <c r="B24" s="53"/>
      <c r="C24" s="53"/>
      <c r="D24" s="53"/>
      <c r="E24" s="55"/>
      <c r="N24" s="232"/>
      <c r="O24" s="56"/>
      <c r="P24" s="56"/>
      <c r="Q24" s="56"/>
      <c r="R24" s="231"/>
    </row>
    <row r="25" spans="1:18" x14ac:dyDescent="0.25">
      <c r="A25" s="335" t="s">
        <v>404</v>
      </c>
      <c r="B25" s="73" t="s">
        <v>319</v>
      </c>
      <c r="C25" s="56" t="s">
        <v>476</v>
      </c>
      <c r="D25" s="65">
        <f>-D12</f>
        <v>34.199999999999996</v>
      </c>
      <c r="E25" s="58" t="s">
        <v>372</v>
      </c>
      <c r="N25" s="261" t="s">
        <v>241</v>
      </c>
      <c r="O25" s="262"/>
      <c r="P25" s="262"/>
      <c r="Q25" s="262"/>
      <c r="R25" s="263"/>
    </row>
    <row r="26" spans="1:18" x14ac:dyDescent="0.25">
      <c r="A26" s="336"/>
      <c r="B26" s="97" t="s">
        <v>387</v>
      </c>
      <c r="C26" s="59" t="s">
        <v>477</v>
      </c>
      <c r="D26" s="95">
        <f>-D25</f>
        <v>-34.199999999999996</v>
      </c>
      <c r="E26" s="61" t="s">
        <v>372</v>
      </c>
      <c r="N26" s="261" t="s">
        <v>419</v>
      </c>
      <c r="O26" s="264">
        <v>4</v>
      </c>
      <c r="P26" s="262" t="s">
        <v>420</v>
      </c>
      <c r="Q26" s="262" t="s">
        <v>321</v>
      </c>
      <c r="R26" s="263" t="s">
        <v>414</v>
      </c>
    </row>
    <row r="27" spans="1:18" x14ac:dyDescent="0.25">
      <c r="N27" s="232"/>
      <c r="O27" s="56"/>
      <c r="P27" s="56"/>
      <c r="Q27" s="56"/>
      <c r="R27" s="231"/>
    </row>
    <row r="28" spans="1:18" x14ac:dyDescent="0.25">
      <c r="A28" s="108" t="s">
        <v>499</v>
      </c>
      <c r="B28" s="53"/>
      <c r="C28" s="53"/>
      <c r="D28" s="53"/>
      <c r="E28" s="55"/>
      <c r="N28" s="232" t="s">
        <v>479</v>
      </c>
      <c r="O28" s="56"/>
      <c r="P28" s="56"/>
      <c r="Q28" s="56"/>
      <c r="R28" s="231"/>
    </row>
    <row r="29" spans="1:18" ht="15.75" thickBot="1" x14ac:dyDescent="0.3">
      <c r="A29" s="335" t="s">
        <v>404</v>
      </c>
      <c r="B29" s="73" t="s">
        <v>319</v>
      </c>
      <c r="C29" s="56" t="s">
        <v>425</v>
      </c>
      <c r="D29" s="99">
        <f>I10</f>
        <v>37.800000000000004</v>
      </c>
      <c r="E29" s="58" t="s">
        <v>372</v>
      </c>
      <c r="N29" s="239" t="s">
        <v>486</v>
      </c>
      <c r="O29" s="301">
        <v>0.5</v>
      </c>
      <c r="P29" s="238" t="s">
        <v>521</v>
      </c>
      <c r="Q29" s="253"/>
      <c r="R29" s="234"/>
    </row>
    <row r="30" spans="1:18" x14ac:dyDescent="0.25">
      <c r="A30" s="335"/>
      <c r="B30" s="337" t="s">
        <v>387</v>
      </c>
      <c r="C30" s="56" t="s">
        <v>477</v>
      </c>
      <c r="D30" s="56">
        <f>-D29*O20</f>
        <v>-27.972000000000001</v>
      </c>
      <c r="E30" s="58" t="s">
        <v>372</v>
      </c>
    </row>
    <row r="31" spans="1:18" x14ac:dyDescent="0.25">
      <c r="A31" s="336"/>
      <c r="B31" s="338"/>
      <c r="C31" s="59" t="s">
        <v>478</v>
      </c>
      <c r="D31" s="95">
        <f>-(D29+D30)</f>
        <v>-9.828000000000003</v>
      </c>
      <c r="E31" s="61" t="s">
        <v>372</v>
      </c>
    </row>
    <row r="33" spans="1:5" x14ac:dyDescent="0.25">
      <c r="A33" s="94" t="s">
        <v>500</v>
      </c>
      <c r="B33" s="53"/>
      <c r="C33" s="53"/>
      <c r="D33" s="53"/>
      <c r="E33" s="55"/>
    </row>
    <row r="34" spans="1:5" x14ac:dyDescent="0.25">
      <c r="A34" s="104" t="s">
        <v>404</v>
      </c>
      <c r="B34" s="340" t="s">
        <v>319</v>
      </c>
      <c r="C34" s="56" t="s">
        <v>481</v>
      </c>
      <c r="D34" s="57">
        <f>-D26</f>
        <v>34.199999999999996</v>
      </c>
      <c r="E34" s="58" t="s">
        <v>372</v>
      </c>
    </row>
    <row r="35" spans="1:5" x14ac:dyDescent="0.25">
      <c r="A35" s="104"/>
      <c r="B35" s="340"/>
      <c r="C35" s="56" t="s">
        <v>480</v>
      </c>
      <c r="D35" s="56">
        <f>-D30</f>
        <v>27.972000000000001</v>
      </c>
      <c r="E35" s="58" t="s">
        <v>372</v>
      </c>
    </row>
    <row r="36" spans="1:5" x14ac:dyDescent="0.25">
      <c r="A36" s="104"/>
      <c r="B36" s="340"/>
      <c r="C36" s="105" t="s">
        <v>491</v>
      </c>
      <c r="D36" s="57">
        <f>-SUM(D19:D21)</f>
        <v>353.52</v>
      </c>
      <c r="E36" s="58" t="s">
        <v>372</v>
      </c>
    </row>
    <row r="37" spans="1:5" x14ac:dyDescent="0.25">
      <c r="A37" s="104"/>
      <c r="B37" s="340"/>
      <c r="C37" s="56" t="s">
        <v>482</v>
      </c>
      <c r="D37" s="70">
        <f>IF(-(SUM(D34:D36)+D38)&gt;0,-(SUM(D34:D36)+D38),0)</f>
        <v>71.077504896428479</v>
      </c>
      <c r="E37" s="58" t="s">
        <v>372</v>
      </c>
    </row>
    <row r="38" spans="1:5" x14ac:dyDescent="0.25">
      <c r="A38" s="100"/>
      <c r="B38" s="101" t="s">
        <v>387</v>
      </c>
      <c r="C38" s="59" t="s">
        <v>483</v>
      </c>
      <c r="D38" s="95">
        <f>-D15/O23</f>
        <v>-486.76950489642849</v>
      </c>
      <c r="E38" s="61" t="s">
        <v>372</v>
      </c>
    </row>
    <row r="40" spans="1:5" x14ac:dyDescent="0.25">
      <c r="A40" s="94" t="s">
        <v>435</v>
      </c>
      <c r="B40" s="53"/>
      <c r="C40" s="53"/>
      <c r="D40" s="53"/>
      <c r="E40" s="55"/>
    </row>
    <row r="41" spans="1:5" x14ac:dyDescent="0.25">
      <c r="A41" s="104"/>
      <c r="B41" s="340" t="s">
        <v>319</v>
      </c>
      <c r="C41" s="56" t="s">
        <v>405</v>
      </c>
      <c r="D41" s="57">
        <f>-SUM(D42:D44)</f>
        <v>42.178076324999893</v>
      </c>
      <c r="E41" s="58" t="s">
        <v>372</v>
      </c>
    </row>
    <row r="42" spans="1:5" x14ac:dyDescent="0.25">
      <c r="A42" s="104"/>
      <c r="B42" s="340"/>
      <c r="C42" s="56" t="s">
        <v>468</v>
      </c>
      <c r="D42" s="99">
        <f>I19</f>
        <v>2647.45956015</v>
      </c>
      <c r="E42" s="58" t="s">
        <v>372</v>
      </c>
    </row>
    <row r="43" spans="1:5" x14ac:dyDescent="0.25">
      <c r="A43" s="104"/>
      <c r="B43" s="340"/>
      <c r="C43" s="56" t="s">
        <v>484</v>
      </c>
      <c r="D43" s="99">
        <f>I21</f>
        <v>39.868863525000002</v>
      </c>
      <c r="E43" s="58" t="s">
        <v>372</v>
      </c>
    </row>
    <row r="44" spans="1:5" x14ac:dyDescent="0.25">
      <c r="A44" s="100"/>
      <c r="B44" s="101" t="s">
        <v>387</v>
      </c>
      <c r="C44" s="59" t="s">
        <v>485</v>
      </c>
      <c r="D44" s="106">
        <f>-I18</f>
        <v>-2729.5065</v>
      </c>
      <c r="E44" s="61" t="s">
        <v>372</v>
      </c>
    </row>
  </sheetData>
  <mergeCells count="9">
    <mergeCell ref="O2:Q2"/>
    <mergeCell ref="B41:B43"/>
    <mergeCell ref="B34:B37"/>
    <mergeCell ref="B30:B31"/>
    <mergeCell ref="A29:A31"/>
    <mergeCell ref="A7:A8"/>
    <mergeCell ref="A11:A12"/>
    <mergeCell ref="A25:A26"/>
    <mergeCell ref="B16:B22"/>
  </mergeCells>
  <conditionalFormatting sqref="D2:D9 D25:D33 D35 D37:D39 D47:D1048576 D42:D44 D11:D22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7"/>
  <sheetViews>
    <sheetView workbookViewId="0">
      <pane xSplit="1" topLeftCell="B1" activePane="topRight" state="frozen"/>
      <selection pane="topRight" activeCell="Q23" sqref="Q23"/>
    </sheetView>
  </sheetViews>
  <sheetFormatPr defaultRowHeight="12.75" x14ac:dyDescent="0.2"/>
  <cols>
    <col min="1" max="1" width="13.85546875" style="84" bestFit="1" customWidth="1"/>
    <col min="2" max="2" width="8.85546875" style="84" bestFit="1" customWidth="1"/>
    <col min="3" max="3" width="9.85546875" style="84" hidden="1" customWidth="1"/>
    <col min="4" max="4" width="6.42578125" style="84" hidden="1" customWidth="1"/>
    <col min="5" max="5" width="8.140625" style="84" bestFit="1" customWidth="1"/>
    <col min="6" max="6" width="9.28515625" style="84" bestFit="1" customWidth="1"/>
    <col min="7" max="7" width="8.140625" style="84" bestFit="1" customWidth="1"/>
    <col min="8" max="8" width="9.28515625" style="84" bestFit="1" customWidth="1"/>
    <col min="9" max="9" width="11" style="84" bestFit="1" customWidth="1"/>
    <col min="10" max="10" width="9.140625" style="84" bestFit="1" customWidth="1"/>
    <col min="11" max="11" width="10.28515625" style="84" bestFit="1" customWidth="1"/>
    <col min="12" max="12" width="10.28515625" style="84" customWidth="1"/>
    <col min="13" max="13" width="8.85546875" style="84" bestFit="1" customWidth="1"/>
    <col min="14" max="14" width="8.5703125" style="84" bestFit="1" customWidth="1"/>
    <col min="15" max="15" width="9.140625" style="84" bestFit="1" customWidth="1"/>
    <col min="16" max="16" width="10.28515625" style="84" bestFit="1" customWidth="1"/>
    <col min="17" max="18" width="8.7109375" style="84" bestFit="1" customWidth="1"/>
    <col min="19" max="20" width="9.85546875" style="84" bestFit="1" customWidth="1"/>
    <col min="21" max="21" width="10" style="84" bestFit="1" customWidth="1"/>
    <col min="22" max="22" width="9.42578125" style="84" customWidth="1"/>
    <col min="23" max="16384" width="9.140625" style="84"/>
  </cols>
  <sheetData>
    <row r="1" spans="1:22" ht="25.5" customHeight="1" x14ac:dyDescent="0.2">
      <c r="A1" s="346"/>
      <c r="B1" s="348" t="s">
        <v>355</v>
      </c>
      <c r="C1" s="348"/>
      <c r="D1" s="348"/>
      <c r="E1" s="344" t="s">
        <v>573</v>
      </c>
      <c r="F1" s="344"/>
      <c r="G1" s="344"/>
      <c r="H1" s="344"/>
      <c r="I1" s="344" t="s">
        <v>574</v>
      </c>
      <c r="J1" s="344"/>
      <c r="K1" s="344"/>
      <c r="L1" s="349" t="s">
        <v>599</v>
      </c>
      <c r="M1" s="345" t="s">
        <v>149</v>
      </c>
      <c r="N1" s="345"/>
      <c r="O1" s="345"/>
      <c r="P1" s="345"/>
      <c r="Q1" s="345"/>
      <c r="R1" s="345"/>
      <c r="S1" s="345"/>
      <c r="T1" s="345"/>
      <c r="U1" s="345"/>
    </row>
    <row r="2" spans="1:22" x14ac:dyDescent="0.2">
      <c r="A2" s="346"/>
      <c r="B2" s="348"/>
      <c r="C2" s="348"/>
      <c r="D2" s="348"/>
      <c r="E2" s="347" t="s">
        <v>454</v>
      </c>
      <c r="F2" s="347"/>
      <c r="G2" s="347" t="s">
        <v>455</v>
      </c>
      <c r="H2" s="347"/>
      <c r="I2" s="344"/>
      <c r="J2" s="344"/>
      <c r="K2" s="344"/>
      <c r="L2" s="350"/>
      <c r="M2" s="345"/>
      <c r="N2" s="345"/>
      <c r="O2" s="345"/>
      <c r="P2" s="345"/>
      <c r="Q2" s="345"/>
      <c r="R2" s="345"/>
      <c r="S2" s="345"/>
      <c r="T2" s="345"/>
      <c r="U2" s="345"/>
    </row>
    <row r="3" spans="1:22" s="83" customFormat="1" ht="33.75" x14ac:dyDescent="0.2">
      <c r="A3" s="346"/>
      <c r="B3" s="88" t="s">
        <v>456</v>
      </c>
      <c r="C3" s="171" t="s">
        <v>448</v>
      </c>
      <c r="D3" s="171" t="s">
        <v>457</v>
      </c>
      <c r="E3" s="88" t="s">
        <v>449</v>
      </c>
      <c r="F3" s="89" t="s">
        <v>450</v>
      </c>
      <c r="G3" s="88" t="s">
        <v>449</v>
      </c>
      <c r="H3" s="89" t="s">
        <v>450</v>
      </c>
      <c r="I3" s="90" t="s">
        <v>451</v>
      </c>
      <c r="J3" s="91" t="s">
        <v>452</v>
      </c>
      <c r="K3" s="91" t="s">
        <v>453</v>
      </c>
      <c r="L3" s="91" t="s">
        <v>600</v>
      </c>
      <c r="M3" s="91" t="s">
        <v>456</v>
      </c>
      <c r="N3" s="91" t="s">
        <v>458</v>
      </c>
      <c r="O3" s="91" t="s">
        <v>460</v>
      </c>
      <c r="P3" s="91" t="s">
        <v>461</v>
      </c>
      <c r="Q3" s="91" t="s">
        <v>462</v>
      </c>
      <c r="R3" s="91" t="s">
        <v>467</v>
      </c>
      <c r="S3" s="91" t="s">
        <v>464</v>
      </c>
      <c r="T3" s="91" t="s">
        <v>466</v>
      </c>
      <c r="U3" s="91" t="s">
        <v>465</v>
      </c>
      <c r="V3" s="304"/>
    </row>
    <row r="4" spans="1:22" s="83" customFormat="1" hidden="1" x14ac:dyDescent="0.2">
      <c r="A4" s="172" t="s">
        <v>469</v>
      </c>
      <c r="B4" s="172">
        <v>0</v>
      </c>
      <c r="C4" s="172">
        <v>9.6039999999999992</v>
      </c>
      <c r="D4" s="172">
        <v>63</v>
      </c>
      <c r="E4" s="172">
        <v>10</v>
      </c>
      <c r="F4" s="174">
        <v>11.11</v>
      </c>
      <c r="G4" s="172">
        <v>15</v>
      </c>
      <c r="H4" s="174">
        <v>150</v>
      </c>
      <c r="I4" s="175">
        <v>30.67</v>
      </c>
      <c r="J4" s="176">
        <v>42.17</v>
      </c>
      <c r="K4" s="176">
        <v>2.5299999999999998</v>
      </c>
      <c r="L4" s="176"/>
      <c r="M4" s="177">
        <f>B4*(Input!$C$4/4)*Input!$C$23</f>
        <v>0</v>
      </c>
      <c r="N4" s="178">
        <f>I4*M4/1000</f>
        <v>0</v>
      </c>
      <c r="O4" s="178">
        <f>J4*M4/1000</f>
        <v>0</v>
      </c>
      <c r="P4" s="178">
        <f>K4*M4</f>
        <v>0</v>
      </c>
      <c r="Q4" s="178">
        <f>E4*$M4/1000</f>
        <v>0</v>
      </c>
      <c r="R4" s="178">
        <f>(F4-E4)*$M4/1000</f>
        <v>0</v>
      </c>
      <c r="S4" s="178">
        <f>G4*$M4/1000</f>
        <v>0</v>
      </c>
      <c r="T4" s="178">
        <f>(H4-G4)*$M4/1000</f>
        <v>0</v>
      </c>
      <c r="U4" s="178">
        <f>P4-R4-T4</f>
        <v>0</v>
      </c>
      <c r="V4" s="266">
        <f t="shared" ref="V4:V5" si="0">(F4+H4)*M4/1000</f>
        <v>0</v>
      </c>
    </row>
    <row r="5" spans="1:22" hidden="1" x14ac:dyDescent="0.2">
      <c r="A5" s="172" t="s">
        <v>444</v>
      </c>
      <c r="B5" s="172">
        <v>0</v>
      </c>
      <c r="C5" s="172">
        <v>7.4329999999999998</v>
      </c>
      <c r="D5" s="173">
        <v>30</v>
      </c>
      <c r="E5" s="172">
        <v>6.57</v>
      </c>
      <c r="F5" s="172">
        <v>131.35</v>
      </c>
      <c r="G5" s="172">
        <v>0.73</v>
      </c>
      <c r="H5" s="172">
        <v>7.3</v>
      </c>
      <c r="I5" s="172">
        <v>7.78</v>
      </c>
      <c r="J5" s="172">
        <v>10.7</v>
      </c>
      <c r="K5" s="172">
        <v>1.77</v>
      </c>
      <c r="L5" s="172"/>
      <c r="M5" s="177">
        <f>B5*(Input!$C$4/4)*Input!$C$23</f>
        <v>0</v>
      </c>
      <c r="N5" s="178">
        <f>I5*M5/1000</f>
        <v>0</v>
      </c>
      <c r="O5" s="178">
        <f>J5*M5/1000</f>
        <v>0</v>
      </c>
      <c r="P5" s="178">
        <f>K5*M5</f>
        <v>0</v>
      </c>
      <c r="Q5" s="178">
        <f>E5*$M5/1000</f>
        <v>0</v>
      </c>
      <c r="R5" s="178">
        <f>(F5-E5)*$M5/1000</f>
        <v>0</v>
      </c>
      <c r="S5" s="178">
        <f t="shared" ref="S5:S12" si="1">G5*$M5/1000</f>
        <v>0</v>
      </c>
      <c r="T5" s="178">
        <f>(H5-G5)*$M5/1000</f>
        <v>0</v>
      </c>
      <c r="U5" s="178">
        <f>P5-R5-T5</f>
        <v>0</v>
      </c>
      <c r="V5" s="266">
        <f t="shared" si="0"/>
        <v>0</v>
      </c>
    </row>
    <row r="6" spans="1:22" x14ac:dyDescent="0.2">
      <c r="A6" s="13" t="s">
        <v>445</v>
      </c>
      <c r="B6" s="291">
        <v>72.7</v>
      </c>
      <c r="C6" s="172">
        <v>4.1310000000000002</v>
      </c>
      <c r="D6" s="173">
        <v>110</v>
      </c>
      <c r="E6" s="291">
        <v>5.63</v>
      </c>
      <c r="F6" s="291">
        <v>5.96</v>
      </c>
      <c r="G6" s="291">
        <v>16.88</v>
      </c>
      <c r="H6" s="291">
        <v>168.75</v>
      </c>
      <c r="I6" s="291">
        <v>35.840000000000003</v>
      </c>
      <c r="J6" s="291">
        <v>49.28</v>
      </c>
      <c r="K6" s="291">
        <v>2.77</v>
      </c>
      <c r="L6" s="323">
        <f>K6*0.0428/0.15</f>
        <v>0.79037333333333337</v>
      </c>
      <c r="M6" s="92">
        <f>B6*(Input!$C$4/4)*Input!$C$23</f>
        <v>163.57500000000002</v>
      </c>
      <c r="N6" s="93">
        <f t="shared" ref="N6:N12" si="2">I6*M6/1000</f>
        <v>5.8625280000000011</v>
      </c>
      <c r="O6" s="93">
        <f t="shared" ref="O6:O12" si="3">J6*M6/1000</f>
        <v>8.0609760000000019</v>
      </c>
      <c r="P6" s="93">
        <f>K6*M6</f>
        <v>453.10275000000007</v>
      </c>
      <c r="Q6" s="93">
        <f t="shared" ref="Q6:Q12" si="4">E6*$M6/1000</f>
        <v>0.92092725000000009</v>
      </c>
      <c r="R6" s="93">
        <f t="shared" ref="R6:R12" si="5">(F6-E6)*$M6/1000</f>
        <v>5.3979750000000014E-2</v>
      </c>
      <c r="S6" s="93">
        <f t="shared" si="1"/>
        <v>2.7611460000000001</v>
      </c>
      <c r="T6" s="93">
        <f t="shared" ref="T6:T12" si="6">(H6-G6)*$M6/1000</f>
        <v>24.842135250000002</v>
      </c>
      <c r="U6" s="93">
        <f>P6-R6-T6</f>
        <v>428.20663500000006</v>
      </c>
      <c r="V6" s="86"/>
    </row>
    <row r="7" spans="1:22" hidden="1" x14ac:dyDescent="0.2">
      <c r="A7" s="172" t="s">
        <v>470</v>
      </c>
      <c r="B7" s="292">
        <v>0</v>
      </c>
      <c r="C7" s="172">
        <v>11.86</v>
      </c>
      <c r="D7" s="173">
        <v>88</v>
      </c>
      <c r="E7" s="292">
        <v>9.07</v>
      </c>
      <c r="F7" s="292">
        <v>10.3</v>
      </c>
      <c r="G7" s="292">
        <v>21.16</v>
      </c>
      <c r="H7" s="292">
        <v>211.58</v>
      </c>
      <c r="I7" s="292">
        <v>36.549999999999997</v>
      </c>
      <c r="J7" s="292">
        <v>50.26</v>
      </c>
      <c r="K7" s="292">
        <v>3.43</v>
      </c>
      <c r="L7" s="324"/>
      <c r="M7" s="177">
        <f>B7*(Input!$C$4/4)*Input!$C$23</f>
        <v>0</v>
      </c>
      <c r="N7" s="178">
        <f>I7*M7/1000</f>
        <v>0</v>
      </c>
      <c r="O7" s="178">
        <f>J7*M7/1000</f>
        <v>0</v>
      </c>
      <c r="P7" s="178">
        <f>K7*M7</f>
        <v>0</v>
      </c>
      <c r="Q7" s="178">
        <f>E7*$M7/1000</f>
        <v>0</v>
      </c>
      <c r="R7" s="178">
        <f>(F7-E7)*$M7/1000</f>
        <v>0</v>
      </c>
      <c r="S7" s="178">
        <f>G7*$M7/1000</f>
        <v>0</v>
      </c>
      <c r="T7" s="178">
        <f>(H7-G7)*$M7/1000</f>
        <v>0</v>
      </c>
      <c r="U7" s="178">
        <f>P7-R7-T7</f>
        <v>0</v>
      </c>
      <c r="V7" s="266"/>
    </row>
    <row r="8" spans="1:22" x14ac:dyDescent="0.2">
      <c r="A8" s="13" t="s">
        <v>446</v>
      </c>
      <c r="B8" s="291">
        <v>39.700000000000003</v>
      </c>
      <c r="C8" s="172">
        <v>6.867</v>
      </c>
      <c r="D8" s="172">
        <v>86</v>
      </c>
      <c r="E8" s="300">
        <v>6</v>
      </c>
      <c r="F8" s="300">
        <v>6.6</v>
      </c>
      <c r="G8" s="291">
        <v>6.8</v>
      </c>
      <c r="H8" s="291">
        <v>68.040000000000006</v>
      </c>
      <c r="I8" s="291">
        <v>13.91</v>
      </c>
      <c r="J8" s="291">
        <v>19.13</v>
      </c>
      <c r="K8" s="291">
        <v>2.88</v>
      </c>
      <c r="L8" s="323">
        <f>K8*0.026/0.32</f>
        <v>0.23399999999999996</v>
      </c>
      <c r="M8" s="92">
        <f>B8*(Input!$C$4/4)*Input!$C$23</f>
        <v>89.325000000000003</v>
      </c>
      <c r="N8" s="93">
        <f t="shared" si="2"/>
        <v>1.2425107500000001</v>
      </c>
      <c r="O8" s="93">
        <f t="shared" si="3"/>
        <v>1.7087872499999999</v>
      </c>
      <c r="P8" s="93">
        <f t="shared" ref="P8:P12" si="7">K8*M8</f>
        <v>257.25599999999997</v>
      </c>
      <c r="Q8" s="93">
        <f t="shared" si="4"/>
        <v>0.53595000000000004</v>
      </c>
      <c r="R8" s="93">
        <f t="shared" si="5"/>
        <v>5.3594999999999969E-2</v>
      </c>
      <c r="S8" s="93">
        <f t="shared" si="1"/>
        <v>0.60741000000000001</v>
      </c>
      <c r="T8" s="93">
        <f t="shared" si="6"/>
        <v>5.470263000000001</v>
      </c>
      <c r="U8" s="93">
        <f t="shared" ref="U8:U12" si="8">P8-R8-T8</f>
        <v>251.73214200000001</v>
      </c>
      <c r="V8" s="86"/>
    </row>
    <row r="9" spans="1:22" x14ac:dyDescent="0.2">
      <c r="A9" s="13" t="s">
        <v>473</v>
      </c>
      <c r="B9" s="291">
        <v>9.81</v>
      </c>
      <c r="C9" s="172">
        <v>18.29</v>
      </c>
      <c r="D9" s="172">
        <v>120</v>
      </c>
      <c r="E9" s="291">
        <v>15</v>
      </c>
      <c r="F9" s="291">
        <v>51.72</v>
      </c>
      <c r="G9" s="291">
        <v>22.5</v>
      </c>
      <c r="H9" s="291">
        <v>225</v>
      </c>
      <c r="I9" s="291">
        <v>41.12</v>
      </c>
      <c r="J9" s="291">
        <v>56.54</v>
      </c>
      <c r="K9" s="291">
        <v>2.88</v>
      </c>
      <c r="L9" s="323">
        <f>K9*0.0428/0.15</f>
        <v>0.82175999999999993</v>
      </c>
      <c r="M9" s="92">
        <f>B9*(Input!$C$4/4)*Input!$C$23</f>
        <v>22.072500000000002</v>
      </c>
      <c r="N9" s="93">
        <f t="shared" si="2"/>
        <v>0.90762120000000002</v>
      </c>
      <c r="O9" s="93">
        <f t="shared" si="3"/>
        <v>1.2479791500000001</v>
      </c>
      <c r="P9" s="93">
        <f t="shared" si="7"/>
        <v>63.568800000000003</v>
      </c>
      <c r="Q9" s="93">
        <f t="shared" si="4"/>
        <v>0.33108750000000003</v>
      </c>
      <c r="R9" s="93">
        <f t="shared" si="5"/>
        <v>0.81050220000000006</v>
      </c>
      <c r="S9" s="93">
        <f t="shared" si="1"/>
        <v>0.49663125000000002</v>
      </c>
      <c r="T9" s="93">
        <f t="shared" si="6"/>
        <v>4.4696812500000007</v>
      </c>
      <c r="U9" s="93">
        <f t="shared" si="8"/>
        <v>58.28861655</v>
      </c>
      <c r="V9" s="86"/>
    </row>
    <row r="10" spans="1:22" hidden="1" x14ac:dyDescent="0.2">
      <c r="A10" s="172" t="s">
        <v>471</v>
      </c>
      <c r="B10" s="292">
        <v>0</v>
      </c>
      <c r="C10" s="172">
        <v>6.609</v>
      </c>
      <c r="D10" s="172">
        <v>80</v>
      </c>
      <c r="E10" s="292">
        <v>10.43</v>
      </c>
      <c r="F10" s="292">
        <v>173.76</v>
      </c>
      <c r="G10" s="292">
        <v>12.74</v>
      </c>
      <c r="H10" s="292">
        <v>127.43</v>
      </c>
      <c r="I10" s="292">
        <v>26.36</v>
      </c>
      <c r="J10" s="292">
        <v>36.24</v>
      </c>
      <c r="K10" s="292">
        <v>2.77</v>
      </c>
      <c r="L10" s="324"/>
      <c r="M10" s="177">
        <f>B10*(Input!$C$4/4)*Input!$C$23</f>
        <v>0</v>
      </c>
      <c r="N10" s="178">
        <f t="shared" si="2"/>
        <v>0</v>
      </c>
      <c r="O10" s="178">
        <f t="shared" si="3"/>
        <v>0</v>
      </c>
      <c r="P10" s="178">
        <f t="shared" si="7"/>
        <v>0</v>
      </c>
      <c r="Q10" s="178">
        <f t="shared" si="4"/>
        <v>0</v>
      </c>
      <c r="R10" s="178">
        <f t="shared" si="5"/>
        <v>0</v>
      </c>
      <c r="S10" s="178">
        <f t="shared" si="1"/>
        <v>0</v>
      </c>
      <c r="T10" s="178">
        <f t="shared" si="6"/>
        <v>0</v>
      </c>
      <c r="U10" s="178">
        <f t="shared" si="8"/>
        <v>0</v>
      </c>
      <c r="V10" s="266"/>
    </row>
    <row r="11" spans="1:22" x14ac:dyDescent="0.2">
      <c r="A11" s="13" t="s">
        <v>447</v>
      </c>
      <c r="B11" s="291">
        <v>72.5</v>
      </c>
      <c r="C11" s="172">
        <v>26.74</v>
      </c>
      <c r="D11" s="172">
        <v>62</v>
      </c>
      <c r="E11" s="291">
        <v>20</v>
      </c>
      <c r="F11" s="291">
        <v>22.73</v>
      </c>
      <c r="G11" s="291">
        <v>30</v>
      </c>
      <c r="H11" s="291">
        <v>300</v>
      </c>
      <c r="I11" s="291">
        <v>56</v>
      </c>
      <c r="J11" s="291">
        <v>77</v>
      </c>
      <c r="K11" s="291">
        <v>11.79</v>
      </c>
      <c r="L11" s="323">
        <f>K11*0.0744/0.13</f>
        <v>6.7475076923076909</v>
      </c>
      <c r="M11" s="92">
        <f>B11*(Input!$C$4/4)*Input!$C$23</f>
        <v>163.125</v>
      </c>
      <c r="N11" s="93">
        <f t="shared" si="2"/>
        <v>9.1349999999999998</v>
      </c>
      <c r="O11" s="93">
        <f t="shared" si="3"/>
        <v>12.560625</v>
      </c>
      <c r="P11" s="93">
        <f t="shared" si="7"/>
        <v>1923.2437499999999</v>
      </c>
      <c r="Q11" s="93">
        <f t="shared" si="4"/>
        <v>3.2625000000000002</v>
      </c>
      <c r="R11" s="93">
        <f t="shared" si="5"/>
        <v>0.44533125000000007</v>
      </c>
      <c r="S11" s="93">
        <f t="shared" si="1"/>
        <v>4.8937499999999998</v>
      </c>
      <c r="T11" s="93">
        <f t="shared" si="6"/>
        <v>44.043750000000003</v>
      </c>
      <c r="U11" s="93">
        <f t="shared" si="8"/>
        <v>1878.7546687499998</v>
      </c>
      <c r="V11" s="86"/>
    </row>
    <row r="12" spans="1:22" x14ac:dyDescent="0.2">
      <c r="A12" s="13" t="s">
        <v>472</v>
      </c>
      <c r="B12" s="291">
        <v>4.99</v>
      </c>
      <c r="C12" s="172">
        <v>16.82</v>
      </c>
      <c r="D12" s="172">
        <v>138</v>
      </c>
      <c r="E12" s="291">
        <v>21.06</v>
      </c>
      <c r="F12" s="291">
        <v>105.3</v>
      </c>
      <c r="G12" s="291">
        <v>9.0299999999999994</v>
      </c>
      <c r="H12" s="291">
        <v>90.25</v>
      </c>
      <c r="I12" s="291">
        <v>32.229999999999997</v>
      </c>
      <c r="J12" s="291">
        <v>45.23</v>
      </c>
      <c r="K12" s="291">
        <v>2.88</v>
      </c>
      <c r="L12" s="323">
        <f>K12*0.0428/0.15</f>
        <v>0.82175999999999993</v>
      </c>
      <c r="M12" s="92">
        <f>B12*(Input!$C$4/4)*Input!$C$23</f>
        <v>11.227500000000001</v>
      </c>
      <c r="N12" s="93">
        <f t="shared" si="2"/>
        <v>0.36186232499999998</v>
      </c>
      <c r="O12" s="93">
        <f t="shared" si="3"/>
        <v>0.507819825</v>
      </c>
      <c r="P12" s="93">
        <f t="shared" si="7"/>
        <v>32.3352</v>
      </c>
      <c r="Q12" s="93">
        <f t="shared" si="4"/>
        <v>0.23645115</v>
      </c>
      <c r="R12" s="93">
        <f t="shared" si="5"/>
        <v>0.9458046</v>
      </c>
      <c r="S12" s="93">
        <f t="shared" si="1"/>
        <v>0.101384325</v>
      </c>
      <c r="T12" s="93">
        <f t="shared" si="6"/>
        <v>0.91189755000000006</v>
      </c>
      <c r="U12" s="93">
        <f t="shared" si="8"/>
        <v>30.477497850000002</v>
      </c>
      <c r="V12" s="86"/>
    </row>
    <row r="13" spans="1:22" x14ac:dyDescent="0.2">
      <c r="A13" s="87" t="s">
        <v>459</v>
      </c>
      <c r="B13" s="1">
        <f>SUM(B4:B12)</f>
        <v>199.70000000000002</v>
      </c>
      <c r="C13" s="1"/>
      <c r="D13" s="85"/>
      <c r="E13" s="85"/>
      <c r="F13" s="85"/>
      <c r="G13" s="85"/>
      <c r="H13" s="85"/>
      <c r="M13" s="86">
        <f>SUM(M4:M12)</f>
        <v>449.32500000000005</v>
      </c>
      <c r="N13" s="107">
        <f t="shared" ref="N13:U13" si="9">SUM(N4:N12)</f>
        <v>17.509522275000002</v>
      </c>
      <c r="O13" s="107">
        <f t="shared" si="9"/>
        <v>24.086187225000003</v>
      </c>
      <c r="P13" s="107">
        <f t="shared" si="9"/>
        <v>2729.5065</v>
      </c>
      <c r="Q13" s="86">
        <f t="shared" si="9"/>
        <v>5.2869159000000003</v>
      </c>
      <c r="R13" s="86">
        <f t="shared" si="9"/>
        <v>2.3092128000000001</v>
      </c>
      <c r="S13" s="86">
        <f t="shared" si="9"/>
        <v>8.8603215749999986</v>
      </c>
      <c r="T13" s="107">
        <f t="shared" si="9"/>
        <v>79.737727050000004</v>
      </c>
      <c r="U13" s="107">
        <f t="shared" si="9"/>
        <v>2647.45956015</v>
      </c>
      <c r="V13" s="305"/>
    </row>
    <row r="14" spans="1:22" x14ac:dyDescent="0.2">
      <c r="A14" s="1"/>
      <c r="B14" s="1"/>
      <c r="C14" s="1"/>
      <c r="D14" s="85"/>
      <c r="E14" s="85"/>
      <c r="F14" s="85"/>
      <c r="G14" s="85"/>
      <c r="H14" s="85"/>
      <c r="P14" s="265" t="s">
        <v>463</v>
      </c>
      <c r="Q14" s="266">
        <f>Q13/Input!$C$4</f>
        <v>0.29371754999999999</v>
      </c>
      <c r="R14" s="266">
        <f>R13/Input!$C$4</f>
        <v>0.1282896</v>
      </c>
      <c r="S14" s="266">
        <f>S13/Input!$C$4</f>
        <v>0.49224008749999992</v>
      </c>
      <c r="T14" s="266">
        <f>T13/Input!$C$4</f>
        <v>4.4298737250000002</v>
      </c>
      <c r="U14" s="266">
        <f>U13/Input!$C$4</f>
        <v>147.08108667499999</v>
      </c>
    </row>
    <row r="15" spans="1:22" ht="15" x14ac:dyDescent="0.25">
      <c r="A15" s="1"/>
      <c r="B15" s="343" t="s">
        <v>558</v>
      </c>
      <c r="C15" s="343"/>
      <c r="D15" s="343"/>
      <c r="E15" s="343"/>
      <c r="F15" s="343"/>
      <c r="G15" s="85"/>
      <c r="H15" s="85"/>
    </row>
    <row r="16" spans="1:22" ht="15" customHeight="1" x14ac:dyDescent="0.2">
      <c r="A16" s="1"/>
      <c r="B16" s="1"/>
      <c r="C16" s="1"/>
      <c r="D16" s="1"/>
      <c r="E16" s="85"/>
      <c r="F16" s="85"/>
      <c r="G16" s="85"/>
      <c r="H16" s="85"/>
      <c r="Q16" s="306" t="s">
        <v>577</v>
      </c>
      <c r="R16" s="307">
        <f>SUM(Q13:R13)</f>
        <v>7.5961287000000004</v>
      </c>
    </row>
    <row r="17" spans="1:20" x14ac:dyDescent="0.2">
      <c r="A17" s="85"/>
      <c r="C17" s="1"/>
      <c r="D17" s="85"/>
      <c r="E17" s="85"/>
      <c r="F17" s="85"/>
      <c r="G17" s="85"/>
      <c r="H17" s="85"/>
      <c r="Q17" s="306" t="s">
        <v>579</v>
      </c>
      <c r="R17" s="307">
        <f>Summary!I14/Crop!R16</f>
        <v>2.1261731560060122</v>
      </c>
    </row>
    <row r="18" spans="1:20" x14ac:dyDescent="0.2">
      <c r="A18" s="85"/>
      <c r="C18" s="1"/>
      <c r="E18" s="85"/>
      <c r="Q18" s="306" t="s">
        <v>601</v>
      </c>
      <c r="R18" s="309">
        <f>L6*M6+L8*M8+L9*M9+L11*M11+L12*M12</f>
        <v>1278.2391683076924</v>
      </c>
    </row>
    <row r="19" spans="1:20" x14ac:dyDescent="0.2">
      <c r="Q19" s="306" t="s">
        <v>602</v>
      </c>
      <c r="R19" s="309">
        <f>R18*Input!C5/1000</f>
        <v>997.02655128000004</v>
      </c>
    </row>
    <row r="22" spans="1:20" x14ac:dyDescent="0.2">
      <c r="P22" s="308" t="s">
        <v>587</v>
      </c>
      <c r="Q22" s="308" t="s">
        <v>580</v>
      </c>
      <c r="R22" s="308" t="s">
        <v>93</v>
      </c>
      <c r="S22" s="308" t="s">
        <v>459</v>
      </c>
      <c r="T22" s="309"/>
    </row>
    <row r="23" spans="1:20" x14ac:dyDescent="0.2">
      <c r="P23" s="308" t="s">
        <v>581</v>
      </c>
      <c r="Q23" s="310">
        <f>1.955*0.34*(1-Input!C23)</f>
        <v>0.33235000000000003</v>
      </c>
      <c r="R23" s="310">
        <f>1.955*0.66*(1-Input!C23)</f>
        <v>0.64515</v>
      </c>
      <c r="S23" s="310">
        <f>SUM(Q23:R23)</f>
        <v>0.97750000000000004</v>
      </c>
      <c r="T23" s="309" t="s">
        <v>555</v>
      </c>
    </row>
    <row r="24" spans="1:20" x14ac:dyDescent="0.2">
      <c r="P24" s="308" t="s">
        <v>582</v>
      </c>
      <c r="Q24" s="310">
        <f>Q13/Input!C4</f>
        <v>0.29371754999999999</v>
      </c>
      <c r="R24" s="310">
        <f>R13/Input!C4</f>
        <v>0.1282896</v>
      </c>
      <c r="S24" s="310">
        <f t="shared" ref="S24:S27" si="10">SUM(Q24:R24)</f>
        <v>0.42200715</v>
      </c>
      <c r="T24" s="309"/>
    </row>
    <row r="25" spans="1:20" ht="13.5" thickBot="1" x14ac:dyDescent="0.25">
      <c r="P25" s="311" t="s">
        <v>583</v>
      </c>
      <c r="Q25" s="312"/>
      <c r="R25" s="312">
        <f>2+0.5</f>
        <v>2.5</v>
      </c>
      <c r="S25" s="312">
        <f t="shared" si="10"/>
        <v>2.5</v>
      </c>
      <c r="T25" s="309" t="s">
        <v>584</v>
      </c>
    </row>
    <row r="26" spans="1:20" ht="13.5" thickTop="1" x14ac:dyDescent="0.2">
      <c r="P26" s="313" t="s">
        <v>459</v>
      </c>
      <c r="Q26" s="314">
        <f>SUM(Q23:Q25)</f>
        <v>0.62606755000000003</v>
      </c>
      <c r="R26" s="314">
        <f>SUM(R23:R25)</f>
        <v>3.2734396000000001</v>
      </c>
      <c r="S26" s="314">
        <f t="shared" si="10"/>
        <v>3.8995071500000003</v>
      </c>
      <c r="T26" s="309"/>
    </row>
    <row r="27" spans="1:20" x14ac:dyDescent="0.2">
      <c r="P27" s="309" t="s">
        <v>585</v>
      </c>
      <c r="Q27" s="309">
        <v>0.61699999999999999</v>
      </c>
      <c r="R27" s="309">
        <v>3.9089999999999998</v>
      </c>
      <c r="S27" s="307">
        <f t="shared" si="10"/>
        <v>4.5259999999999998</v>
      </c>
      <c r="T27" s="309" t="s">
        <v>586</v>
      </c>
    </row>
  </sheetData>
  <mergeCells count="9">
    <mergeCell ref="B15:F15"/>
    <mergeCell ref="I1:K2"/>
    <mergeCell ref="M1:U2"/>
    <mergeCell ref="A1:A3"/>
    <mergeCell ref="E2:F2"/>
    <mergeCell ref="G2:H2"/>
    <mergeCell ref="E1:H1"/>
    <mergeCell ref="B1:D2"/>
    <mergeCell ref="L1:L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B1031"/>
  <sheetViews>
    <sheetView tabSelected="1" zoomScaleNormal="100" workbookViewId="0">
      <pane ySplit="4" topLeftCell="A142" activePane="bottomLeft" state="frozen"/>
      <selection pane="bottomLeft" activeCell="Q150" sqref="Q150"/>
    </sheetView>
  </sheetViews>
  <sheetFormatPr defaultRowHeight="11.25" x14ac:dyDescent="0.2"/>
  <cols>
    <col min="1" max="1" width="7.85546875" style="24" customWidth="1"/>
    <col min="2" max="2" width="14.42578125" style="24" bestFit="1" customWidth="1"/>
    <col min="3" max="3" width="42.140625" style="24" bestFit="1" customWidth="1"/>
    <col min="4" max="4" width="6.5703125" style="126" bestFit="1" customWidth="1"/>
    <col min="5" max="5" width="7.140625" style="126" bestFit="1" customWidth="1"/>
    <col min="6" max="6" width="5.28515625" style="24" bestFit="1" customWidth="1"/>
    <col min="7" max="7" width="5.5703125" style="24" bestFit="1" customWidth="1"/>
    <col min="8" max="9" width="5.28515625" style="24" customWidth="1"/>
    <col min="10" max="11" width="5.28515625" style="24" hidden="1" customWidth="1"/>
    <col min="12" max="13" width="5.28515625" style="24" customWidth="1"/>
    <col min="14" max="14" width="5.28515625" style="24" hidden="1" customWidth="1"/>
    <col min="15" max="15" width="5.28515625" style="124" hidden="1" customWidth="1"/>
    <col min="16" max="16" width="8.85546875" style="126" bestFit="1" customWidth="1"/>
    <col min="17" max="17" width="7.140625" style="126" bestFit="1" customWidth="1"/>
    <col min="18" max="18" width="8.28515625" style="126" customWidth="1"/>
    <col min="19" max="20" width="9.7109375" style="126" customWidth="1"/>
    <col min="21" max="23" width="9.140625" style="24"/>
    <col min="24" max="24" width="4" style="24" bestFit="1" customWidth="1"/>
    <col min="25" max="26" width="9.140625" style="24"/>
    <col min="27" max="27" width="5.7109375" style="137" bestFit="1" customWidth="1"/>
    <col min="28" max="28" width="7.5703125" style="124" customWidth="1"/>
    <col min="29" max="16384" width="9.140625" style="24"/>
  </cols>
  <sheetData>
    <row r="1" spans="1:28" x14ac:dyDescent="0.2">
      <c r="D1" s="359" t="s">
        <v>312</v>
      </c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61" t="s">
        <v>149</v>
      </c>
      <c r="Q1" s="362"/>
      <c r="R1" s="362"/>
      <c r="S1" s="362"/>
      <c r="T1" s="362"/>
      <c r="U1" s="362"/>
      <c r="V1" s="363"/>
      <c r="W1" s="24" t="s">
        <v>515</v>
      </c>
      <c r="X1" s="278">
        <v>0.1</v>
      </c>
      <c r="Y1" s="24" t="s">
        <v>516</v>
      </c>
      <c r="AB1" s="329"/>
    </row>
    <row r="2" spans="1:28" x14ac:dyDescent="0.2">
      <c r="A2" s="21"/>
      <c r="B2" s="23"/>
      <c r="C2" s="23"/>
      <c r="D2" s="138"/>
      <c r="E2" s="138"/>
      <c r="F2" s="360" t="s">
        <v>510</v>
      </c>
      <c r="G2" s="360"/>
      <c r="H2" s="23"/>
      <c r="I2" s="23"/>
      <c r="J2" s="23"/>
      <c r="K2" s="23"/>
      <c r="L2" s="360" t="s">
        <v>308</v>
      </c>
      <c r="M2" s="360"/>
      <c r="N2" s="360" t="s">
        <v>309</v>
      </c>
      <c r="O2" s="360"/>
      <c r="P2" s="357" t="s">
        <v>296</v>
      </c>
      <c r="Q2" s="357"/>
      <c r="R2" s="357"/>
      <c r="S2" s="358" t="s">
        <v>548</v>
      </c>
      <c r="T2" s="358"/>
      <c r="U2" s="358" t="s">
        <v>549</v>
      </c>
      <c r="V2" s="358"/>
      <c r="W2" s="25"/>
      <c r="AA2" s="364" t="s">
        <v>510</v>
      </c>
      <c r="AB2" s="364"/>
    </row>
    <row r="3" spans="1:28" x14ac:dyDescent="0.2">
      <c r="A3" s="21"/>
      <c r="B3" s="23"/>
      <c r="C3" s="23"/>
      <c r="D3" s="138"/>
      <c r="E3" s="138"/>
      <c r="F3" s="325"/>
      <c r="G3" s="325"/>
      <c r="H3" s="23"/>
      <c r="I3" s="23"/>
      <c r="J3" s="23"/>
      <c r="K3" s="23"/>
      <c r="L3" s="325"/>
      <c r="M3" s="325"/>
      <c r="N3" s="325"/>
      <c r="O3" s="325"/>
      <c r="P3" s="327"/>
      <c r="Q3" s="327"/>
      <c r="R3" s="327"/>
      <c r="S3" s="328"/>
      <c r="T3" s="328"/>
      <c r="U3" s="328"/>
      <c r="V3" s="328"/>
      <c r="W3" s="25"/>
      <c r="AA3" s="326"/>
      <c r="AB3" s="325"/>
    </row>
    <row r="4" spans="1:28" ht="69" customHeight="1" thickBot="1" x14ac:dyDescent="0.25">
      <c r="A4" s="22" t="s">
        <v>171</v>
      </c>
      <c r="B4" s="22" t="s">
        <v>172</v>
      </c>
      <c r="C4" s="22" t="s">
        <v>173</v>
      </c>
      <c r="D4" s="127" t="s">
        <v>313</v>
      </c>
      <c r="E4" s="127" t="s">
        <v>175</v>
      </c>
      <c r="F4" s="22" t="s">
        <v>510</v>
      </c>
      <c r="G4" s="22" t="s">
        <v>603</v>
      </c>
      <c r="H4" s="22" t="s">
        <v>314</v>
      </c>
      <c r="I4" s="22" t="s">
        <v>315</v>
      </c>
      <c r="J4" s="22" t="s">
        <v>176</v>
      </c>
      <c r="K4" s="22" t="s">
        <v>177</v>
      </c>
      <c r="L4" s="22" t="s">
        <v>178</v>
      </c>
      <c r="M4" s="22" t="s">
        <v>179</v>
      </c>
      <c r="N4" s="22" t="s">
        <v>178</v>
      </c>
      <c r="O4" s="118" t="s">
        <v>179</v>
      </c>
      <c r="P4" s="127" t="s">
        <v>174</v>
      </c>
      <c r="Q4" s="127" t="s">
        <v>175</v>
      </c>
      <c r="R4" s="127" t="s">
        <v>315</v>
      </c>
      <c r="S4" s="127" t="s">
        <v>526</v>
      </c>
      <c r="T4" s="127" t="s">
        <v>527</v>
      </c>
      <c r="U4" s="127" t="s">
        <v>526</v>
      </c>
      <c r="V4" s="127" t="s">
        <v>527</v>
      </c>
      <c r="AA4" s="129" t="s">
        <v>510</v>
      </c>
      <c r="AB4" s="118"/>
    </row>
    <row r="5" spans="1:28" x14ac:dyDescent="0.2">
      <c r="A5" s="23" t="s">
        <v>180</v>
      </c>
      <c r="B5" s="24" t="s">
        <v>181</v>
      </c>
      <c r="C5" s="209" t="s">
        <v>182</v>
      </c>
      <c r="D5" s="210">
        <v>4.3544999999999998</v>
      </c>
      <c r="E5" s="210">
        <v>3.398E-3</v>
      </c>
      <c r="F5" s="211"/>
      <c r="G5" s="211"/>
      <c r="H5" s="212"/>
      <c r="I5" s="212"/>
      <c r="J5" s="212">
        <v>61845.599999999999</v>
      </c>
      <c r="K5" s="212">
        <v>0.25</v>
      </c>
      <c r="L5" s="212">
        <v>1</v>
      </c>
      <c r="M5" s="213">
        <v>1</v>
      </c>
      <c r="N5" s="26"/>
      <c r="O5" s="119"/>
      <c r="AA5" s="130"/>
      <c r="AB5" s="119"/>
    </row>
    <row r="6" spans="1:28" x14ac:dyDescent="0.2">
      <c r="A6" s="23"/>
      <c r="B6" s="23"/>
      <c r="C6" s="209" t="s">
        <v>183</v>
      </c>
      <c r="D6" s="210">
        <v>28.6675</v>
      </c>
      <c r="E6" s="210">
        <v>2.9451999999999999E-2</v>
      </c>
      <c r="F6" s="211"/>
      <c r="G6" s="211"/>
      <c r="H6" s="212"/>
      <c r="I6" s="212"/>
      <c r="J6" s="212">
        <v>296701.2</v>
      </c>
      <c r="K6" s="212">
        <v>6</v>
      </c>
      <c r="L6" s="212">
        <v>1</v>
      </c>
      <c r="M6" s="213">
        <v>1</v>
      </c>
      <c r="N6" s="26"/>
      <c r="O6" s="119"/>
      <c r="AA6" s="130"/>
      <c r="AB6" s="119"/>
    </row>
    <row r="7" spans="1:28" x14ac:dyDescent="0.2">
      <c r="A7" s="23"/>
      <c r="B7" s="23"/>
      <c r="C7" s="209" t="s">
        <v>184</v>
      </c>
      <c r="D7" s="210">
        <v>34.2468</v>
      </c>
      <c r="E7" s="210">
        <f>E8</f>
        <v>3.1151999999999999E-2</v>
      </c>
      <c r="F7" s="211"/>
      <c r="G7" s="211"/>
      <c r="H7" s="213"/>
      <c r="I7" s="213"/>
      <c r="J7" s="212">
        <v>138408</v>
      </c>
      <c r="K7" s="214"/>
      <c r="L7" s="212">
        <v>1</v>
      </c>
      <c r="M7" s="213">
        <v>1</v>
      </c>
      <c r="N7" s="26"/>
      <c r="O7" s="119"/>
      <c r="AA7" s="130"/>
      <c r="AB7" s="119"/>
    </row>
    <row r="8" spans="1:28" x14ac:dyDescent="0.2">
      <c r="A8" s="23"/>
      <c r="B8" s="23"/>
      <c r="C8" s="209" t="s">
        <v>185</v>
      </c>
      <c r="D8" s="210">
        <v>48.1723</v>
      </c>
      <c r="E8" s="210">
        <v>3.1151999999999999E-2</v>
      </c>
      <c r="F8" s="211"/>
      <c r="G8" s="211"/>
      <c r="H8" s="212"/>
      <c r="I8" s="212"/>
      <c r="J8" s="212">
        <v>98112</v>
      </c>
      <c r="K8" s="212">
        <v>10</v>
      </c>
      <c r="L8" s="212">
        <v>1</v>
      </c>
      <c r="M8" s="213">
        <v>1</v>
      </c>
      <c r="N8" s="26"/>
      <c r="O8" s="119"/>
      <c r="AA8" s="130"/>
      <c r="AB8" s="119"/>
    </row>
    <row r="9" spans="1:28" x14ac:dyDescent="0.2">
      <c r="A9" s="23"/>
      <c r="B9" s="23"/>
      <c r="C9" s="209" t="s">
        <v>186</v>
      </c>
      <c r="D9" s="210">
        <v>42.638399999999997</v>
      </c>
      <c r="E9" s="210">
        <v>6.4852000000000007E-2</v>
      </c>
      <c r="F9" s="211"/>
      <c r="G9" s="211"/>
      <c r="H9" s="212"/>
      <c r="I9" s="212"/>
      <c r="J9" s="212">
        <v>47479.199999999997</v>
      </c>
      <c r="K9" s="212">
        <v>4.17</v>
      </c>
      <c r="L9" s="212">
        <v>1</v>
      </c>
      <c r="M9" s="213">
        <v>1</v>
      </c>
      <c r="N9" s="26"/>
      <c r="O9" s="119"/>
      <c r="AA9" s="130"/>
      <c r="AB9" s="119"/>
    </row>
    <row r="10" spans="1:28" x14ac:dyDescent="0.2">
      <c r="A10" s="23"/>
      <c r="B10" s="23"/>
      <c r="C10" s="209" t="s">
        <v>187</v>
      </c>
      <c r="D10" s="210">
        <v>47.083599999999997</v>
      </c>
      <c r="E10" s="210">
        <v>8.3826999999999999E-2</v>
      </c>
      <c r="F10" s="211"/>
      <c r="G10" s="211"/>
      <c r="H10" s="212"/>
      <c r="I10" s="212"/>
      <c r="J10" s="212">
        <v>103280.4</v>
      </c>
      <c r="K10" s="212">
        <v>7.72</v>
      </c>
      <c r="L10" s="212">
        <v>1</v>
      </c>
      <c r="M10" s="213">
        <v>1</v>
      </c>
      <c r="N10" s="26"/>
      <c r="O10" s="119"/>
      <c r="AA10" s="130"/>
      <c r="AB10" s="119"/>
    </row>
    <row r="11" spans="1:28" x14ac:dyDescent="0.2">
      <c r="A11" s="23"/>
      <c r="B11" s="31"/>
      <c r="C11" s="215" t="s">
        <v>188</v>
      </c>
      <c r="D11" s="216">
        <v>17.962499999999999</v>
      </c>
      <c r="E11" s="216">
        <v>1.0152E-2</v>
      </c>
      <c r="F11" s="217"/>
      <c r="G11" s="218"/>
      <c r="H11" s="219"/>
      <c r="I11" s="219"/>
      <c r="J11" s="219">
        <v>144540</v>
      </c>
      <c r="K11" s="219">
        <v>1</v>
      </c>
      <c r="L11" s="219">
        <v>1</v>
      </c>
      <c r="M11" s="220">
        <v>1</v>
      </c>
      <c r="N11" s="34"/>
      <c r="O11" s="120"/>
      <c r="P11" s="128"/>
      <c r="Q11" s="128"/>
      <c r="R11" s="128"/>
      <c r="AA11" s="131"/>
      <c r="AB11" s="120"/>
    </row>
    <row r="12" spans="1:28" x14ac:dyDescent="0.2">
      <c r="A12" s="23"/>
      <c r="B12" s="31"/>
      <c r="C12" s="32"/>
      <c r="D12" s="141">
        <f>SUM(D5:D11)</f>
        <v>223.12559999999999</v>
      </c>
      <c r="E12" s="141">
        <f>SUM(E5:E11)</f>
        <v>0.25398500000000002</v>
      </c>
      <c r="F12" s="125">
        <v>5.4</v>
      </c>
      <c r="G12" s="33" t="s">
        <v>372</v>
      </c>
      <c r="H12" s="226">
        <v>2971</v>
      </c>
      <c r="I12" s="125">
        <f>2971*53/90+469*37/90</f>
        <v>1942.4</v>
      </c>
      <c r="J12" s="33"/>
      <c r="K12" s="33"/>
      <c r="L12" s="33">
        <f>MIN(L5:L11)</f>
        <v>1</v>
      </c>
      <c r="M12" s="33">
        <f>MIN(M5:M11)</f>
        <v>1</v>
      </c>
      <c r="N12" s="34"/>
      <c r="O12" s="120"/>
      <c r="P12" s="199">
        <f>D12*(AA12/F12)*SUM(L12:M12)</f>
        <v>416.65591714580341</v>
      </c>
      <c r="Q12" s="199">
        <f>E12*AA12/F12*SUM(L12:M12)</f>
        <v>0.47428153970802495</v>
      </c>
      <c r="R12" s="199">
        <f>I12*(AA12/F12)</f>
        <v>1813.5804530363362</v>
      </c>
      <c r="S12" s="243">
        <f>P12*$X$1</f>
        <v>41.665591714580344</v>
      </c>
      <c r="T12" s="243">
        <f>Q12*$X$1</f>
        <v>4.7428153970802495E-2</v>
      </c>
      <c r="AA12" s="132">
        <f>'Gas InOut'!D17</f>
        <v>5.0418731705087598</v>
      </c>
      <c r="AB12" s="33" t="s">
        <v>372</v>
      </c>
    </row>
    <row r="13" spans="1:28" x14ac:dyDescent="0.2">
      <c r="A13" s="23"/>
      <c r="B13" s="24" t="s">
        <v>189</v>
      </c>
      <c r="C13" s="209" t="s">
        <v>190</v>
      </c>
      <c r="D13" s="210">
        <v>10.886100000000001</v>
      </c>
      <c r="E13" s="210">
        <v>4.5310000000000003E-3</v>
      </c>
      <c r="F13" s="211"/>
      <c r="G13" s="211"/>
      <c r="H13" s="212"/>
      <c r="I13" s="212"/>
      <c r="J13" s="212">
        <v>156200</v>
      </c>
      <c r="K13" s="212">
        <v>15.29</v>
      </c>
      <c r="L13" s="212">
        <v>2</v>
      </c>
      <c r="M13" s="213">
        <v>2</v>
      </c>
      <c r="N13" s="28">
        <v>1</v>
      </c>
      <c r="O13" s="121">
        <v>1</v>
      </c>
      <c r="AA13" s="133"/>
      <c r="AB13" s="121"/>
    </row>
    <row r="14" spans="1:28" x14ac:dyDescent="0.2">
      <c r="A14" s="23"/>
      <c r="B14" s="23"/>
      <c r="C14" s="209" t="s">
        <v>191</v>
      </c>
      <c r="D14" s="210">
        <v>5.58</v>
      </c>
      <c r="E14" s="210">
        <v>0.03</v>
      </c>
      <c r="F14" s="211"/>
      <c r="G14" s="211"/>
      <c r="H14" s="212"/>
      <c r="I14" s="212"/>
      <c r="J14" s="212">
        <v>129700</v>
      </c>
      <c r="K14" s="212">
        <v>10</v>
      </c>
      <c r="L14" s="212">
        <v>2</v>
      </c>
      <c r="M14" s="213">
        <v>2</v>
      </c>
      <c r="N14" s="28">
        <v>1</v>
      </c>
      <c r="O14" s="121">
        <v>1</v>
      </c>
      <c r="AA14" s="133"/>
      <c r="AB14" s="121"/>
    </row>
    <row r="15" spans="1:28" x14ac:dyDescent="0.2">
      <c r="A15" s="23"/>
      <c r="B15" s="23"/>
      <c r="C15" s="209" t="s">
        <v>192</v>
      </c>
      <c r="D15" s="210">
        <v>39.915900000000001</v>
      </c>
      <c r="E15" s="210">
        <v>0.17841599999999999</v>
      </c>
      <c r="F15" s="211"/>
      <c r="G15" s="211"/>
      <c r="H15" s="212"/>
      <c r="I15" s="212"/>
      <c r="J15" s="221">
        <v>32900</v>
      </c>
      <c r="K15" s="214"/>
      <c r="L15" s="212">
        <v>2</v>
      </c>
      <c r="M15" s="213">
        <v>2</v>
      </c>
      <c r="N15" s="28">
        <v>1</v>
      </c>
      <c r="O15" s="121">
        <v>1</v>
      </c>
      <c r="AA15" s="133"/>
      <c r="AB15" s="121"/>
    </row>
    <row r="16" spans="1:28" x14ac:dyDescent="0.2">
      <c r="A16" s="23"/>
      <c r="B16" s="23"/>
      <c r="C16" s="209" t="s">
        <v>193</v>
      </c>
      <c r="D16" s="210">
        <v>42.638399999999997</v>
      </c>
      <c r="E16" s="210">
        <v>8.4959999999999994E-2</v>
      </c>
      <c r="F16" s="211"/>
      <c r="G16" s="211"/>
      <c r="H16" s="212"/>
      <c r="I16" s="212"/>
      <c r="J16" s="212">
        <v>77100</v>
      </c>
      <c r="K16" s="214"/>
      <c r="L16" s="212">
        <v>4</v>
      </c>
      <c r="M16" s="213">
        <v>4</v>
      </c>
      <c r="N16" s="28">
        <v>2</v>
      </c>
      <c r="O16" s="121">
        <v>2</v>
      </c>
      <c r="AA16" s="133"/>
      <c r="AB16" s="121"/>
    </row>
    <row r="17" spans="1:28" x14ac:dyDescent="0.2">
      <c r="A17" s="23"/>
      <c r="B17" s="23"/>
      <c r="C17" s="209" t="s">
        <v>194</v>
      </c>
      <c r="D17" s="210">
        <v>3.3111999999999999</v>
      </c>
      <c r="E17" s="210">
        <v>8.4960000000000001E-3</v>
      </c>
      <c r="F17" s="211"/>
      <c r="G17" s="211"/>
      <c r="H17" s="212"/>
      <c r="I17" s="212"/>
      <c r="J17" s="212">
        <v>242700</v>
      </c>
      <c r="K17" s="214"/>
      <c r="L17" s="212">
        <v>4</v>
      </c>
      <c r="M17" s="213">
        <v>4</v>
      </c>
      <c r="N17" s="28">
        <v>2</v>
      </c>
      <c r="O17" s="121">
        <v>2</v>
      </c>
      <c r="AA17" s="133"/>
      <c r="AB17" s="121"/>
    </row>
    <row r="18" spans="1:28" x14ac:dyDescent="0.2">
      <c r="A18" s="23"/>
      <c r="B18" s="23"/>
      <c r="C18" s="209" t="s">
        <v>195</v>
      </c>
      <c r="D18" s="210">
        <v>5.5792000000000002</v>
      </c>
      <c r="E18" s="210">
        <v>2.5488E-2</v>
      </c>
      <c r="F18" s="211"/>
      <c r="G18" s="211"/>
      <c r="H18" s="212"/>
      <c r="I18" s="212"/>
      <c r="J18" s="212">
        <v>129700</v>
      </c>
      <c r="K18" s="212">
        <v>10</v>
      </c>
      <c r="L18" s="212">
        <v>2</v>
      </c>
      <c r="M18" s="213">
        <v>2</v>
      </c>
      <c r="N18" s="28">
        <v>1</v>
      </c>
      <c r="O18" s="121">
        <v>1</v>
      </c>
      <c r="AA18" s="133"/>
      <c r="AB18" s="121"/>
    </row>
    <row r="19" spans="1:28" x14ac:dyDescent="0.2">
      <c r="A19" s="23"/>
      <c r="B19" s="23"/>
      <c r="C19" s="209" t="s">
        <v>196</v>
      </c>
      <c r="D19" s="210">
        <v>2.7214999999999998</v>
      </c>
      <c r="E19" s="210">
        <v>5.6639999999999998E-3</v>
      </c>
      <c r="F19" s="211"/>
      <c r="G19" s="211"/>
      <c r="H19" s="212"/>
      <c r="I19" s="212"/>
      <c r="J19" s="212">
        <v>2270000</v>
      </c>
      <c r="K19" s="214"/>
      <c r="L19" s="212">
        <v>4</v>
      </c>
      <c r="M19" s="213">
        <v>4</v>
      </c>
      <c r="N19" s="28">
        <v>2</v>
      </c>
      <c r="O19" s="121">
        <v>2</v>
      </c>
      <c r="AA19" s="133"/>
      <c r="AB19" s="121"/>
    </row>
    <row r="20" spans="1:28" x14ac:dyDescent="0.2">
      <c r="A20" s="23"/>
      <c r="B20" s="23"/>
      <c r="C20" s="209" t="s">
        <v>197</v>
      </c>
      <c r="D20" s="210">
        <v>3.0390000000000001</v>
      </c>
      <c r="E20" s="210">
        <v>1.699E-3</v>
      </c>
      <c r="F20" s="211"/>
      <c r="G20" s="211"/>
      <c r="H20" s="212"/>
      <c r="I20" s="212"/>
      <c r="J20" s="212">
        <v>117000</v>
      </c>
      <c r="K20" s="212">
        <v>10.61</v>
      </c>
      <c r="L20" s="212">
        <v>12</v>
      </c>
      <c r="M20" s="213">
        <v>12</v>
      </c>
      <c r="N20" s="28">
        <v>6</v>
      </c>
      <c r="O20" s="121">
        <v>6</v>
      </c>
      <c r="AA20" s="133"/>
      <c r="AB20" s="121"/>
    </row>
    <row r="21" spans="1:28" x14ac:dyDescent="0.2">
      <c r="A21" s="23"/>
      <c r="B21" s="31"/>
      <c r="C21" s="215" t="s">
        <v>198</v>
      </c>
      <c r="D21" s="216">
        <v>42.638399999999997</v>
      </c>
      <c r="E21" s="216">
        <v>8.4959999999999994E-2</v>
      </c>
      <c r="F21" s="218"/>
      <c r="G21" s="218"/>
      <c r="H21" s="219"/>
      <c r="I21" s="219"/>
      <c r="J21" s="219">
        <v>77100</v>
      </c>
      <c r="K21" s="219">
        <v>2.2799999999999998</v>
      </c>
      <c r="L21" s="219">
        <v>4</v>
      </c>
      <c r="M21" s="220">
        <v>4</v>
      </c>
      <c r="N21" s="36">
        <v>2</v>
      </c>
      <c r="O21" s="122">
        <v>2</v>
      </c>
      <c r="P21" s="128"/>
      <c r="Q21" s="128"/>
      <c r="R21" s="128"/>
      <c r="AA21" s="134"/>
      <c r="AB21" s="122"/>
    </row>
    <row r="22" spans="1:28" ht="11.25" customHeight="1" x14ac:dyDescent="0.2">
      <c r="A22" s="23"/>
      <c r="B22" s="31"/>
      <c r="C22" s="32"/>
      <c r="D22" s="141">
        <f>SUM(D13:D21)</f>
        <v>156.30969999999999</v>
      </c>
      <c r="E22" s="141">
        <f>SUM(E13:E21)</f>
        <v>0.42421399999999998</v>
      </c>
      <c r="F22" s="125">
        <v>6.3140000000000001</v>
      </c>
      <c r="G22" s="33" t="s">
        <v>372</v>
      </c>
      <c r="H22" s="226">
        <v>1487</v>
      </c>
      <c r="I22" s="125">
        <v>860</v>
      </c>
      <c r="J22" s="33"/>
      <c r="K22" s="33"/>
      <c r="L22" s="33">
        <f>MIN(L13:L21)</f>
        <v>2</v>
      </c>
      <c r="M22" s="33">
        <f>MIN(M13:M21)</f>
        <v>2</v>
      </c>
      <c r="N22" s="36"/>
      <c r="O22" s="122"/>
      <c r="P22" s="199">
        <f>D22*(AA22/F22)*SUM(L22:M22)</f>
        <v>1851.0163394996705</v>
      </c>
      <c r="Q22" s="199">
        <f>E22*AA22/F22*SUM(L22:M22)</f>
        <v>5.0235336990891373</v>
      </c>
      <c r="R22" s="199">
        <f>I22*(AA22/F22)</f>
        <v>2546.0256976529877</v>
      </c>
      <c r="S22" s="243">
        <f>P22*$X$1</f>
        <v>185.10163394996707</v>
      </c>
      <c r="T22" s="243">
        <f>Q22*$X$1</f>
        <v>0.50235336990891377</v>
      </c>
      <c r="AA22" s="135">
        <f>'Gas InOut'!D37</f>
        <v>18.692565412768563</v>
      </c>
      <c r="AB22" s="122" t="s">
        <v>372</v>
      </c>
    </row>
    <row r="23" spans="1:28" x14ac:dyDescent="0.2">
      <c r="A23" s="23"/>
      <c r="B23" s="24" t="s">
        <v>199</v>
      </c>
      <c r="C23" s="209" t="s">
        <v>200</v>
      </c>
      <c r="D23" s="210">
        <v>49.71</v>
      </c>
      <c r="E23" s="210">
        <v>0.393293</v>
      </c>
      <c r="F23" s="211"/>
      <c r="G23" s="211"/>
      <c r="H23" s="212"/>
      <c r="I23" s="212"/>
      <c r="J23" s="212">
        <v>832600</v>
      </c>
      <c r="K23" s="214"/>
      <c r="L23" s="212">
        <v>4</v>
      </c>
      <c r="M23" s="213">
        <v>4</v>
      </c>
      <c r="N23" s="26"/>
      <c r="O23" s="119"/>
      <c r="AA23" s="130"/>
      <c r="AB23" s="119"/>
    </row>
    <row r="24" spans="1:28" x14ac:dyDescent="0.2">
      <c r="A24" s="23"/>
      <c r="B24" s="23"/>
      <c r="C24" s="209" t="s">
        <v>201</v>
      </c>
      <c r="D24" s="210">
        <v>4.0369999999999999</v>
      </c>
      <c r="E24" s="210">
        <v>1.7274999999999999E-2</v>
      </c>
      <c r="F24" s="211"/>
      <c r="G24" s="211"/>
      <c r="H24" s="212"/>
      <c r="I24" s="212"/>
      <c r="J24" s="212">
        <v>2350000</v>
      </c>
      <c r="K24" s="214"/>
      <c r="L24" s="212">
        <v>8</v>
      </c>
      <c r="M24" s="213">
        <v>8</v>
      </c>
      <c r="N24" s="26"/>
      <c r="O24" s="119"/>
      <c r="AA24" s="130"/>
      <c r="AB24" s="119"/>
    </row>
    <row r="25" spans="1:28" x14ac:dyDescent="0.2">
      <c r="A25" s="23"/>
      <c r="B25" s="23"/>
      <c r="C25" s="209" t="s">
        <v>202</v>
      </c>
      <c r="D25" s="210">
        <v>0.45350000000000001</v>
      </c>
      <c r="E25" s="210">
        <v>1.63E-4</v>
      </c>
      <c r="F25" s="211"/>
      <c r="G25" s="211"/>
      <c r="H25" s="212"/>
      <c r="I25" s="212"/>
      <c r="J25" s="212">
        <v>1250000</v>
      </c>
      <c r="K25" s="214"/>
      <c r="L25" s="212">
        <v>4</v>
      </c>
      <c r="M25" s="213">
        <v>4</v>
      </c>
      <c r="N25" s="26"/>
      <c r="O25" s="119"/>
      <c r="AA25" s="130"/>
      <c r="AB25" s="119"/>
    </row>
    <row r="26" spans="1:28" x14ac:dyDescent="0.2">
      <c r="A26" s="23"/>
      <c r="B26" s="23"/>
      <c r="C26" s="209" t="s">
        <v>203</v>
      </c>
      <c r="D26" s="210">
        <v>0.63500000000000001</v>
      </c>
      <c r="E26" s="210">
        <v>5.6599999999999999E-4</v>
      </c>
      <c r="F26" s="211"/>
      <c r="G26" s="211"/>
      <c r="H26" s="212"/>
      <c r="I26" s="212"/>
      <c r="J26" s="212">
        <v>1140000</v>
      </c>
      <c r="K26" s="214"/>
      <c r="L26" s="212">
        <v>8</v>
      </c>
      <c r="M26" s="213">
        <v>8</v>
      </c>
      <c r="N26" s="26"/>
      <c r="O26" s="119"/>
      <c r="AA26" s="130"/>
      <c r="AB26" s="119"/>
    </row>
    <row r="27" spans="1:28" x14ac:dyDescent="0.2">
      <c r="A27" s="23"/>
      <c r="B27" s="23"/>
      <c r="C27" s="209" t="s">
        <v>204</v>
      </c>
      <c r="D27" s="210">
        <v>25.31</v>
      </c>
      <c r="E27" s="210">
        <v>0.13087499999999999</v>
      </c>
      <c r="F27" s="211"/>
      <c r="G27" s="211"/>
      <c r="H27" s="212"/>
      <c r="I27" s="212"/>
      <c r="J27" s="212">
        <v>333000</v>
      </c>
      <c r="K27" s="214"/>
      <c r="L27" s="212">
        <v>4</v>
      </c>
      <c r="M27" s="213">
        <v>4</v>
      </c>
      <c r="N27" s="26"/>
      <c r="O27" s="119"/>
      <c r="AA27" s="130"/>
      <c r="AB27" s="119"/>
    </row>
    <row r="28" spans="1:28" x14ac:dyDescent="0.2">
      <c r="A28" s="23"/>
      <c r="B28" s="23"/>
      <c r="C28" s="209" t="s">
        <v>205</v>
      </c>
      <c r="D28" s="210">
        <v>0.47620000000000001</v>
      </c>
      <c r="E28" s="210">
        <v>2.8299999999999999E-4</v>
      </c>
      <c r="F28" s="211"/>
      <c r="G28" s="211"/>
      <c r="H28" s="212"/>
      <c r="I28" s="212"/>
      <c r="J28" s="212">
        <v>1250000</v>
      </c>
      <c r="K28" s="212">
        <v>15</v>
      </c>
      <c r="L28" s="212">
        <v>4</v>
      </c>
      <c r="M28" s="213">
        <v>4</v>
      </c>
      <c r="N28" s="26"/>
      <c r="O28" s="119"/>
      <c r="AA28" s="130"/>
      <c r="AB28" s="119"/>
    </row>
    <row r="29" spans="1:28" x14ac:dyDescent="0.2">
      <c r="A29" s="23"/>
      <c r="B29" s="23"/>
      <c r="C29" s="209" t="s">
        <v>206</v>
      </c>
      <c r="D29" s="210">
        <v>7.4526000000000003</v>
      </c>
      <c r="E29" s="210">
        <v>7.0800000000000004E-3</v>
      </c>
      <c r="F29" s="211"/>
      <c r="G29" s="211"/>
      <c r="H29" s="212"/>
      <c r="I29" s="212"/>
      <c r="J29" s="212">
        <v>32900</v>
      </c>
      <c r="K29" s="214"/>
      <c r="L29" s="212">
        <v>8</v>
      </c>
      <c r="M29" s="213">
        <v>8</v>
      </c>
      <c r="N29" s="26"/>
      <c r="O29" s="119"/>
      <c r="AA29" s="130"/>
      <c r="AB29" s="119"/>
    </row>
    <row r="30" spans="1:28" x14ac:dyDescent="0.2">
      <c r="A30" s="23"/>
      <c r="B30" s="23"/>
      <c r="C30" s="209" t="s">
        <v>207</v>
      </c>
      <c r="D30" s="210">
        <v>0.26300000000000001</v>
      </c>
      <c r="E30" s="210">
        <v>1.4159999999999999E-3</v>
      </c>
      <c r="F30" s="211"/>
      <c r="G30" s="211"/>
      <c r="H30" s="212"/>
      <c r="I30" s="212"/>
      <c r="J30" s="212">
        <v>37600000</v>
      </c>
      <c r="K30" s="214"/>
      <c r="L30" s="212">
        <v>16</v>
      </c>
      <c r="M30" s="213">
        <v>16</v>
      </c>
      <c r="N30" s="26"/>
      <c r="O30" s="119"/>
      <c r="AA30" s="130"/>
      <c r="AB30" s="119"/>
    </row>
    <row r="31" spans="1:28" x14ac:dyDescent="0.2">
      <c r="A31" s="23"/>
      <c r="B31" s="23"/>
      <c r="C31" s="209" t="s">
        <v>208</v>
      </c>
      <c r="D31" s="210">
        <v>11.93</v>
      </c>
      <c r="E31" s="210">
        <v>5.8285000000000003E-2</v>
      </c>
      <c r="F31" s="211"/>
      <c r="G31" s="211"/>
      <c r="H31" s="212"/>
      <c r="I31" s="212"/>
      <c r="J31" s="212">
        <v>131000</v>
      </c>
      <c r="K31" s="212">
        <v>5</v>
      </c>
      <c r="L31" s="212">
        <v>8</v>
      </c>
      <c r="M31" s="213">
        <v>8</v>
      </c>
      <c r="N31" s="26"/>
      <c r="O31" s="119"/>
      <c r="AA31" s="130"/>
      <c r="AB31" s="119"/>
    </row>
    <row r="32" spans="1:28" x14ac:dyDescent="0.2">
      <c r="A32" s="23"/>
      <c r="B32" s="31"/>
      <c r="C32" s="215" t="s">
        <v>209</v>
      </c>
      <c r="D32" s="216">
        <v>0.63500000000000001</v>
      </c>
      <c r="E32" s="216">
        <v>5.6599999999999999E-4</v>
      </c>
      <c r="F32" s="218"/>
      <c r="G32" s="218"/>
      <c r="H32" s="219"/>
      <c r="I32" s="219"/>
      <c r="J32" s="222">
        <v>1140000</v>
      </c>
      <c r="K32" s="223"/>
      <c r="L32" s="219">
        <v>8</v>
      </c>
      <c r="M32" s="220">
        <v>8</v>
      </c>
      <c r="N32" s="34"/>
      <c r="O32" s="120"/>
      <c r="P32" s="128"/>
      <c r="Q32" s="128"/>
      <c r="R32" s="128"/>
      <c r="AA32" s="131"/>
      <c r="AB32" s="120"/>
    </row>
    <row r="33" spans="1:28" x14ac:dyDescent="0.2">
      <c r="A33" s="23"/>
      <c r="B33" s="31"/>
      <c r="C33" s="32"/>
      <c r="D33" s="141">
        <f>SUM(D23:D32)</f>
        <v>100.90230000000001</v>
      </c>
      <c r="E33" s="141">
        <f>SUM(E23:E32)</f>
        <v>0.60980199999999996</v>
      </c>
      <c r="F33" s="125">
        <f>1.45*24</f>
        <v>34.799999999999997</v>
      </c>
      <c r="G33" s="33" t="s">
        <v>372</v>
      </c>
      <c r="H33" s="226">
        <v>705</v>
      </c>
      <c r="I33" s="125">
        <v>469</v>
      </c>
      <c r="J33" s="33"/>
      <c r="K33" s="31"/>
      <c r="L33" s="33">
        <f>MIN(L23:L32)</f>
        <v>4</v>
      </c>
      <c r="M33" s="33">
        <f>MIN(M23:M32)</f>
        <v>4</v>
      </c>
      <c r="N33" s="34"/>
      <c r="O33" s="120"/>
      <c r="P33" s="199">
        <f>D33*(AA33/F33)*SUM(L33:M33)</f>
        <v>793.30084137931044</v>
      </c>
      <c r="Q33" s="199">
        <f>E33*AA33/F33*SUM(L33:M33)</f>
        <v>4.7943053793103436</v>
      </c>
      <c r="R33" s="199">
        <f>I33*(AA33/F33)</f>
        <v>460.91379310344826</v>
      </c>
      <c r="S33" s="243">
        <f>P33*$X$1</f>
        <v>79.330084137931053</v>
      </c>
      <c r="T33" s="243">
        <f>Q33*$X$1</f>
        <v>0.47943053793103441</v>
      </c>
      <c r="AA33" s="132">
        <f>'Water InOut'!D25</f>
        <v>34.199999999999996</v>
      </c>
      <c r="AB33" s="120" t="s">
        <v>372</v>
      </c>
    </row>
    <row r="34" spans="1:28" x14ac:dyDescent="0.2">
      <c r="A34" s="23"/>
      <c r="B34" s="24" t="s">
        <v>210</v>
      </c>
      <c r="C34" s="209" t="s">
        <v>211</v>
      </c>
      <c r="D34" s="210">
        <v>92.761200000000002</v>
      </c>
      <c r="E34" s="210">
        <v>0.14216599999999999</v>
      </c>
      <c r="F34" s="211"/>
      <c r="G34" s="211"/>
      <c r="H34" s="212"/>
      <c r="I34" s="212"/>
      <c r="J34" s="212">
        <v>142525.20000000001</v>
      </c>
      <c r="K34" s="212">
        <v>2</v>
      </c>
      <c r="L34" s="212">
        <v>1</v>
      </c>
      <c r="M34" s="213">
        <v>1</v>
      </c>
      <c r="N34" s="26"/>
      <c r="O34" s="119"/>
      <c r="AA34" s="130"/>
      <c r="AB34" s="119"/>
    </row>
    <row r="35" spans="1:28" x14ac:dyDescent="0.2">
      <c r="A35" s="23"/>
      <c r="B35" s="23"/>
      <c r="C35" s="209" t="s">
        <v>212</v>
      </c>
      <c r="D35" s="210">
        <v>23.088200000000001</v>
      </c>
      <c r="E35" s="210">
        <v>2.8603E-2</v>
      </c>
      <c r="F35" s="211"/>
      <c r="G35" s="211"/>
      <c r="H35" s="212"/>
      <c r="I35" s="212"/>
      <c r="J35" s="212">
        <v>27331.200000000001</v>
      </c>
      <c r="K35" s="212">
        <v>2.4</v>
      </c>
      <c r="L35" s="212">
        <v>1</v>
      </c>
      <c r="M35" s="213">
        <v>1</v>
      </c>
      <c r="N35" s="26"/>
      <c r="O35" s="119"/>
      <c r="AA35" s="130"/>
      <c r="AB35" s="119"/>
    </row>
    <row r="36" spans="1:28" x14ac:dyDescent="0.2">
      <c r="A36" s="23"/>
      <c r="B36" s="23"/>
      <c r="C36" s="209" t="s">
        <v>213</v>
      </c>
      <c r="D36" s="210">
        <v>47.582599999999999</v>
      </c>
      <c r="E36" s="210">
        <v>7.3065000000000005E-2</v>
      </c>
      <c r="F36" s="211"/>
      <c r="G36" s="211"/>
      <c r="H36" s="212"/>
      <c r="I36" s="212"/>
      <c r="J36" s="212">
        <v>90140.4</v>
      </c>
      <c r="K36" s="212">
        <v>4</v>
      </c>
      <c r="L36" s="212">
        <v>1</v>
      </c>
      <c r="M36" s="213">
        <v>1</v>
      </c>
      <c r="N36" s="26"/>
      <c r="O36" s="119"/>
      <c r="AA36" s="130"/>
      <c r="AB36" s="119"/>
    </row>
    <row r="37" spans="1:28" x14ac:dyDescent="0.2">
      <c r="A37" s="23"/>
      <c r="B37" s="23"/>
      <c r="C37" s="209" t="s">
        <v>214</v>
      </c>
      <c r="D37" s="210">
        <v>49.079500000000003</v>
      </c>
      <c r="E37" s="210">
        <v>0.115828</v>
      </c>
      <c r="F37" s="211"/>
      <c r="G37" s="211"/>
      <c r="H37" s="212"/>
      <c r="I37" s="212"/>
      <c r="J37" s="212">
        <v>181507.20000000001</v>
      </c>
      <c r="K37" s="212">
        <v>2</v>
      </c>
      <c r="L37" s="212">
        <v>1</v>
      </c>
      <c r="M37" s="213">
        <v>1</v>
      </c>
      <c r="N37" s="26"/>
      <c r="O37" s="119"/>
      <c r="AA37" s="130"/>
      <c r="AB37" s="119"/>
    </row>
    <row r="38" spans="1:28" x14ac:dyDescent="0.2">
      <c r="A38" s="23"/>
      <c r="B38" s="23"/>
      <c r="C38" s="209" t="s">
        <v>215</v>
      </c>
      <c r="D38" s="210">
        <v>15.377000000000001</v>
      </c>
      <c r="E38" s="210">
        <v>0.101102</v>
      </c>
      <c r="F38" s="211"/>
      <c r="G38" s="211"/>
      <c r="H38" s="212"/>
      <c r="I38" s="212"/>
      <c r="J38" s="212">
        <v>199640.4</v>
      </c>
      <c r="K38" s="212">
        <v>0.08</v>
      </c>
      <c r="L38" s="212">
        <v>1</v>
      </c>
      <c r="M38" s="213">
        <v>1</v>
      </c>
      <c r="N38" s="26"/>
      <c r="O38" s="119"/>
      <c r="AA38" s="130"/>
      <c r="AB38" s="119"/>
    </row>
    <row r="39" spans="1:28" x14ac:dyDescent="0.2">
      <c r="A39" s="23"/>
      <c r="B39" s="31"/>
      <c r="C39" s="215" t="s">
        <v>216</v>
      </c>
      <c r="D39" s="216">
        <v>16.783200000000001</v>
      </c>
      <c r="E39" s="216">
        <v>2.2939000000000001E-2</v>
      </c>
      <c r="F39" s="218"/>
      <c r="G39" s="218"/>
      <c r="H39" s="219"/>
      <c r="I39" s="219"/>
      <c r="J39" s="219">
        <v>384651.6</v>
      </c>
      <c r="K39" s="219">
        <v>1</v>
      </c>
      <c r="L39" s="219">
        <v>1</v>
      </c>
      <c r="M39" s="220">
        <v>1</v>
      </c>
      <c r="N39" s="34"/>
      <c r="O39" s="120"/>
      <c r="P39" s="128"/>
      <c r="Q39" s="128"/>
      <c r="R39" s="128"/>
      <c r="AA39" s="131"/>
      <c r="AB39" s="120"/>
    </row>
    <row r="40" spans="1:28" x14ac:dyDescent="0.2">
      <c r="A40" s="23"/>
      <c r="B40" s="31"/>
      <c r="C40" s="32"/>
      <c r="D40" s="141">
        <f>SUM(D34:D39)</f>
        <v>244.67170000000002</v>
      </c>
      <c r="E40" s="141">
        <f>SUM(E34:E39)</f>
        <v>0.48370299999999994</v>
      </c>
      <c r="F40" s="125">
        <v>8.4</v>
      </c>
      <c r="G40" s="33" t="s">
        <v>372</v>
      </c>
      <c r="H40" s="226">
        <v>315</v>
      </c>
      <c r="I40" s="125">
        <f>315*((18*8.4/13.6)/24)+56*(1-(18*8.4/13.6)/24)</f>
        <v>175.97794117647061</v>
      </c>
      <c r="J40" s="33"/>
      <c r="K40" s="33"/>
      <c r="L40" s="33">
        <f>MIN(L34:L39)</f>
        <v>1</v>
      </c>
      <c r="M40" s="33">
        <f>MIN(M34:M39)</f>
        <v>1</v>
      </c>
      <c r="N40" s="34"/>
      <c r="O40" s="120"/>
      <c r="P40" s="199">
        <f>D40*(AA40/F40)*SUM(L40:M40)</f>
        <v>2202.0453000000002</v>
      </c>
      <c r="Q40" s="199">
        <f>E40*AA40/F40*SUM(L40:M40)</f>
        <v>4.3533270000000002</v>
      </c>
      <c r="R40" s="199">
        <f>I40*(AA40/F40)</f>
        <v>791.90073529411779</v>
      </c>
      <c r="S40" s="243">
        <f>P40*$X$1</f>
        <v>220.20453000000003</v>
      </c>
      <c r="T40" s="243">
        <f>Q40*$X$1</f>
        <v>0.43533270000000002</v>
      </c>
      <c r="AA40" s="132">
        <f>'Water InOut'!D29</f>
        <v>37.800000000000004</v>
      </c>
      <c r="AB40" s="33" t="s">
        <v>372</v>
      </c>
    </row>
    <row r="41" spans="1:28" x14ac:dyDescent="0.2">
      <c r="A41" s="23"/>
      <c r="B41" s="24" t="s">
        <v>217</v>
      </c>
      <c r="C41" s="209" t="s">
        <v>218</v>
      </c>
      <c r="D41" s="210">
        <v>67.042000000000002</v>
      </c>
      <c r="E41" s="210">
        <v>0.11554499999999999</v>
      </c>
      <c r="F41" s="211"/>
      <c r="G41" s="211"/>
      <c r="H41" s="212"/>
      <c r="I41" s="212"/>
      <c r="J41" s="212">
        <v>25579.200000000001</v>
      </c>
      <c r="K41" s="212">
        <v>2.25</v>
      </c>
      <c r="L41" s="212">
        <v>1</v>
      </c>
      <c r="M41" s="213">
        <v>1</v>
      </c>
      <c r="N41" s="26"/>
      <c r="O41" s="119"/>
      <c r="AA41" s="130"/>
      <c r="AB41" s="37"/>
    </row>
    <row r="42" spans="1:28" x14ac:dyDescent="0.2">
      <c r="A42" s="23"/>
      <c r="B42" s="23"/>
      <c r="C42" s="209" t="s">
        <v>219</v>
      </c>
      <c r="D42" s="210">
        <v>39.145600000000002</v>
      </c>
      <c r="E42" s="210">
        <v>6.5985000000000002E-2</v>
      </c>
      <c r="F42" s="211"/>
      <c r="G42" s="211"/>
      <c r="H42" s="212"/>
      <c r="I42" s="212"/>
      <c r="J42" s="212">
        <v>84008.4</v>
      </c>
      <c r="K42" s="212">
        <v>1</v>
      </c>
      <c r="L42" s="212">
        <v>1</v>
      </c>
      <c r="M42" s="213">
        <v>1</v>
      </c>
      <c r="N42" s="26"/>
      <c r="O42" s="119"/>
      <c r="AA42" s="130"/>
      <c r="AB42" s="37"/>
    </row>
    <row r="43" spans="1:28" x14ac:dyDescent="0.2">
      <c r="A43" s="23"/>
      <c r="B43" s="23"/>
      <c r="C43" s="209" t="s">
        <v>220</v>
      </c>
      <c r="D43" s="210">
        <v>13.0183</v>
      </c>
      <c r="E43" s="210">
        <v>1.7274999999999999E-2</v>
      </c>
      <c r="F43" s="211"/>
      <c r="G43" s="211"/>
      <c r="H43" s="212"/>
      <c r="I43" s="212"/>
      <c r="J43" s="212">
        <v>296701.2</v>
      </c>
      <c r="K43" s="212">
        <v>0.16</v>
      </c>
      <c r="L43" s="212">
        <v>1</v>
      </c>
      <c r="M43" s="213">
        <v>1</v>
      </c>
      <c r="N43" s="26"/>
      <c r="O43" s="119"/>
      <c r="AA43" s="130"/>
      <c r="AB43" s="119"/>
    </row>
    <row r="44" spans="1:28" x14ac:dyDescent="0.2">
      <c r="A44" s="23"/>
      <c r="B44" s="23"/>
      <c r="C44" s="209" t="s">
        <v>221</v>
      </c>
      <c r="D44" s="210">
        <v>5.7606999999999999</v>
      </c>
      <c r="E44" s="210">
        <v>6.5129999999999997E-3</v>
      </c>
      <c r="F44" s="211"/>
      <c r="G44" s="211"/>
      <c r="H44" s="212"/>
      <c r="I44" s="212"/>
      <c r="J44" s="212">
        <v>143488.79999999999</v>
      </c>
      <c r="K44" s="212">
        <v>1</v>
      </c>
      <c r="L44" s="212">
        <v>1</v>
      </c>
      <c r="M44" s="213">
        <v>1</v>
      </c>
      <c r="N44" s="26"/>
      <c r="O44" s="119"/>
      <c r="AA44" s="130"/>
      <c r="AB44" s="119"/>
    </row>
    <row r="45" spans="1:28" x14ac:dyDescent="0.2">
      <c r="A45" s="23"/>
      <c r="B45" s="23"/>
      <c r="C45" s="209" t="s">
        <v>222</v>
      </c>
      <c r="D45" s="210">
        <v>149.23439999999999</v>
      </c>
      <c r="E45" s="210">
        <v>6.5701999999999997E-2</v>
      </c>
      <c r="F45" s="211"/>
      <c r="G45" s="211"/>
      <c r="H45" s="212"/>
      <c r="I45" s="212"/>
      <c r="J45" s="212">
        <v>296701.2</v>
      </c>
      <c r="K45" s="212">
        <v>0.36</v>
      </c>
      <c r="L45" s="212">
        <v>1</v>
      </c>
      <c r="M45" s="213">
        <v>1</v>
      </c>
      <c r="N45" s="26"/>
      <c r="O45" s="119"/>
      <c r="AA45" s="130"/>
      <c r="AB45" s="119"/>
    </row>
    <row r="46" spans="1:28" x14ac:dyDescent="0.2">
      <c r="A46" s="23"/>
      <c r="B46" s="23"/>
      <c r="C46" s="209" t="s">
        <v>223</v>
      </c>
      <c r="D46" s="210">
        <v>149.23439999999999</v>
      </c>
      <c r="E46" s="210">
        <v>6.5701999999999997E-2</v>
      </c>
      <c r="F46" s="211"/>
      <c r="G46" s="211"/>
      <c r="H46" s="212"/>
      <c r="I46" s="212"/>
      <c r="J46" s="212">
        <v>296701.2</v>
      </c>
      <c r="K46" s="212">
        <v>0.36</v>
      </c>
      <c r="L46" s="212">
        <v>1</v>
      </c>
      <c r="M46" s="213">
        <v>1</v>
      </c>
      <c r="N46" s="26"/>
      <c r="O46" s="119"/>
      <c r="AA46" s="130"/>
      <c r="AB46" s="119"/>
    </row>
    <row r="47" spans="1:28" x14ac:dyDescent="0.2">
      <c r="A47" s="23"/>
      <c r="B47" s="23"/>
      <c r="C47" s="209" t="s">
        <v>224</v>
      </c>
      <c r="D47" s="210">
        <v>32.250900000000001</v>
      </c>
      <c r="E47" s="210">
        <v>7.1649000000000004E-2</v>
      </c>
      <c r="F47" s="211"/>
      <c r="G47" s="211"/>
      <c r="H47" s="212"/>
      <c r="I47" s="212"/>
      <c r="J47" s="212">
        <v>717356.4</v>
      </c>
      <c r="K47" s="212">
        <v>0.22</v>
      </c>
      <c r="L47" s="212">
        <v>1</v>
      </c>
      <c r="M47" s="213">
        <v>1</v>
      </c>
      <c r="N47" s="26"/>
      <c r="O47" s="119"/>
      <c r="AA47" s="130"/>
      <c r="AB47" s="119"/>
    </row>
    <row r="48" spans="1:28" x14ac:dyDescent="0.2">
      <c r="A48" s="23"/>
      <c r="B48" s="23"/>
      <c r="C48" s="209" t="s">
        <v>225</v>
      </c>
      <c r="D48" s="210">
        <v>2.5400999999999998</v>
      </c>
      <c r="E48" s="210">
        <v>2.5479999999999999E-3</v>
      </c>
      <c r="F48" s="211"/>
      <c r="G48" s="211"/>
      <c r="H48" s="212"/>
      <c r="I48" s="212"/>
      <c r="J48" s="212">
        <v>137181.6</v>
      </c>
      <c r="K48" s="212">
        <v>1</v>
      </c>
      <c r="L48" s="212">
        <v>1</v>
      </c>
      <c r="M48" s="213">
        <v>1</v>
      </c>
      <c r="N48" s="26"/>
      <c r="O48" s="119"/>
      <c r="AA48" s="130"/>
      <c r="AB48" s="119"/>
    </row>
    <row r="49" spans="1:28" x14ac:dyDescent="0.2">
      <c r="A49" s="23"/>
      <c r="B49" s="23"/>
      <c r="C49" s="209" t="s">
        <v>187</v>
      </c>
      <c r="D49" s="210">
        <v>44.997100000000003</v>
      </c>
      <c r="E49" s="210">
        <v>8.3826999999999999E-2</v>
      </c>
      <c r="F49" s="211"/>
      <c r="G49" s="211"/>
      <c r="H49" s="212"/>
      <c r="I49" s="212"/>
      <c r="J49" s="212">
        <v>87950.399999999994</v>
      </c>
      <c r="K49" s="212">
        <v>7.72</v>
      </c>
      <c r="L49" s="212">
        <v>1</v>
      </c>
      <c r="M49" s="213">
        <v>1</v>
      </c>
      <c r="N49" s="26"/>
      <c r="O49" s="119"/>
      <c r="AA49" s="130"/>
      <c r="AB49" s="119"/>
    </row>
    <row r="50" spans="1:28" x14ac:dyDescent="0.2">
      <c r="A50" s="23"/>
      <c r="B50" s="23"/>
      <c r="C50" s="209" t="s">
        <v>226</v>
      </c>
      <c r="D50" s="210">
        <v>31.343699999999998</v>
      </c>
      <c r="E50" s="210">
        <v>8.6942000000000005E-2</v>
      </c>
      <c r="F50" s="211"/>
      <c r="G50" s="211"/>
      <c r="H50" s="212"/>
      <c r="I50" s="212"/>
      <c r="J50" s="212">
        <v>42398.400000000001</v>
      </c>
      <c r="K50" s="212">
        <v>2</v>
      </c>
      <c r="L50" s="212">
        <v>1</v>
      </c>
      <c r="M50" s="213">
        <v>1</v>
      </c>
      <c r="N50" s="26"/>
      <c r="O50" s="119"/>
      <c r="AA50" s="130"/>
      <c r="AB50" s="119"/>
    </row>
    <row r="51" spans="1:28" x14ac:dyDescent="0.2">
      <c r="A51" s="23"/>
      <c r="B51" s="23"/>
      <c r="C51" s="209" t="s">
        <v>227</v>
      </c>
      <c r="D51" s="210">
        <v>16.828499999999998</v>
      </c>
      <c r="E51" s="210">
        <v>4.2479999999999997E-2</v>
      </c>
      <c r="F51" s="211"/>
      <c r="G51" s="211"/>
      <c r="H51" s="212"/>
      <c r="I51" s="212"/>
      <c r="J51" s="212">
        <v>56677.2</v>
      </c>
      <c r="K51" s="212">
        <v>1</v>
      </c>
      <c r="L51" s="212">
        <v>1</v>
      </c>
      <c r="M51" s="213">
        <v>1</v>
      </c>
      <c r="N51" s="26"/>
      <c r="O51" s="119"/>
      <c r="AA51" s="130"/>
      <c r="AB51" s="119"/>
    </row>
    <row r="52" spans="1:28" x14ac:dyDescent="0.2">
      <c r="A52" s="23"/>
      <c r="B52" s="23"/>
      <c r="C52" s="209" t="s">
        <v>228</v>
      </c>
      <c r="D52" s="210">
        <v>4.8080999999999996</v>
      </c>
      <c r="E52" s="210">
        <v>3.398E-3</v>
      </c>
      <c r="F52" s="211"/>
      <c r="G52" s="211"/>
      <c r="H52" s="212"/>
      <c r="I52" s="212"/>
      <c r="J52" s="212">
        <v>143664</v>
      </c>
      <c r="K52" s="212">
        <v>10</v>
      </c>
      <c r="L52" s="212">
        <v>1</v>
      </c>
      <c r="M52" s="213">
        <v>1</v>
      </c>
      <c r="N52" s="26"/>
      <c r="O52" s="119"/>
      <c r="AA52" s="130"/>
      <c r="AB52" s="119"/>
    </row>
    <row r="53" spans="1:28" x14ac:dyDescent="0.2">
      <c r="A53" s="23"/>
      <c r="B53" s="23"/>
      <c r="C53" s="209" t="s">
        <v>229</v>
      </c>
      <c r="D53" s="210">
        <v>7.6657999999999999</v>
      </c>
      <c r="E53" s="210">
        <v>1.0194999999999999E-2</v>
      </c>
      <c r="F53" s="211"/>
      <c r="G53" s="211"/>
      <c r="H53" s="212"/>
      <c r="I53" s="212"/>
      <c r="J53" s="212">
        <v>359072.4</v>
      </c>
      <c r="K53" s="212">
        <v>0.84</v>
      </c>
      <c r="L53" s="212">
        <v>1</v>
      </c>
      <c r="M53" s="213">
        <v>1</v>
      </c>
      <c r="N53" s="26"/>
      <c r="O53" s="119"/>
      <c r="AA53" s="130"/>
      <c r="AB53" s="119"/>
    </row>
    <row r="54" spans="1:28" x14ac:dyDescent="0.2">
      <c r="A54" s="23"/>
      <c r="B54" s="23"/>
      <c r="C54" s="209" t="s">
        <v>230</v>
      </c>
      <c r="D54" s="210">
        <v>9.4347999999999992</v>
      </c>
      <c r="E54" s="210">
        <v>1.8408000000000001E-2</v>
      </c>
      <c r="F54" s="211"/>
      <c r="G54" s="211"/>
      <c r="H54" s="212"/>
      <c r="I54" s="212"/>
      <c r="J54" s="212">
        <v>226884</v>
      </c>
      <c r="K54" s="212">
        <v>19.920000000000002</v>
      </c>
      <c r="L54" s="212">
        <v>1</v>
      </c>
      <c r="M54" s="213">
        <v>1</v>
      </c>
      <c r="N54" s="26"/>
      <c r="O54" s="119"/>
      <c r="AA54" s="130"/>
      <c r="AB54" s="119"/>
    </row>
    <row r="55" spans="1:28" x14ac:dyDescent="0.2">
      <c r="A55" s="23"/>
      <c r="B55" s="31"/>
      <c r="C55" s="215" t="s">
        <v>231</v>
      </c>
      <c r="D55" s="216">
        <v>47.537199999999999</v>
      </c>
      <c r="E55" s="216">
        <v>9.7420000000000007E-2</v>
      </c>
      <c r="F55" s="218"/>
      <c r="G55" s="218"/>
      <c r="H55" s="219"/>
      <c r="I55" s="219"/>
      <c r="J55" s="219">
        <v>64561.2</v>
      </c>
      <c r="K55" s="219">
        <v>5</v>
      </c>
      <c r="L55" s="219">
        <v>1</v>
      </c>
      <c r="M55" s="220">
        <v>1</v>
      </c>
      <c r="N55" s="34"/>
      <c r="O55" s="120"/>
      <c r="P55" s="128"/>
      <c r="Q55" s="128"/>
      <c r="R55" s="128"/>
      <c r="AA55" s="131"/>
      <c r="AB55" s="120"/>
    </row>
    <row r="56" spans="1:28" x14ac:dyDescent="0.2">
      <c r="A56" s="23"/>
      <c r="B56" s="31"/>
      <c r="C56" s="32"/>
      <c r="D56" s="141">
        <f>SUM(D41:D55)</f>
        <v>620.84159999999986</v>
      </c>
      <c r="E56" s="141">
        <f>SUM(E41:E55)</f>
        <v>0.75358899999999984</v>
      </c>
      <c r="F56" s="125">
        <v>93.4</v>
      </c>
      <c r="G56" s="33" t="s">
        <v>372</v>
      </c>
      <c r="H56" s="226">
        <v>320</v>
      </c>
      <c r="I56" s="125">
        <f>320*((93.4/5.9)/24)+133*(1-(93.4/5.9)/24)</f>
        <v>256.34604519774012</v>
      </c>
      <c r="J56" s="33"/>
      <c r="K56" s="33"/>
      <c r="L56" s="33">
        <f>MIN(L41:L55)</f>
        <v>1</v>
      </c>
      <c r="M56" s="33">
        <f>MIN(M41:M55)</f>
        <v>1</v>
      </c>
      <c r="N56" s="34"/>
      <c r="O56" s="120"/>
      <c r="P56" s="199">
        <f>D56*(AA56/F56)*SUM(L56:M56)</f>
        <v>6471.2367933855758</v>
      </c>
      <c r="Q56" s="199">
        <f>E56*AA56/F56*SUM(L56:M56)</f>
        <v>7.8549067328778284</v>
      </c>
      <c r="R56" s="199">
        <f>I56*(AA56/F56)</f>
        <v>1335.9896948935914</v>
      </c>
      <c r="S56" s="243">
        <f>P56*$X$1</f>
        <v>647.12367933855762</v>
      </c>
      <c r="T56" s="243">
        <f>Q56*$X$1</f>
        <v>0.78549067328778288</v>
      </c>
      <c r="AA56" s="132">
        <f>-'Water InOut'!D38</f>
        <v>486.76950489642849</v>
      </c>
      <c r="AB56" s="33" t="s">
        <v>372</v>
      </c>
    </row>
    <row r="57" spans="1:28" x14ac:dyDescent="0.2">
      <c r="A57" s="23"/>
      <c r="B57" s="24" t="s">
        <v>232</v>
      </c>
      <c r="C57" s="209" t="s">
        <v>233</v>
      </c>
      <c r="D57" s="210">
        <v>120</v>
      </c>
      <c r="E57" s="210">
        <v>0.20799999999999999</v>
      </c>
      <c r="F57" s="211"/>
      <c r="G57" s="211"/>
      <c r="H57" s="212"/>
      <c r="I57" s="212"/>
      <c r="J57" s="221">
        <v>50000</v>
      </c>
      <c r="K57" s="214"/>
      <c r="L57" s="212">
        <v>1</v>
      </c>
      <c r="M57" s="224">
        <f t="shared" ref="M57:M63" si="0">L57</f>
        <v>1</v>
      </c>
      <c r="N57" s="26"/>
      <c r="O57" s="119"/>
      <c r="AA57" s="130"/>
      <c r="AB57" s="119"/>
    </row>
    <row r="58" spans="1:28" x14ac:dyDescent="0.2">
      <c r="A58" s="23"/>
      <c r="B58" s="23"/>
      <c r="C58" s="209" t="s">
        <v>200</v>
      </c>
      <c r="D58" s="210">
        <v>49.71</v>
      </c>
      <c r="E58" s="210">
        <v>0.393293</v>
      </c>
      <c r="F58" s="211"/>
      <c r="G58" s="211"/>
      <c r="H58" s="212"/>
      <c r="I58" s="212"/>
      <c r="J58" s="221">
        <v>832600</v>
      </c>
      <c r="K58" s="214"/>
      <c r="L58" s="212">
        <v>1</v>
      </c>
      <c r="M58" s="224">
        <f t="shared" si="0"/>
        <v>1</v>
      </c>
      <c r="N58" s="26"/>
      <c r="O58" s="119"/>
      <c r="AA58" s="130"/>
      <c r="AB58" s="119"/>
    </row>
    <row r="59" spans="1:28" x14ac:dyDescent="0.2">
      <c r="A59" s="23"/>
      <c r="B59" s="23"/>
      <c r="C59" s="209" t="s">
        <v>234</v>
      </c>
      <c r="D59" s="210">
        <v>11.93</v>
      </c>
      <c r="E59" s="210">
        <v>5.8285000000000003E-2</v>
      </c>
      <c r="F59" s="211"/>
      <c r="G59" s="211"/>
      <c r="H59" s="212"/>
      <c r="I59" s="212"/>
      <c r="J59" s="221">
        <v>131000</v>
      </c>
      <c r="K59" s="212">
        <v>5</v>
      </c>
      <c r="L59" s="212">
        <v>1</v>
      </c>
      <c r="M59" s="224">
        <f t="shared" si="0"/>
        <v>1</v>
      </c>
      <c r="N59" s="26"/>
      <c r="O59" s="119"/>
      <c r="AA59" s="130"/>
      <c r="AB59" s="119"/>
    </row>
    <row r="60" spans="1:28" x14ac:dyDescent="0.2">
      <c r="A60" s="23"/>
      <c r="B60" s="23"/>
      <c r="C60" s="209" t="s">
        <v>235</v>
      </c>
      <c r="D60" s="210">
        <v>3.0390000000000001</v>
      </c>
      <c r="E60" s="210">
        <v>1.699E-3</v>
      </c>
      <c r="F60" s="211"/>
      <c r="G60" s="211"/>
      <c r="H60" s="212"/>
      <c r="I60" s="212"/>
      <c r="J60" s="221">
        <v>117000</v>
      </c>
      <c r="K60" s="212">
        <v>10.61</v>
      </c>
      <c r="L60" s="212">
        <v>7</v>
      </c>
      <c r="M60" s="224">
        <f t="shared" si="0"/>
        <v>7</v>
      </c>
      <c r="N60" s="26"/>
      <c r="O60" s="119"/>
      <c r="AA60" s="130"/>
      <c r="AB60" s="119"/>
    </row>
    <row r="61" spans="1:28" x14ac:dyDescent="0.2">
      <c r="A61" s="23"/>
      <c r="B61" s="23"/>
      <c r="C61" s="209" t="s">
        <v>236</v>
      </c>
      <c r="D61" s="210">
        <v>4.8080999999999996</v>
      </c>
      <c r="E61" s="210">
        <v>3.398E-3</v>
      </c>
      <c r="F61" s="211"/>
      <c r="G61" s="211"/>
      <c r="H61" s="212"/>
      <c r="I61" s="212"/>
      <c r="J61" s="221">
        <v>143664</v>
      </c>
      <c r="K61" s="212">
        <v>10</v>
      </c>
      <c r="L61" s="212">
        <v>1</v>
      </c>
      <c r="M61" s="224">
        <f t="shared" si="0"/>
        <v>1</v>
      </c>
      <c r="N61" s="26"/>
      <c r="O61" s="119"/>
      <c r="AA61" s="130"/>
      <c r="AB61" s="119"/>
    </row>
    <row r="62" spans="1:28" x14ac:dyDescent="0.2">
      <c r="A62" s="23"/>
      <c r="B62" s="23"/>
      <c r="C62" s="209" t="s">
        <v>237</v>
      </c>
      <c r="D62" s="210">
        <v>3</v>
      </c>
      <c r="E62" s="210">
        <v>5.3E-3</v>
      </c>
      <c r="F62" s="211"/>
      <c r="G62" s="211"/>
      <c r="H62" s="213"/>
      <c r="I62" s="213"/>
      <c r="J62" s="221">
        <v>103280.4</v>
      </c>
      <c r="K62" s="212">
        <v>7.72</v>
      </c>
      <c r="L62" s="212">
        <v>1</v>
      </c>
      <c r="M62" s="224">
        <f t="shared" si="0"/>
        <v>1</v>
      </c>
      <c r="N62" s="26"/>
      <c r="O62" s="119"/>
      <c r="AA62" s="130"/>
      <c r="AB62" s="119"/>
    </row>
    <row r="63" spans="1:28" x14ac:dyDescent="0.2">
      <c r="A63" s="23"/>
      <c r="B63" s="31"/>
      <c r="C63" s="215" t="s">
        <v>238</v>
      </c>
      <c r="D63" s="216">
        <v>27</v>
      </c>
      <c r="E63" s="216">
        <f>(D63/D17)*E17</f>
        <v>6.9277603285817835E-2</v>
      </c>
      <c r="F63" s="218"/>
      <c r="G63" s="218"/>
      <c r="H63" s="220"/>
      <c r="I63" s="220"/>
      <c r="J63" s="222">
        <v>66666.7</v>
      </c>
      <c r="K63" s="223"/>
      <c r="L63" s="219">
        <v>1</v>
      </c>
      <c r="M63" s="225">
        <f t="shared" si="0"/>
        <v>1</v>
      </c>
      <c r="N63" s="34"/>
      <c r="O63" s="120"/>
      <c r="P63" s="128"/>
      <c r="Q63" s="128"/>
      <c r="R63" s="128"/>
      <c r="AA63" s="131"/>
      <c r="AB63" s="120"/>
    </row>
    <row r="64" spans="1:28" x14ac:dyDescent="0.2">
      <c r="A64" s="23"/>
      <c r="B64" s="31"/>
      <c r="C64" s="32"/>
      <c r="D64" s="141">
        <f>SUM(D57:D63)</f>
        <v>219.4871</v>
      </c>
      <c r="E64" s="142">
        <f>SUM(E57:E63)</f>
        <v>0.73925260328581777</v>
      </c>
      <c r="F64" s="169">
        <f>(1.9/2.2)*(24*52/(52+37))</f>
        <v>12.110316649642492</v>
      </c>
      <c r="G64" s="33" t="s">
        <v>372</v>
      </c>
      <c r="H64" s="151">
        <f>106+500+80</f>
        <v>686</v>
      </c>
      <c r="I64" s="151">
        <f>H64*52/(52+37)</f>
        <v>400.80898876404495</v>
      </c>
      <c r="J64" s="33"/>
      <c r="K64" s="31"/>
      <c r="L64" s="33">
        <f>MIN(L57:L63)</f>
        <v>1</v>
      </c>
      <c r="M64" s="33">
        <f>MIN(M58:M63)</f>
        <v>1</v>
      </c>
      <c r="N64" s="34"/>
      <c r="O64" s="120"/>
      <c r="P64" s="199">
        <f>D64*(AA64/F64)*SUM(L64:M64)</f>
        <v>677.56724992488</v>
      </c>
      <c r="Q64" s="199">
        <f>E64*AA64/F64*SUM(L64:M64)</f>
        <v>2.2821083945625045</v>
      </c>
      <c r="R64" s="199">
        <f>I64*(AA64/F64)</f>
        <v>618.65832721382276</v>
      </c>
      <c r="S64" s="243">
        <f>P64*$X$1</f>
        <v>67.756724992488003</v>
      </c>
      <c r="T64" s="243">
        <f>Q64*$X$1</f>
        <v>0.22821083945625045</v>
      </c>
      <c r="AA64" s="132">
        <f>'Gas InOut'!D37</f>
        <v>18.692565412768563</v>
      </c>
      <c r="AB64" s="33" t="s">
        <v>372</v>
      </c>
    </row>
    <row r="65" spans="1:28" x14ac:dyDescent="0.2">
      <c r="A65" s="23"/>
      <c r="B65" s="29" t="s">
        <v>239</v>
      </c>
      <c r="C65" s="209" t="s">
        <v>190</v>
      </c>
      <c r="D65" s="210">
        <v>10.886100000000001</v>
      </c>
      <c r="E65" s="210">
        <v>4.5310000000000003E-3</v>
      </c>
      <c r="F65" s="211"/>
      <c r="G65" s="211"/>
      <c r="H65" s="212"/>
      <c r="I65" s="212"/>
      <c r="J65" s="221">
        <v>156200</v>
      </c>
      <c r="K65" s="212">
        <v>15.29</v>
      </c>
      <c r="L65" s="213">
        <v>1</v>
      </c>
      <c r="M65" s="213">
        <v>1</v>
      </c>
      <c r="N65" s="27">
        <v>0</v>
      </c>
      <c r="O65" s="121">
        <v>0</v>
      </c>
      <c r="AA65" s="133"/>
      <c r="AB65" s="121"/>
    </row>
    <row r="66" spans="1:28" x14ac:dyDescent="0.2">
      <c r="A66" s="23"/>
      <c r="B66" s="23"/>
      <c r="C66" s="209" t="s">
        <v>191</v>
      </c>
      <c r="D66" s="210">
        <v>5.58</v>
      </c>
      <c r="E66" s="210">
        <v>0.03</v>
      </c>
      <c r="F66" s="211"/>
      <c r="G66" s="211"/>
      <c r="H66" s="212"/>
      <c r="I66" s="212"/>
      <c r="J66" s="221">
        <v>129700</v>
      </c>
      <c r="K66" s="212">
        <v>10</v>
      </c>
      <c r="L66" s="213">
        <v>1</v>
      </c>
      <c r="M66" s="213">
        <v>1</v>
      </c>
      <c r="N66" s="27">
        <v>0</v>
      </c>
      <c r="O66" s="121">
        <v>0</v>
      </c>
      <c r="AA66" s="133"/>
      <c r="AB66" s="121"/>
    </row>
    <row r="67" spans="1:28" x14ac:dyDescent="0.2">
      <c r="A67" s="23"/>
      <c r="B67" s="23"/>
      <c r="C67" s="209" t="s">
        <v>192</v>
      </c>
      <c r="D67" s="210">
        <v>39.915900000000001</v>
      </c>
      <c r="E67" s="210">
        <v>0.17841599999999999</v>
      </c>
      <c r="F67" s="211"/>
      <c r="G67" s="211"/>
      <c r="H67" s="212"/>
      <c r="I67" s="212"/>
      <c r="J67" s="221">
        <v>32900</v>
      </c>
      <c r="K67" s="214"/>
      <c r="L67" s="213">
        <v>1</v>
      </c>
      <c r="M67" s="213">
        <v>1</v>
      </c>
      <c r="N67" s="27">
        <v>0</v>
      </c>
      <c r="O67" s="121">
        <v>0</v>
      </c>
      <c r="AA67" s="133"/>
      <c r="AB67" s="121"/>
    </row>
    <row r="68" spans="1:28" x14ac:dyDescent="0.2">
      <c r="A68" s="23"/>
      <c r="B68" s="23"/>
      <c r="C68" s="209" t="s">
        <v>193</v>
      </c>
      <c r="D68" s="210">
        <v>42.638399999999997</v>
      </c>
      <c r="E68" s="210">
        <v>8.4959999999999994E-2</v>
      </c>
      <c r="F68" s="211"/>
      <c r="G68" s="211"/>
      <c r="H68" s="212"/>
      <c r="I68" s="212"/>
      <c r="J68" s="221">
        <v>77100</v>
      </c>
      <c r="K68" s="214"/>
      <c r="L68" s="213">
        <v>2</v>
      </c>
      <c r="M68" s="213">
        <v>2</v>
      </c>
      <c r="N68" s="27">
        <v>0</v>
      </c>
      <c r="O68" s="121">
        <v>0</v>
      </c>
      <c r="AA68" s="133"/>
      <c r="AB68" s="121"/>
    </row>
    <row r="69" spans="1:28" x14ac:dyDescent="0.2">
      <c r="A69" s="23"/>
      <c r="B69" s="23"/>
      <c r="C69" s="209" t="s">
        <v>194</v>
      </c>
      <c r="D69" s="210">
        <v>3.3111999999999999</v>
      </c>
      <c r="E69" s="210">
        <v>8.4960000000000001E-3</v>
      </c>
      <c r="F69" s="211"/>
      <c r="G69" s="211"/>
      <c r="H69" s="212"/>
      <c r="I69" s="212"/>
      <c r="J69" s="221">
        <v>242700</v>
      </c>
      <c r="K69" s="214"/>
      <c r="L69" s="213">
        <v>2</v>
      </c>
      <c r="M69" s="213">
        <v>2</v>
      </c>
      <c r="N69" s="27">
        <v>0</v>
      </c>
      <c r="O69" s="121">
        <v>0</v>
      </c>
      <c r="AA69" s="133"/>
      <c r="AB69" s="121"/>
    </row>
    <row r="70" spans="1:28" x14ac:dyDescent="0.2">
      <c r="A70" s="23"/>
      <c r="B70" s="23"/>
      <c r="C70" s="209" t="s">
        <v>195</v>
      </c>
      <c r="D70" s="210">
        <v>5.5792000000000002</v>
      </c>
      <c r="E70" s="210">
        <v>2.5488E-2</v>
      </c>
      <c r="F70" s="211"/>
      <c r="G70" s="211"/>
      <c r="H70" s="212"/>
      <c r="I70" s="212"/>
      <c r="J70" s="221">
        <v>129700</v>
      </c>
      <c r="K70" s="212">
        <v>10</v>
      </c>
      <c r="L70" s="213">
        <v>1</v>
      </c>
      <c r="M70" s="213">
        <v>1</v>
      </c>
      <c r="N70" s="27">
        <v>0</v>
      </c>
      <c r="O70" s="121">
        <v>0</v>
      </c>
      <c r="AA70" s="133"/>
      <c r="AB70" s="121"/>
    </row>
    <row r="71" spans="1:28" x14ac:dyDescent="0.2">
      <c r="A71" s="23"/>
      <c r="B71" s="23"/>
      <c r="C71" s="209" t="s">
        <v>196</v>
      </c>
      <c r="D71" s="210">
        <v>2.7214999999999998</v>
      </c>
      <c r="E71" s="210">
        <v>5.6639999999999998E-3</v>
      </c>
      <c r="F71" s="211"/>
      <c r="G71" s="211"/>
      <c r="H71" s="212"/>
      <c r="I71" s="212"/>
      <c r="J71" s="221">
        <v>2270000</v>
      </c>
      <c r="K71" s="214"/>
      <c r="L71" s="213">
        <v>2</v>
      </c>
      <c r="M71" s="213">
        <v>2</v>
      </c>
      <c r="N71" s="27">
        <v>0</v>
      </c>
      <c r="O71" s="121">
        <v>0</v>
      </c>
      <c r="AA71" s="133"/>
      <c r="AB71" s="121"/>
    </row>
    <row r="72" spans="1:28" x14ac:dyDescent="0.2">
      <c r="A72" s="23"/>
      <c r="B72" s="23"/>
      <c r="C72" s="209" t="s">
        <v>197</v>
      </c>
      <c r="D72" s="210">
        <v>3.0390000000000001</v>
      </c>
      <c r="E72" s="210">
        <v>1.699E-3</v>
      </c>
      <c r="F72" s="211"/>
      <c r="G72" s="211"/>
      <c r="H72" s="212"/>
      <c r="I72" s="212"/>
      <c r="J72" s="221">
        <v>117000</v>
      </c>
      <c r="K72" s="212">
        <v>10.61</v>
      </c>
      <c r="L72" s="213">
        <v>6</v>
      </c>
      <c r="M72" s="213">
        <v>6</v>
      </c>
      <c r="N72" s="27">
        <v>0</v>
      </c>
      <c r="O72" s="121">
        <v>0</v>
      </c>
      <c r="AA72" s="133"/>
      <c r="AB72" s="121"/>
    </row>
    <row r="73" spans="1:28" x14ac:dyDescent="0.2">
      <c r="A73" s="23"/>
      <c r="B73" s="23"/>
      <c r="C73" s="209" t="s">
        <v>198</v>
      </c>
      <c r="D73" s="210">
        <v>42.638399999999997</v>
      </c>
      <c r="E73" s="210">
        <v>8.4959999999999994E-2</v>
      </c>
      <c r="F73" s="211"/>
      <c r="G73" s="211"/>
      <c r="H73" s="212"/>
      <c r="I73" s="212"/>
      <c r="J73" s="221">
        <v>77100</v>
      </c>
      <c r="K73" s="212">
        <v>2.2799999999999998</v>
      </c>
      <c r="L73" s="213">
        <v>2</v>
      </c>
      <c r="M73" s="213">
        <v>2</v>
      </c>
      <c r="N73" s="27">
        <v>0</v>
      </c>
      <c r="O73" s="121">
        <v>0</v>
      </c>
      <c r="AA73" s="133"/>
      <c r="AB73" s="121"/>
    </row>
    <row r="74" spans="1:28" x14ac:dyDescent="0.2">
      <c r="A74" s="23"/>
      <c r="B74" s="31"/>
      <c r="C74" s="215" t="s">
        <v>240</v>
      </c>
      <c r="D74" s="216">
        <v>4.75</v>
      </c>
      <c r="E74" s="216">
        <v>2.75E-2</v>
      </c>
      <c r="F74" s="218"/>
      <c r="G74" s="218"/>
      <c r="H74" s="220"/>
      <c r="I74" s="220"/>
      <c r="J74" s="222">
        <v>66666.7</v>
      </c>
      <c r="K74" s="223"/>
      <c r="L74" s="219">
        <v>1</v>
      </c>
      <c r="M74" s="220">
        <v>1</v>
      </c>
      <c r="N74" s="35">
        <v>0</v>
      </c>
      <c r="O74" s="122">
        <v>0</v>
      </c>
      <c r="P74" s="128"/>
      <c r="Q74" s="128"/>
      <c r="R74" s="128"/>
      <c r="AA74" s="134"/>
      <c r="AB74" s="122"/>
    </row>
    <row r="75" spans="1:28" x14ac:dyDescent="0.2">
      <c r="A75" s="23"/>
      <c r="B75" s="31"/>
      <c r="C75" s="32"/>
      <c r="D75" s="142">
        <f>SUM(D65:D74)</f>
        <v>161.05969999999999</v>
      </c>
      <c r="E75" s="142">
        <f>SUM(E65:E74)</f>
        <v>0.451714</v>
      </c>
      <c r="F75" s="151">
        <f>F22</f>
        <v>6.3140000000000001</v>
      </c>
      <c r="G75" s="33" t="s">
        <v>372</v>
      </c>
      <c r="H75" s="125">
        <f>H22+500</f>
        <v>1987</v>
      </c>
      <c r="I75" s="125">
        <f>H75*I22/H22</f>
        <v>1149.172831203766</v>
      </c>
      <c r="J75" s="33"/>
      <c r="K75" s="31"/>
      <c r="L75" s="33">
        <f>MIN(L65:L74)</f>
        <v>1</v>
      </c>
      <c r="M75" s="33">
        <f>MIN(M65:M74)</f>
        <v>1</v>
      </c>
      <c r="N75" s="35"/>
      <c r="O75" s="122"/>
      <c r="P75" s="199">
        <f>D75*(AA75/F75)*SUM(L75:M75)</f>
        <v>1228.7976207166084</v>
      </c>
      <c r="Q75" s="199">
        <f>E75*AA75/F75*SUM(L75:M75)</f>
        <v>3.4463313196558918</v>
      </c>
      <c r="R75" s="199">
        <f>I75*(AA75/F75)</f>
        <v>4383.7807992171738</v>
      </c>
      <c r="S75" s="243">
        <f>P75*$X$1</f>
        <v>122.87976207166085</v>
      </c>
      <c r="T75" s="243">
        <f>Q75*$X$1</f>
        <v>0.3446331319655892</v>
      </c>
      <c r="AA75" s="135">
        <f>'Gas InOut'!D43</f>
        <v>24.086187225000003</v>
      </c>
      <c r="AB75" s="33" t="s">
        <v>372</v>
      </c>
    </row>
    <row r="76" spans="1:28" x14ac:dyDescent="0.2">
      <c r="A76" s="23"/>
      <c r="B76" s="24" t="s">
        <v>241</v>
      </c>
      <c r="C76" s="24" t="s">
        <v>242</v>
      </c>
      <c r="D76" s="210">
        <v>1960</v>
      </c>
      <c r="E76" s="210">
        <f>(D76/D114)*E114</f>
        <v>14.264919941775839</v>
      </c>
      <c r="F76" s="211"/>
      <c r="G76" s="211"/>
      <c r="H76" s="213"/>
      <c r="I76" s="213"/>
      <c r="J76" s="214"/>
      <c r="K76" s="214"/>
      <c r="L76" s="212">
        <v>1</v>
      </c>
      <c r="M76" s="213">
        <v>0</v>
      </c>
      <c r="N76" s="27">
        <v>0</v>
      </c>
      <c r="O76" s="121">
        <v>0</v>
      </c>
      <c r="P76" s="128"/>
      <c r="Q76" s="128"/>
      <c r="R76" s="128"/>
      <c r="AA76" s="133"/>
      <c r="AB76" s="121"/>
    </row>
    <row r="77" spans="1:28" x14ac:dyDescent="0.2">
      <c r="A77" s="23"/>
      <c r="B77" s="32"/>
      <c r="C77" s="32"/>
      <c r="D77" s="143"/>
      <c r="E77" s="144"/>
      <c r="F77" s="34"/>
      <c r="G77" s="34"/>
      <c r="H77" s="34"/>
      <c r="I77" s="34"/>
      <c r="J77" s="31"/>
      <c r="K77" s="31"/>
      <c r="L77" s="33"/>
      <c r="M77" s="34"/>
      <c r="N77" s="35"/>
      <c r="O77" s="122"/>
      <c r="P77" s="199">
        <f>9.8*Input!C24</f>
        <v>4410</v>
      </c>
      <c r="Q77" s="199">
        <f>P77/D114*E114</f>
        <v>32.096069868995635</v>
      </c>
      <c r="R77" s="199">
        <v>0</v>
      </c>
      <c r="S77" s="243">
        <f>P77*$X$1</f>
        <v>441</v>
      </c>
      <c r="T77" s="243">
        <f>Q77*$X$1</f>
        <v>3.2096069868995638</v>
      </c>
      <c r="AA77" s="134"/>
      <c r="AB77" s="122"/>
    </row>
    <row r="78" spans="1:28" x14ac:dyDescent="0.2">
      <c r="A78" s="23"/>
      <c r="B78" s="152" t="s">
        <v>243</v>
      </c>
      <c r="C78" s="152" t="s">
        <v>244</v>
      </c>
      <c r="D78" s="153">
        <v>13</v>
      </c>
      <c r="E78" s="153">
        <v>3.5903999999999998E-2</v>
      </c>
      <c r="F78" s="154"/>
      <c r="G78" s="154"/>
      <c r="H78" s="155"/>
      <c r="I78" s="155">
        <v>600</v>
      </c>
      <c r="J78" s="156">
        <v>871839.6</v>
      </c>
      <c r="K78" s="157"/>
      <c r="L78" s="155">
        <v>875</v>
      </c>
      <c r="M78" s="155">
        <v>0</v>
      </c>
      <c r="N78" s="158">
        <v>0</v>
      </c>
      <c r="O78" s="159">
        <v>0</v>
      </c>
      <c r="P78" s="161"/>
      <c r="Q78" s="161"/>
      <c r="R78" s="162"/>
      <c r="S78" s="162"/>
      <c r="T78" s="162"/>
      <c r="AA78" s="160"/>
      <c r="AB78" s="159"/>
    </row>
    <row r="79" spans="1:28" x14ac:dyDescent="0.2">
      <c r="A79" s="23"/>
      <c r="D79" s="148">
        <v>8</v>
      </c>
      <c r="E79" s="148">
        <f>0.425*0.219*0.199</f>
        <v>1.8521924999999998E-2</v>
      </c>
      <c r="F79" s="139">
        <f>1.2^2</f>
        <v>1.44</v>
      </c>
      <c r="G79" s="37" t="s">
        <v>517</v>
      </c>
      <c r="H79" s="149">
        <v>630</v>
      </c>
      <c r="I79" s="25"/>
      <c r="J79" s="39">
        <f>J78*2</f>
        <v>1743679.2</v>
      </c>
      <c r="K79" s="23"/>
      <c r="L79" s="150">
        <f>ROUNDUP(Input!C24/F79,0)</f>
        <v>313</v>
      </c>
      <c r="M79" s="40"/>
      <c r="N79" s="27"/>
      <c r="O79" s="121"/>
      <c r="P79" s="179">
        <f>D79*L79</f>
        <v>2504</v>
      </c>
      <c r="Q79" s="179">
        <f>E79*L79</f>
        <v>5.7973625249999996</v>
      </c>
      <c r="R79" s="267">
        <f>H79*L79</f>
        <v>197190</v>
      </c>
      <c r="S79" s="243">
        <f>P79*$X$1</f>
        <v>250.4</v>
      </c>
      <c r="T79" s="243">
        <f>Q79*$X$1</f>
        <v>0.57973625249999994</v>
      </c>
      <c r="AA79" s="133"/>
      <c r="AB79" s="121"/>
    </row>
    <row r="80" spans="1:28" x14ac:dyDescent="0.2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170"/>
      <c r="N80" s="32"/>
      <c r="O80" s="32"/>
      <c r="P80" s="32"/>
      <c r="Q80" s="32"/>
      <c r="R80" s="32"/>
      <c r="S80" s="32"/>
      <c r="T80" s="32"/>
      <c r="AA80" s="32"/>
      <c r="AB80" s="32"/>
    </row>
    <row r="81" spans="1:28" ht="33.75" hidden="1" x14ac:dyDescent="0.2">
      <c r="A81" s="23" t="s">
        <v>245</v>
      </c>
      <c r="B81" s="24" t="s">
        <v>246</v>
      </c>
      <c r="C81" s="24" t="s">
        <v>247</v>
      </c>
      <c r="D81" s="139">
        <f>1.625*21.4951</f>
        <v>34.929537500000002</v>
      </c>
      <c r="E81" s="139">
        <f>1.625*0.0345</f>
        <v>5.6062500000000001E-2</v>
      </c>
      <c r="F81" s="37"/>
      <c r="G81" s="37"/>
      <c r="H81" s="26"/>
      <c r="I81" s="26"/>
      <c r="J81" s="39">
        <v>77100</v>
      </c>
      <c r="K81" s="23"/>
      <c r="L81" s="40">
        <v>1</v>
      </c>
      <c r="M81" s="40">
        <f t="shared" ref="M81:M89" si="1">L81</f>
        <v>1</v>
      </c>
      <c r="N81" s="26"/>
      <c r="O81" s="119"/>
      <c r="AA81" s="130"/>
      <c r="AB81" s="119"/>
    </row>
    <row r="82" spans="1:28" hidden="1" x14ac:dyDescent="0.2">
      <c r="A82" s="23"/>
      <c r="B82" s="23"/>
      <c r="C82" s="24" t="s">
        <v>238</v>
      </c>
      <c r="D82" s="139">
        <f>1.625*43.4097</f>
        <v>70.5407625</v>
      </c>
      <c r="E82" s="139">
        <f>1.625*0.251</f>
        <v>0.40787499999999999</v>
      </c>
      <c r="F82" s="37"/>
      <c r="G82" s="37"/>
      <c r="H82" s="26"/>
      <c r="I82" s="26"/>
      <c r="J82" s="39">
        <v>66666.7</v>
      </c>
      <c r="K82" s="23"/>
      <c r="L82" s="40">
        <v>2</v>
      </c>
      <c r="M82" s="40">
        <f t="shared" si="1"/>
        <v>2</v>
      </c>
      <c r="N82" s="26"/>
      <c r="O82" s="119"/>
      <c r="AA82" s="130"/>
      <c r="AB82" s="119"/>
    </row>
    <row r="83" spans="1:28" hidden="1" x14ac:dyDescent="0.2">
      <c r="A83" s="23"/>
      <c r="B83" s="23"/>
      <c r="C83" s="24" t="s">
        <v>248</v>
      </c>
      <c r="D83" s="139">
        <f>1.625*6.2</f>
        <v>10.075000000000001</v>
      </c>
      <c r="E83" s="139">
        <f>1.625*0.003</f>
        <v>4.875E-3</v>
      </c>
      <c r="F83" s="37"/>
      <c r="G83" s="37"/>
      <c r="H83" s="26"/>
      <c r="I83" s="26"/>
      <c r="J83" s="39">
        <v>500000</v>
      </c>
      <c r="K83" s="23"/>
      <c r="L83" s="40">
        <v>4</v>
      </c>
      <c r="M83" s="40">
        <f t="shared" si="1"/>
        <v>4</v>
      </c>
      <c r="N83" s="26"/>
      <c r="O83" s="119"/>
      <c r="AA83" s="130"/>
      <c r="AB83" s="119"/>
    </row>
    <row r="84" spans="1:28" hidden="1" x14ac:dyDescent="0.2">
      <c r="A84" s="23"/>
      <c r="B84" s="24" t="s">
        <v>249</v>
      </c>
      <c r="C84" s="24" t="s">
        <v>250</v>
      </c>
      <c r="D84" s="139">
        <f>1.625*1.5488</f>
        <v>2.5167999999999999</v>
      </c>
      <c r="E84" s="139">
        <f>1.625*0</f>
        <v>0</v>
      </c>
      <c r="F84" s="37"/>
      <c r="G84" s="37"/>
      <c r="H84" s="26"/>
      <c r="I84" s="26"/>
      <c r="J84" s="39">
        <v>500000</v>
      </c>
      <c r="K84" s="23"/>
      <c r="L84" s="40">
        <v>1</v>
      </c>
      <c r="M84" s="40">
        <f t="shared" si="1"/>
        <v>1</v>
      </c>
      <c r="N84" s="26"/>
      <c r="O84" s="119"/>
      <c r="AA84" s="130"/>
      <c r="AB84" s="119"/>
    </row>
    <row r="85" spans="1:28" hidden="1" x14ac:dyDescent="0.2">
      <c r="A85" s="23"/>
      <c r="B85" s="23"/>
      <c r="C85" s="24" t="s">
        <v>251</v>
      </c>
      <c r="D85" s="139">
        <f>1.625*3.2435</f>
        <v>5.2706875000000002</v>
      </c>
      <c r="E85" s="139">
        <f>1.625*0.0425</f>
        <v>6.9062499999999999E-2</v>
      </c>
      <c r="F85" s="37"/>
      <c r="G85" s="37"/>
      <c r="H85" s="26"/>
      <c r="I85" s="26"/>
      <c r="J85" s="39">
        <v>500000</v>
      </c>
      <c r="K85" s="23"/>
      <c r="L85" s="40">
        <v>1</v>
      </c>
      <c r="M85" s="40">
        <f t="shared" si="1"/>
        <v>1</v>
      </c>
      <c r="N85" s="26"/>
      <c r="O85" s="119"/>
      <c r="AA85" s="130"/>
      <c r="AB85" s="119"/>
    </row>
    <row r="86" spans="1:28" hidden="1" x14ac:dyDescent="0.2">
      <c r="A86" s="23"/>
      <c r="B86" s="23"/>
      <c r="C86" s="24" t="s">
        <v>252</v>
      </c>
      <c r="D86" s="139">
        <f>1.625*1.7597</f>
        <v>2.8595125000000001</v>
      </c>
      <c r="E86" s="139">
        <f>1.625*0.002</f>
        <v>3.2500000000000003E-3</v>
      </c>
      <c r="F86" s="37"/>
      <c r="G86" s="37"/>
      <c r="H86" s="26"/>
      <c r="I86" s="26"/>
      <c r="J86" s="41"/>
      <c r="K86" s="23"/>
      <c r="L86" s="40">
        <v>1</v>
      </c>
      <c r="M86" s="40">
        <f t="shared" si="1"/>
        <v>1</v>
      </c>
      <c r="N86" s="26"/>
      <c r="O86" s="119"/>
      <c r="AA86" s="130"/>
      <c r="AB86" s="119"/>
    </row>
    <row r="87" spans="1:28" hidden="1" x14ac:dyDescent="0.2">
      <c r="A87" s="23"/>
      <c r="B87" s="23"/>
      <c r="C87" s="24" t="s">
        <v>253</v>
      </c>
      <c r="D87" s="139">
        <f>1.625*0.8036</f>
        <v>1.30585</v>
      </c>
      <c r="E87" s="139">
        <f>1.625*0.0027</f>
        <v>4.3874999999999999E-3</v>
      </c>
      <c r="F87" s="37"/>
      <c r="G87" s="37"/>
      <c r="H87" s="26"/>
      <c r="I87" s="26"/>
      <c r="J87" s="39">
        <v>500000</v>
      </c>
      <c r="K87" s="23"/>
      <c r="L87" s="40">
        <v>1</v>
      </c>
      <c r="M87" s="40">
        <f t="shared" si="1"/>
        <v>1</v>
      </c>
      <c r="N87" s="26"/>
      <c r="O87" s="119"/>
      <c r="AA87" s="130"/>
      <c r="AB87" s="119"/>
    </row>
    <row r="88" spans="1:28" hidden="1" x14ac:dyDescent="0.2">
      <c r="A88" s="23"/>
      <c r="B88" s="23"/>
      <c r="C88" s="24" t="s">
        <v>200</v>
      </c>
      <c r="D88" s="139">
        <f>1.625*49.71</f>
        <v>80.778750000000002</v>
      </c>
      <c r="E88" s="139">
        <f>1.625*0.393293</f>
        <v>0.63910112500000005</v>
      </c>
      <c r="F88" s="37"/>
      <c r="G88" s="37"/>
      <c r="H88" s="25"/>
      <c r="I88" s="25"/>
      <c r="J88" s="39">
        <v>832600</v>
      </c>
      <c r="K88" s="23"/>
      <c r="L88" s="40">
        <v>1</v>
      </c>
      <c r="M88" s="40">
        <f t="shared" si="1"/>
        <v>1</v>
      </c>
      <c r="N88" s="26"/>
      <c r="O88" s="119"/>
      <c r="AA88" s="130"/>
      <c r="AB88" s="119"/>
    </row>
    <row r="89" spans="1:28" hidden="1" x14ac:dyDescent="0.2">
      <c r="A89" s="23"/>
      <c r="B89" s="23"/>
      <c r="C89" s="24" t="s">
        <v>254</v>
      </c>
      <c r="D89" s="139">
        <f>1.625*3.855*2</f>
        <v>12.52875</v>
      </c>
      <c r="E89" s="139">
        <f>1.625*0.008496</f>
        <v>1.3806000000000001E-2</v>
      </c>
      <c r="F89" s="37"/>
      <c r="G89" s="37"/>
      <c r="H89" s="25"/>
      <c r="I89" s="25"/>
      <c r="J89" s="39">
        <v>242700</v>
      </c>
      <c r="K89" s="23"/>
      <c r="L89" s="40">
        <v>1</v>
      </c>
      <c r="M89" s="40">
        <f t="shared" si="1"/>
        <v>1</v>
      </c>
      <c r="N89" s="26"/>
      <c r="O89" s="119"/>
      <c r="AA89" s="130"/>
      <c r="AB89" s="119"/>
    </row>
    <row r="90" spans="1:28" ht="33.75" hidden="1" x14ac:dyDescent="0.2">
      <c r="A90" s="23" t="s">
        <v>255</v>
      </c>
      <c r="B90" s="24" t="s">
        <v>246</v>
      </c>
      <c r="C90" s="24" t="s">
        <v>247</v>
      </c>
      <c r="D90" s="139">
        <f>1.625*40.8407</f>
        <v>66.366137499999994</v>
      </c>
      <c r="E90" s="139">
        <f>1.625*0.0655</f>
        <v>0.1064375</v>
      </c>
      <c r="F90" s="37"/>
      <c r="G90" s="37"/>
      <c r="H90" s="26"/>
      <c r="I90" s="26"/>
      <c r="J90" s="39">
        <v>77100</v>
      </c>
      <c r="K90" s="23"/>
      <c r="L90" s="40">
        <v>1</v>
      </c>
      <c r="M90" s="42"/>
      <c r="N90" s="23"/>
      <c r="O90" s="123"/>
      <c r="AA90" s="136"/>
      <c r="AB90" s="123"/>
    </row>
    <row r="91" spans="1:28" hidden="1" x14ac:dyDescent="0.2">
      <c r="A91" s="23"/>
      <c r="B91" s="23"/>
      <c r="C91" s="24" t="s">
        <v>256</v>
      </c>
      <c r="D91" s="139">
        <f>1.625*82.4783</f>
        <v>134.02723750000001</v>
      </c>
      <c r="E91" s="139">
        <f>1.625*0.477</f>
        <v>0.77512499999999995</v>
      </c>
      <c r="F91" s="37"/>
      <c r="G91" s="37"/>
      <c r="H91" s="26"/>
      <c r="I91" s="26"/>
      <c r="J91" s="39">
        <v>66666.7</v>
      </c>
      <c r="K91" s="23"/>
      <c r="L91" s="40">
        <v>2</v>
      </c>
      <c r="M91" s="42"/>
      <c r="N91" s="23"/>
      <c r="O91" s="123"/>
      <c r="AA91" s="136"/>
      <c r="AB91" s="123"/>
    </row>
    <row r="92" spans="1:28" hidden="1" x14ac:dyDescent="0.2">
      <c r="A92" s="23"/>
      <c r="B92" s="23"/>
      <c r="C92" s="24" t="s">
        <v>248</v>
      </c>
      <c r="D92" s="139">
        <f>1.625*6.2</f>
        <v>10.075000000000001</v>
      </c>
      <c r="E92" s="139">
        <f>1.625*0.003</f>
        <v>4.875E-3</v>
      </c>
      <c r="F92" s="37"/>
      <c r="G92" s="37"/>
      <c r="H92" s="26"/>
      <c r="I92" s="26"/>
      <c r="J92" s="39">
        <v>500000</v>
      </c>
      <c r="K92" s="23"/>
      <c r="L92" s="40">
        <v>4</v>
      </c>
      <c r="M92" s="42"/>
      <c r="N92" s="23"/>
      <c r="O92" s="123"/>
      <c r="AA92" s="136"/>
      <c r="AB92" s="123"/>
    </row>
    <row r="93" spans="1:28" hidden="1" x14ac:dyDescent="0.2">
      <c r="A93" s="23"/>
      <c r="B93" s="24" t="s">
        <v>249</v>
      </c>
      <c r="C93" s="24" t="s">
        <v>250</v>
      </c>
      <c r="D93" s="139">
        <f>1.625*353.3037</f>
        <v>574.11851249999995</v>
      </c>
      <c r="E93" s="139">
        <f>1.625*0</f>
        <v>0</v>
      </c>
      <c r="F93" s="37"/>
      <c r="G93" s="37"/>
      <c r="H93" s="26"/>
      <c r="I93" s="26"/>
      <c r="J93" s="39">
        <v>500000</v>
      </c>
      <c r="K93" s="23"/>
      <c r="L93" s="40">
        <v>1</v>
      </c>
      <c r="M93" s="42"/>
      <c r="N93" s="23"/>
      <c r="O93" s="123"/>
      <c r="AA93" s="136"/>
      <c r="AB93" s="123"/>
    </row>
    <row r="94" spans="1:28" hidden="1" x14ac:dyDescent="0.2">
      <c r="A94" s="23"/>
      <c r="B94" s="23"/>
      <c r="C94" s="24" t="s">
        <v>251</v>
      </c>
      <c r="D94" s="139">
        <f>1.625*121.0892</f>
        <v>196.76994999999999</v>
      </c>
      <c r="E94" s="139">
        <f>1.625*0.7809</f>
        <v>1.2689625</v>
      </c>
      <c r="F94" s="37"/>
      <c r="G94" s="37"/>
      <c r="H94" s="26"/>
      <c r="I94" s="26"/>
      <c r="J94" s="39">
        <v>500000</v>
      </c>
      <c r="K94" s="23"/>
      <c r="L94" s="40">
        <v>1</v>
      </c>
      <c r="M94" s="42"/>
      <c r="N94" s="23"/>
      <c r="O94" s="123"/>
      <c r="AA94" s="136"/>
      <c r="AB94" s="123"/>
    </row>
    <row r="95" spans="1:28" hidden="1" x14ac:dyDescent="0.2">
      <c r="A95" s="23"/>
      <c r="B95" s="23"/>
      <c r="C95" s="24" t="s">
        <v>252</v>
      </c>
      <c r="D95" s="139">
        <f>1.625*38.0547</f>
        <v>61.838887499999998</v>
      </c>
      <c r="E95" s="139">
        <f>1.625*0.4552</f>
        <v>0.73970000000000002</v>
      </c>
      <c r="F95" s="37"/>
      <c r="G95" s="37"/>
      <c r="H95" s="26"/>
      <c r="I95" s="26"/>
      <c r="J95" s="41"/>
      <c r="K95" s="23"/>
      <c r="L95" s="40">
        <v>1</v>
      </c>
      <c r="M95" s="42"/>
      <c r="N95" s="23"/>
      <c r="O95" s="123"/>
      <c r="AA95" s="136"/>
      <c r="AB95" s="123"/>
    </row>
    <row r="96" spans="1:28" hidden="1" x14ac:dyDescent="0.2">
      <c r="A96" s="23"/>
      <c r="B96" s="23"/>
      <c r="C96" s="24" t="s">
        <v>253</v>
      </c>
      <c r="D96" s="139">
        <f>1.625*0.8036</f>
        <v>1.30585</v>
      </c>
      <c r="E96" s="139">
        <f>1.625*0.0027</f>
        <v>4.3874999999999999E-3</v>
      </c>
      <c r="F96" s="37"/>
      <c r="G96" s="37"/>
      <c r="H96" s="26"/>
      <c r="I96" s="26"/>
      <c r="J96" s="39">
        <v>500000</v>
      </c>
      <c r="K96" s="23"/>
      <c r="L96" s="40">
        <v>1</v>
      </c>
      <c r="M96" s="42"/>
      <c r="N96" s="23"/>
      <c r="O96" s="123"/>
      <c r="AA96" s="136"/>
      <c r="AB96" s="123"/>
    </row>
    <row r="97" spans="1:28" hidden="1" x14ac:dyDescent="0.2">
      <c r="A97" s="23"/>
      <c r="B97" s="23"/>
      <c r="C97" s="24" t="s">
        <v>200</v>
      </c>
      <c r="D97" s="139">
        <f>1.625*49.71</f>
        <v>80.778750000000002</v>
      </c>
      <c r="E97" s="139">
        <f>1.625*0.393293</f>
        <v>0.63910112500000005</v>
      </c>
      <c r="F97" s="37"/>
      <c r="G97" s="37"/>
      <c r="H97" s="25"/>
      <c r="I97" s="25"/>
      <c r="J97" s="39">
        <v>832600</v>
      </c>
      <c r="K97" s="23"/>
      <c r="L97" s="40">
        <v>1</v>
      </c>
      <c r="M97" s="42"/>
      <c r="N97" s="23"/>
      <c r="O97" s="123"/>
      <c r="AA97" s="136"/>
      <c r="AB97" s="123"/>
    </row>
    <row r="98" spans="1:28" hidden="1" x14ac:dyDescent="0.2">
      <c r="A98" s="23"/>
      <c r="B98" s="23"/>
      <c r="C98" s="23" t="s">
        <v>254</v>
      </c>
      <c r="D98" s="139">
        <f>1.625*3.855*2</f>
        <v>12.52875</v>
      </c>
      <c r="E98" s="139">
        <f>1.625*0.008496</f>
        <v>1.3806000000000001E-2</v>
      </c>
      <c r="F98" s="37"/>
      <c r="G98" s="37"/>
      <c r="H98" s="25"/>
      <c r="I98" s="25"/>
      <c r="J98" s="39">
        <v>242700</v>
      </c>
      <c r="K98" s="23"/>
      <c r="L98" s="40">
        <v>1</v>
      </c>
      <c r="M98" s="42"/>
      <c r="N98" s="23"/>
      <c r="O98" s="123"/>
      <c r="AA98" s="136"/>
      <c r="AB98" s="123"/>
    </row>
    <row r="99" spans="1:28" x14ac:dyDescent="0.2">
      <c r="A99" s="23"/>
      <c r="B99" s="23"/>
      <c r="C99" s="23"/>
      <c r="D99" s="139"/>
      <c r="E99" s="139"/>
      <c r="F99" s="37"/>
      <c r="G99" s="37"/>
      <c r="H99" s="25"/>
      <c r="I99" s="25"/>
      <c r="J99" s="39"/>
      <c r="K99" s="23"/>
      <c r="L99" s="40"/>
      <c r="M99" s="42"/>
      <c r="N99" s="23"/>
      <c r="O99" s="123"/>
      <c r="AA99" s="136"/>
      <c r="AB99" s="123"/>
    </row>
    <row r="100" spans="1:28" ht="33.75" customHeight="1" x14ac:dyDescent="0.2">
      <c r="A100" s="23"/>
      <c r="B100" s="23"/>
      <c r="C100" s="23"/>
      <c r="D100" s="139"/>
      <c r="E100" s="139"/>
      <c r="F100" s="37"/>
      <c r="G100" s="37"/>
      <c r="H100" s="25"/>
      <c r="I100" s="25"/>
      <c r="J100" s="39"/>
      <c r="K100" s="23"/>
      <c r="L100" s="40"/>
      <c r="M100" s="42"/>
      <c r="N100" s="23"/>
      <c r="O100" s="123"/>
      <c r="P100" s="181">
        <f>P12+P22+P33+P40+P56+P64+P75+P77+P79</f>
        <v>20554.62006205185</v>
      </c>
      <c r="Q100" s="181">
        <f>Q12+Q22+Q33+Q40+Q56+Q64+Q75+Q77+Q79</f>
        <v>66.122226459199368</v>
      </c>
      <c r="R100" s="181">
        <f>R12+R22+R33+R40+R56+R64+R75+R77+R79</f>
        <v>209140.84950041148</v>
      </c>
      <c r="S100" s="182">
        <f>S12+S22+S33+S40+S56+S64+S75+S77+S79</f>
        <v>2055.4620062051849</v>
      </c>
      <c r="T100" s="182">
        <f t="shared" ref="T100" si="2">T12+T22+T33+T40+T56+T64+T75+T77+T79</f>
        <v>6.6122226459199371</v>
      </c>
      <c r="U100" s="271"/>
      <c r="V100" s="271"/>
      <c r="AA100" s="365" t="s">
        <v>518</v>
      </c>
      <c r="AB100" s="366"/>
    </row>
    <row r="101" spans="1:28" ht="12" thickBot="1" x14ac:dyDescent="0.25">
      <c r="A101" s="189"/>
      <c r="B101" s="189"/>
      <c r="C101" s="189"/>
      <c r="D101" s="190"/>
      <c r="E101" s="190"/>
      <c r="F101" s="191"/>
      <c r="G101" s="191"/>
      <c r="H101" s="192"/>
      <c r="I101" s="192"/>
      <c r="J101" s="193"/>
      <c r="K101" s="189"/>
      <c r="L101" s="194"/>
      <c r="M101" s="195"/>
      <c r="N101" s="189"/>
      <c r="O101" s="196"/>
      <c r="P101" s="198"/>
      <c r="Q101" s="198"/>
      <c r="R101" s="198"/>
      <c r="S101" s="198"/>
      <c r="T101" s="198"/>
      <c r="U101" s="272"/>
      <c r="V101" s="272"/>
      <c r="AA101" s="197"/>
      <c r="AB101" s="196"/>
    </row>
    <row r="102" spans="1:28" x14ac:dyDescent="0.2">
      <c r="A102" s="24" t="s">
        <v>257</v>
      </c>
      <c r="B102" s="24" t="s">
        <v>258</v>
      </c>
      <c r="C102" s="23"/>
      <c r="D102" s="139">
        <f>0.364*60</f>
        <v>21.84</v>
      </c>
      <c r="E102" s="139">
        <f>0.425*(60/91)</f>
        <v>0.28021978021978022</v>
      </c>
      <c r="F102" s="37"/>
      <c r="G102" s="37"/>
      <c r="H102" s="26"/>
      <c r="I102" s="26"/>
      <c r="J102" s="23"/>
      <c r="K102" s="23"/>
      <c r="L102" s="26">
        <v>1</v>
      </c>
      <c r="M102" s="26">
        <v>1</v>
      </c>
      <c r="N102" s="26"/>
      <c r="O102" s="119"/>
      <c r="P102" s="273">
        <f>0.364*600</f>
        <v>218.4</v>
      </c>
      <c r="Q102" s="273">
        <f>0.425*(600/91)</f>
        <v>2.802197802197802</v>
      </c>
      <c r="R102" s="273"/>
      <c r="S102" s="274">
        <f t="shared" ref="S102:T108" si="3">P102*$X$1</f>
        <v>21.840000000000003</v>
      </c>
      <c r="T102" s="274">
        <f t="shared" si="3"/>
        <v>0.28021978021978022</v>
      </c>
      <c r="U102" s="275"/>
      <c r="V102" s="275"/>
      <c r="AA102" s="130"/>
      <c r="AB102" s="119"/>
    </row>
    <row r="103" spans="1:28" x14ac:dyDescent="0.2">
      <c r="A103" s="23"/>
      <c r="B103" s="24" t="s">
        <v>259</v>
      </c>
      <c r="C103" s="23"/>
      <c r="D103" s="139">
        <f>0.556*145.6</f>
        <v>80.953600000000009</v>
      </c>
      <c r="E103" s="139">
        <f>0.425*(145.6/90.1)</f>
        <v>0.68679245283018864</v>
      </c>
      <c r="F103" s="37"/>
      <c r="G103" s="37"/>
      <c r="H103" s="26"/>
      <c r="I103" s="26"/>
      <c r="J103" s="23"/>
      <c r="K103" s="23"/>
      <c r="L103" s="26">
        <v>1</v>
      </c>
      <c r="M103" s="26">
        <v>1</v>
      </c>
      <c r="N103" s="26"/>
      <c r="O103" s="119"/>
      <c r="P103" s="273">
        <f>0.556*1456</f>
        <v>809.53600000000006</v>
      </c>
      <c r="Q103" s="273">
        <f>0.425*(1456/90.1)</f>
        <v>6.867924528301887</v>
      </c>
      <c r="R103" s="273"/>
      <c r="S103" s="273">
        <f t="shared" si="3"/>
        <v>80.953600000000009</v>
      </c>
      <c r="T103" s="273">
        <f t="shared" si="3"/>
        <v>0.68679245283018875</v>
      </c>
      <c r="U103" s="275"/>
      <c r="V103" s="275"/>
      <c r="AA103" s="130"/>
      <c r="AB103" s="119"/>
    </row>
    <row r="104" spans="1:28" x14ac:dyDescent="0.2">
      <c r="A104" s="23"/>
      <c r="B104" s="23" t="s">
        <v>260</v>
      </c>
      <c r="C104" s="23"/>
      <c r="D104" s="139">
        <v>6.3399999999999998E-2</v>
      </c>
      <c r="E104" s="139">
        <v>2.06713E-2</v>
      </c>
      <c r="F104" s="37"/>
      <c r="G104" s="37"/>
      <c r="H104" s="26"/>
      <c r="I104" s="26"/>
      <c r="J104" s="23"/>
      <c r="K104" s="23"/>
      <c r="L104" s="26">
        <v>1</v>
      </c>
      <c r="M104" s="26">
        <v>1</v>
      </c>
      <c r="N104" s="26"/>
      <c r="O104" s="119"/>
      <c r="P104" s="273">
        <f>D104*10</f>
        <v>0.63400000000000001</v>
      </c>
      <c r="Q104" s="273">
        <f>E104*10</f>
        <v>0.20671300000000001</v>
      </c>
      <c r="R104" s="273"/>
      <c r="S104" s="273">
        <f t="shared" si="3"/>
        <v>6.3399999999999998E-2</v>
      </c>
      <c r="T104" s="273">
        <f t="shared" si="3"/>
        <v>2.0671300000000004E-2</v>
      </c>
      <c r="U104" s="275"/>
      <c r="V104" s="275"/>
      <c r="AA104" s="130"/>
      <c r="AB104" s="119"/>
    </row>
    <row r="105" spans="1:28" x14ac:dyDescent="0.2">
      <c r="A105" s="23"/>
      <c r="B105" s="24" t="s">
        <v>261</v>
      </c>
      <c r="C105" s="23"/>
      <c r="D105" s="139">
        <v>100.20950000000001</v>
      </c>
      <c r="E105" s="139">
        <f>1.5/30</f>
        <v>0.05</v>
      </c>
      <c r="F105" s="37"/>
      <c r="G105" s="37"/>
      <c r="H105" s="26"/>
      <c r="I105" s="26"/>
      <c r="J105" s="23"/>
      <c r="K105" s="23"/>
      <c r="L105" s="26">
        <v>1</v>
      </c>
      <c r="M105" s="26">
        <v>1</v>
      </c>
      <c r="N105" s="26"/>
      <c r="O105" s="119"/>
      <c r="P105" s="273">
        <f>D105*15000/1500</f>
        <v>1002.095</v>
      </c>
      <c r="Q105" s="273">
        <f>15/30</f>
        <v>0.5</v>
      </c>
      <c r="R105" s="273"/>
      <c r="S105" s="273">
        <f t="shared" si="3"/>
        <v>100.20950000000001</v>
      </c>
      <c r="T105" s="273">
        <f t="shared" si="3"/>
        <v>0.05</v>
      </c>
      <c r="U105" s="275"/>
      <c r="V105" s="275"/>
      <c r="AA105" s="130"/>
      <c r="AB105" s="119"/>
    </row>
    <row r="106" spans="1:28" x14ac:dyDescent="0.2">
      <c r="A106" s="23"/>
      <c r="B106" s="24" t="s">
        <v>262</v>
      </c>
      <c r="C106" s="23"/>
      <c r="D106" s="139">
        <f>1.167*9</f>
        <v>10.503</v>
      </c>
      <c r="E106" s="139">
        <v>8.9999999999999993E-3</v>
      </c>
      <c r="F106" s="37"/>
      <c r="G106" s="37"/>
      <c r="H106" s="26"/>
      <c r="I106" s="26"/>
      <c r="J106" s="23"/>
      <c r="K106" s="23"/>
      <c r="L106" s="26">
        <v>1</v>
      </c>
      <c r="M106" s="26">
        <v>1</v>
      </c>
      <c r="N106" s="26"/>
      <c r="O106" s="119"/>
      <c r="P106" s="273">
        <f>D106*AA40/F40</f>
        <v>47.263500000000001</v>
      </c>
      <c r="Q106" s="273">
        <f>E106*AA40/F40</f>
        <v>4.0500000000000001E-2</v>
      </c>
      <c r="R106" s="273"/>
      <c r="S106" s="273">
        <f t="shared" si="3"/>
        <v>4.7263500000000001</v>
      </c>
      <c r="T106" s="273">
        <f t="shared" si="3"/>
        <v>4.0500000000000006E-3</v>
      </c>
      <c r="U106" s="275"/>
      <c r="V106" s="275"/>
      <c r="AA106" s="130"/>
      <c r="AB106" s="119"/>
    </row>
    <row r="107" spans="1:28" x14ac:dyDescent="0.2">
      <c r="A107" s="23"/>
      <c r="B107" s="24" t="s">
        <v>263</v>
      </c>
      <c r="C107" s="23"/>
      <c r="D107" s="139">
        <f>1.167*45.455</f>
        <v>53.045985000000002</v>
      </c>
      <c r="E107" s="139">
        <v>4.5455000000000002E-2</v>
      </c>
      <c r="F107" s="37"/>
      <c r="G107" s="37"/>
      <c r="H107" s="25"/>
      <c r="I107" s="25"/>
      <c r="J107" s="23"/>
      <c r="K107" s="23"/>
      <c r="L107" s="26">
        <v>1</v>
      </c>
      <c r="M107" s="26">
        <v>1</v>
      </c>
      <c r="N107" s="26"/>
      <c r="O107" s="119"/>
      <c r="P107" s="273">
        <f>D107*AA56/F56</f>
        <v>276.45789994853715</v>
      </c>
      <c r="Q107" s="273">
        <f>E107*AA56/F56</f>
        <v>0.23689622960457341</v>
      </c>
      <c r="R107" s="273"/>
      <c r="S107" s="273">
        <f t="shared" si="3"/>
        <v>27.645789994853715</v>
      </c>
      <c r="T107" s="273">
        <f t="shared" si="3"/>
        <v>2.3689622960457343E-2</v>
      </c>
      <c r="U107" s="275"/>
      <c r="V107" s="275"/>
      <c r="AA107" s="130"/>
      <c r="AB107" s="119"/>
    </row>
    <row r="108" spans="1:28" x14ac:dyDescent="0.2">
      <c r="A108" s="23"/>
      <c r="B108" s="23" t="s">
        <v>264</v>
      </c>
      <c r="C108" s="23"/>
      <c r="D108" s="139">
        <f>0.0668*11000</f>
        <v>734.8</v>
      </c>
      <c r="E108" s="139">
        <f>11/30</f>
        <v>0.36666666666666664</v>
      </c>
      <c r="F108" s="37"/>
      <c r="G108" s="37"/>
      <c r="H108" s="26"/>
      <c r="I108" s="26"/>
      <c r="J108" s="23"/>
      <c r="K108" s="23"/>
      <c r="L108" s="26">
        <v>1</v>
      </c>
      <c r="M108" s="26">
        <v>0</v>
      </c>
      <c r="N108" s="26"/>
      <c r="O108" s="119"/>
      <c r="P108" s="273">
        <f>0.0668*11000*5*Input!C23</f>
        <v>1837</v>
      </c>
      <c r="Q108" s="273">
        <f>11*5*Input!C23/30</f>
        <v>0.91666666666666663</v>
      </c>
      <c r="R108" s="273"/>
      <c r="S108" s="273">
        <f t="shared" si="3"/>
        <v>183.70000000000002</v>
      </c>
      <c r="T108" s="273">
        <f t="shared" si="3"/>
        <v>9.1666666666666674E-2</v>
      </c>
      <c r="U108" s="275"/>
      <c r="V108" s="275"/>
      <c r="AA108" s="130"/>
      <c r="AB108" s="119"/>
    </row>
    <row r="109" spans="1:28" x14ac:dyDescent="0.2">
      <c r="A109" s="23"/>
      <c r="B109" s="23" t="s">
        <v>265</v>
      </c>
      <c r="C109" s="23"/>
      <c r="D109" s="145"/>
      <c r="E109" s="145"/>
      <c r="F109" s="38"/>
      <c r="G109" s="38"/>
      <c r="H109" s="23"/>
      <c r="I109" s="23"/>
      <c r="J109" s="23"/>
      <c r="K109" s="23"/>
      <c r="L109" s="26">
        <v>1</v>
      </c>
      <c r="M109" s="26">
        <v>0</v>
      </c>
      <c r="N109" s="26"/>
      <c r="O109" s="119"/>
      <c r="P109" s="273"/>
      <c r="Q109" s="273"/>
      <c r="R109" s="273"/>
      <c r="S109" s="273"/>
      <c r="T109" s="273"/>
      <c r="U109" s="275"/>
      <c r="V109" s="275"/>
      <c r="AA109" s="130"/>
      <c r="AB109" s="119"/>
    </row>
    <row r="110" spans="1:28" x14ac:dyDescent="0.2">
      <c r="A110" s="31"/>
      <c r="B110" s="31" t="s">
        <v>511</v>
      </c>
      <c r="C110" s="31"/>
      <c r="D110" s="140">
        <f>406+(0.345/1.955)*406</f>
        <v>477.64705882352939</v>
      </c>
      <c r="E110" s="140">
        <f>0.00657*(406/(2.3*4*(19000/24)))</f>
        <v>3.6623615560640741E-4</v>
      </c>
      <c r="F110" s="43"/>
      <c r="G110" s="43"/>
      <c r="H110" s="34"/>
      <c r="I110" s="34"/>
      <c r="J110" s="31"/>
      <c r="K110" s="31"/>
      <c r="L110" s="34">
        <v>1</v>
      </c>
      <c r="M110" s="34">
        <v>1</v>
      </c>
      <c r="N110" s="184" t="s">
        <v>310</v>
      </c>
      <c r="O110" s="185" t="s">
        <v>311</v>
      </c>
      <c r="P110" s="276"/>
      <c r="Q110" s="276"/>
      <c r="R110" s="277"/>
      <c r="S110" s="277"/>
      <c r="T110" s="277"/>
      <c r="U110" s="302">
        <f>Input!C25*Input!C4*Input!C5*(1-Input!C23)</f>
        <v>16146</v>
      </c>
      <c r="V110" s="303">
        <f>Input!C26*Input!C4*Input!C5*(1-Input!C23)</f>
        <v>46.121400000000001</v>
      </c>
      <c r="AA110" s="186"/>
      <c r="AB110" s="187"/>
    </row>
    <row r="111" spans="1:28" x14ac:dyDescent="0.2">
      <c r="A111" s="23"/>
      <c r="B111" s="23"/>
      <c r="C111" s="23"/>
      <c r="D111" s="139"/>
      <c r="E111" s="139"/>
      <c r="F111" s="37"/>
      <c r="G111" s="37"/>
      <c r="H111" s="26"/>
      <c r="I111" s="26"/>
      <c r="J111" s="23"/>
      <c r="K111" s="23"/>
      <c r="L111" s="26"/>
      <c r="M111" s="26"/>
      <c r="N111" s="27"/>
      <c r="O111" s="121"/>
      <c r="AA111" s="133"/>
      <c r="AB111" s="121"/>
    </row>
    <row r="112" spans="1:28" ht="30.75" customHeight="1" x14ac:dyDescent="0.2">
      <c r="A112" s="23"/>
      <c r="B112" s="23"/>
      <c r="C112" s="23"/>
      <c r="D112" s="139"/>
      <c r="E112" s="139"/>
      <c r="F112" s="37"/>
      <c r="G112" s="37"/>
      <c r="H112" s="26"/>
      <c r="I112" s="26"/>
      <c r="J112" s="23"/>
      <c r="K112" s="23"/>
      <c r="L112" s="26"/>
      <c r="M112" s="26"/>
      <c r="N112" s="27"/>
      <c r="O112" s="121"/>
      <c r="P112" s="181">
        <f>SUM(P102:P110)</f>
        <v>4191.3863999485366</v>
      </c>
      <c r="Q112" s="181">
        <f t="shared" ref="Q112:R112" si="4">SUM(Q102:Q110)</f>
        <v>11.570898226770929</v>
      </c>
      <c r="R112" s="181">
        <f t="shared" si="4"/>
        <v>0</v>
      </c>
      <c r="S112" s="182">
        <f>SUM(S102:S110)</f>
        <v>419.13863999485375</v>
      </c>
      <c r="T112" s="182">
        <f t="shared" ref="T112:V112" si="5">SUM(T102:T110)</f>
        <v>1.1570898226770931</v>
      </c>
      <c r="U112" s="182">
        <f t="shared" si="5"/>
        <v>16146</v>
      </c>
      <c r="V112" s="182">
        <f t="shared" si="5"/>
        <v>46.121400000000001</v>
      </c>
      <c r="AA112" s="365" t="s">
        <v>528</v>
      </c>
      <c r="AB112" s="366"/>
    </row>
    <row r="113" spans="1:28" ht="12" thickBot="1" x14ac:dyDescent="0.25">
      <c r="A113" s="189"/>
      <c r="B113" s="189"/>
      <c r="C113" s="189"/>
      <c r="D113" s="190"/>
      <c r="E113" s="190"/>
      <c r="F113" s="191"/>
      <c r="G113" s="191"/>
      <c r="H113" s="200"/>
      <c r="I113" s="200"/>
      <c r="J113" s="189"/>
      <c r="K113" s="189"/>
      <c r="L113" s="200"/>
      <c r="M113" s="200"/>
      <c r="N113" s="201"/>
      <c r="O113" s="202"/>
      <c r="P113" s="198"/>
      <c r="Q113" s="198"/>
      <c r="R113" s="198"/>
      <c r="S113" s="198"/>
      <c r="T113" s="198"/>
      <c r="U113" s="272"/>
      <c r="V113" s="272"/>
      <c r="AA113" s="203"/>
      <c r="AB113" s="202"/>
    </row>
    <row r="114" spans="1:28" ht="22.5" x14ac:dyDescent="0.2">
      <c r="A114" s="31" t="s">
        <v>266</v>
      </c>
      <c r="B114" s="31" t="s">
        <v>267</v>
      </c>
      <c r="C114" s="31"/>
      <c r="D114" s="140">
        <f>9.16*(500000/1000)</f>
        <v>4580</v>
      </c>
      <c r="E114" s="140">
        <f>(500000/1000)/15</f>
        <v>33.333333333333336</v>
      </c>
      <c r="F114" s="43"/>
      <c r="G114" s="43"/>
      <c r="H114" s="34"/>
      <c r="I114" s="34"/>
      <c r="J114" s="31"/>
      <c r="K114" s="31"/>
      <c r="L114" s="34">
        <v>1</v>
      </c>
      <c r="M114" s="34">
        <v>1</v>
      </c>
      <c r="N114" s="34"/>
      <c r="O114" s="120"/>
      <c r="P114" s="277">
        <f>9.16*Summary!D12</f>
        <v>45800</v>
      </c>
      <c r="Q114" s="277">
        <f>Summary!D12/15</f>
        <v>333.33333333333331</v>
      </c>
      <c r="R114" s="128"/>
      <c r="S114" s="273">
        <f>P114*$X$1</f>
        <v>4580</v>
      </c>
      <c r="T114" s="273">
        <f>Q114*$X$1</f>
        <v>33.333333333333336</v>
      </c>
      <c r="AA114" s="188">
        <f>Summary!D12</f>
        <v>5000</v>
      </c>
      <c r="AB114" s="120" t="s">
        <v>41</v>
      </c>
    </row>
    <row r="115" spans="1:28" x14ac:dyDescent="0.2">
      <c r="A115" s="23"/>
      <c r="B115" s="23"/>
      <c r="C115" s="23"/>
      <c r="D115" s="139"/>
      <c r="E115" s="139"/>
      <c r="F115" s="37"/>
      <c r="G115" s="37"/>
      <c r="H115" s="26"/>
      <c r="I115" s="26"/>
      <c r="J115" s="23"/>
      <c r="K115" s="23"/>
      <c r="L115" s="26"/>
      <c r="M115" s="26"/>
      <c r="N115" s="26"/>
      <c r="O115" s="119"/>
      <c r="P115" s="183"/>
      <c r="Q115" s="183"/>
      <c r="AA115" s="180"/>
      <c r="AB115" s="119"/>
    </row>
    <row r="116" spans="1:28" ht="35.25" customHeight="1" x14ac:dyDescent="0.2">
      <c r="A116" s="23"/>
      <c r="B116" s="23"/>
      <c r="C116" s="23"/>
      <c r="D116" s="139"/>
      <c r="E116" s="139"/>
      <c r="F116" s="37"/>
      <c r="G116" s="37"/>
      <c r="H116" s="26"/>
      <c r="I116" s="26"/>
      <c r="J116" s="23"/>
      <c r="K116" s="23"/>
      <c r="L116" s="26"/>
      <c r="M116" s="26"/>
      <c r="N116" s="26"/>
      <c r="O116" s="119"/>
      <c r="P116" s="181">
        <f>P114</f>
        <v>45800</v>
      </c>
      <c r="Q116" s="181">
        <f>Q114</f>
        <v>333.33333333333331</v>
      </c>
      <c r="R116" s="181">
        <f t="shared" ref="R116:T116" si="6">R114</f>
        <v>0</v>
      </c>
      <c r="S116" s="182">
        <f t="shared" si="6"/>
        <v>4580</v>
      </c>
      <c r="T116" s="182">
        <f t="shared" si="6"/>
        <v>33.333333333333336</v>
      </c>
      <c r="AA116" s="365" t="s">
        <v>529</v>
      </c>
      <c r="AB116" s="366"/>
    </row>
    <row r="117" spans="1:28" ht="12" thickBot="1" x14ac:dyDescent="0.25">
      <c r="A117" s="189"/>
      <c r="B117" s="189"/>
      <c r="C117" s="189"/>
      <c r="D117" s="190"/>
      <c r="E117" s="190"/>
      <c r="F117" s="191"/>
      <c r="G117" s="191"/>
      <c r="H117" s="200"/>
      <c r="I117" s="200"/>
      <c r="J117" s="189"/>
      <c r="K117" s="189"/>
      <c r="L117" s="200"/>
      <c r="M117" s="200"/>
      <c r="N117" s="200"/>
      <c r="O117" s="204"/>
      <c r="P117" s="206"/>
      <c r="Q117" s="206"/>
      <c r="R117" s="198"/>
      <c r="S117" s="198"/>
      <c r="T117" s="198"/>
      <c r="U117" s="272"/>
      <c r="V117" s="272"/>
      <c r="AA117" s="205"/>
      <c r="AB117" s="204"/>
    </row>
    <row r="118" spans="1:28" x14ac:dyDescent="0.2">
      <c r="A118" s="23"/>
      <c r="B118" s="23"/>
      <c r="C118" s="23"/>
      <c r="D118" s="139"/>
      <c r="E118" s="139"/>
      <c r="F118" s="37"/>
      <c r="G118" s="37"/>
      <c r="H118" s="26"/>
      <c r="I118" s="26"/>
      <c r="J118" s="23"/>
      <c r="K118" s="23"/>
      <c r="L118" s="26"/>
      <c r="M118" s="26"/>
      <c r="N118" s="26"/>
      <c r="O118" s="119"/>
      <c r="AA118" s="130"/>
      <c r="AB118" s="119"/>
    </row>
    <row r="119" spans="1:28" ht="22.5" x14ac:dyDescent="0.2">
      <c r="A119" s="23" t="s">
        <v>268</v>
      </c>
      <c r="B119" s="23" t="s">
        <v>269</v>
      </c>
      <c r="C119" s="24" t="s">
        <v>270</v>
      </c>
      <c r="D119" s="139">
        <v>400</v>
      </c>
      <c r="E119" s="139">
        <v>2</v>
      </c>
      <c r="F119" s="37"/>
      <c r="G119" s="37"/>
      <c r="H119" s="26">
        <v>1400</v>
      </c>
      <c r="I119" s="26">
        <f>H119*1</f>
        <v>1400</v>
      </c>
      <c r="J119" s="23"/>
      <c r="K119" s="23"/>
      <c r="L119" s="26">
        <v>1</v>
      </c>
      <c r="M119" s="26">
        <v>0</v>
      </c>
      <c r="N119" s="26"/>
      <c r="O119" s="119"/>
      <c r="P119" s="126">
        <f t="shared" ref="P119:Q121" si="7">D119*5</f>
        <v>2000</v>
      </c>
      <c r="Q119" s="126">
        <f t="shared" si="7"/>
        <v>10</v>
      </c>
      <c r="R119" s="273">
        <f>I119*P119/D119</f>
        <v>7000</v>
      </c>
      <c r="S119" s="273">
        <f t="shared" ref="S119:T121" si="8">P119*$X$1</f>
        <v>200</v>
      </c>
      <c r="T119" s="273">
        <f t="shared" si="8"/>
        <v>1</v>
      </c>
      <c r="AA119" s="130"/>
      <c r="AB119" s="119"/>
    </row>
    <row r="120" spans="1:28" x14ac:dyDescent="0.2">
      <c r="A120" s="23"/>
      <c r="B120" s="23"/>
      <c r="C120" s="24" t="s">
        <v>271</v>
      </c>
      <c r="D120" s="139">
        <v>50</v>
      </c>
      <c r="E120" s="139">
        <v>0.25</v>
      </c>
      <c r="F120" s="37"/>
      <c r="G120" s="37"/>
      <c r="H120" s="26">
        <v>2500</v>
      </c>
      <c r="I120" s="26">
        <f>H120*0.12</f>
        <v>300</v>
      </c>
      <c r="J120" s="23"/>
      <c r="K120" s="23"/>
      <c r="L120" s="26">
        <v>1</v>
      </c>
      <c r="M120" s="26">
        <v>0</v>
      </c>
      <c r="N120" s="26"/>
      <c r="O120" s="119"/>
      <c r="P120" s="126">
        <f t="shared" si="7"/>
        <v>250</v>
      </c>
      <c r="Q120" s="126">
        <f t="shared" si="7"/>
        <v>1.25</v>
      </c>
      <c r="R120" s="273">
        <f>I120*P120/D120</f>
        <v>1500</v>
      </c>
      <c r="S120" s="273">
        <f t="shared" si="8"/>
        <v>25</v>
      </c>
      <c r="T120" s="273">
        <f t="shared" si="8"/>
        <v>0.125</v>
      </c>
      <c r="AA120" s="130"/>
      <c r="AB120" s="119"/>
    </row>
    <row r="121" spans="1:28" x14ac:dyDescent="0.2">
      <c r="A121" s="23"/>
      <c r="B121" s="23"/>
      <c r="C121" s="24" t="s">
        <v>272</v>
      </c>
      <c r="D121" s="139">
        <v>70</v>
      </c>
      <c r="E121" s="139">
        <v>0.3</v>
      </c>
      <c r="F121" s="37"/>
      <c r="G121" s="37"/>
      <c r="H121" s="26">
        <v>1800</v>
      </c>
      <c r="I121" s="26">
        <f>H121*0.06</f>
        <v>108</v>
      </c>
      <c r="J121" s="23"/>
      <c r="K121" s="23"/>
      <c r="L121" s="26">
        <v>1</v>
      </c>
      <c r="M121" s="26">
        <v>0</v>
      </c>
      <c r="N121" s="26"/>
      <c r="O121" s="119"/>
      <c r="P121" s="126">
        <f t="shared" si="7"/>
        <v>350</v>
      </c>
      <c r="Q121" s="126">
        <f t="shared" si="7"/>
        <v>1.5</v>
      </c>
      <c r="R121" s="273">
        <f>I121*P121/D121</f>
        <v>540</v>
      </c>
      <c r="S121" s="273">
        <f t="shared" si="8"/>
        <v>35</v>
      </c>
      <c r="T121" s="273">
        <f t="shared" si="8"/>
        <v>0.15000000000000002</v>
      </c>
      <c r="AA121" s="130"/>
      <c r="AB121" s="119"/>
    </row>
    <row r="122" spans="1:28" x14ac:dyDescent="0.2">
      <c r="A122" s="23"/>
      <c r="B122" s="23"/>
      <c r="C122" s="24" t="s">
        <v>273</v>
      </c>
      <c r="D122" s="139">
        <v>197.91666670000001</v>
      </c>
      <c r="E122" s="139">
        <v>1.425</v>
      </c>
      <c r="F122" s="37"/>
      <c r="G122" s="37"/>
      <c r="H122" s="26"/>
      <c r="I122" s="26"/>
      <c r="J122" s="23"/>
      <c r="K122" s="23"/>
      <c r="L122" s="26">
        <v>1</v>
      </c>
      <c r="M122" s="26">
        <v>0</v>
      </c>
      <c r="N122" s="26"/>
      <c r="O122" s="119"/>
      <c r="P122" s="24"/>
      <c r="Q122" s="24"/>
      <c r="R122" s="273"/>
      <c r="U122" s="126">
        <f>0.25*Input!C4/6*Input!C5</f>
        <v>585</v>
      </c>
      <c r="V122" s="126">
        <f>0.0018*Input!C4/6*Input!C5</f>
        <v>4.2119999999999997</v>
      </c>
      <c r="AA122" s="130"/>
      <c r="AB122" s="119"/>
    </row>
    <row r="123" spans="1:28" x14ac:dyDescent="0.2">
      <c r="A123" s="23"/>
      <c r="B123" s="23"/>
      <c r="C123" s="24" t="s">
        <v>274</v>
      </c>
      <c r="D123" s="139">
        <v>15</v>
      </c>
      <c r="E123" s="139">
        <v>1.35E-2</v>
      </c>
      <c r="F123" s="37"/>
      <c r="G123" s="37"/>
      <c r="H123" s="26"/>
      <c r="I123" s="26"/>
      <c r="J123" s="23"/>
      <c r="K123" s="23"/>
      <c r="L123" s="26">
        <v>1</v>
      </c>
      <c r="M123" s="26">
        <v>0</v>
      </c>
      <c r="N123" s="26"/>
      <c r="O123" s="119"/>
      <c r="P123" s="126">
        <f>D123*5</f>
        <v>75</v>
      </c>
      <c r="Q123" s="126">
        <f>E123*5</f>
        <v>6.7500000000000004E-2</v>
      </c>
      <c r="R123" s="273"/>
      <c r="S123" s="273">
        <f>P123*$X$1</f>
        <v>7.5</v>
      </c>
      <c r="T123" s="273">
        <f>Q123*$X$1</f>
        <v>6.7500000000000008E-3</v>
      </c>
      <c r="AA123" s="130"/>
      <c r="AB123" s="119"/>
    </row>
    <row r="124" spans="1:28" x14ac:dyDescent="0.2">
      <c r="A124" s="23"/>
      <c r="B124" s="23"/>
      <c r="C124" s="24" t="s">
        <v>275</v>
      </c>
      <c r="D124" s="139">
        <v>40</v>
      </c>
      <c r="E124" s="139">
        <v>0.56000000000000005</v>
      </c>
      <c r="F124" s="37"/>
      <c r="G124" s="37"/>
      <c r="H124" s="26">
        <v>1200</v>
      </c>
      <c r="I124" s="26">
        <f>H124*0.08</f>
        <v>96</v>
      </c>
      <c r="J124" s="23"/>
      <c r="K124" s="23"/>
      <c r="L124" s="26">
        <v>1</v>
      </c>
      <c r="M124" s="26">
        <v>0</v>
      </c>
      <c r="N124" s="26"/>
      <c r="O124" s="119"/>
      <c r="P124" s="126">
        <f>D124*5</f>
        <v>200</v>
      </c>
      <c r="Q124" s="126">
        <f>E124*5</f>
        <v>2.8000000000000003</v>
      </c>
      <c r="R124" s="273">
        <f>I124*P124/D124</f>
        <v>480</v>
      </c>
      <c r="S124" s="273">
        <f>P124*$X$1</f>
        <v>20</v>
      </c>
      <c r="T124" s="273">
        <f>Q124*$X$1</f>
        <v>0.28000000000000003</v>
      </c>
      <c r="AA124" s="130"/>
      <c r="AB124" s="119"/>
    </row>
    <row r="125" spans="1:28" x14ac:dyDescent="0.2">
      <c r="A125" s="23"/>
      <c r="B125" s="31"/>
      <c r="C125" s="32" t="s">
        <v>276</v>
      </c>
      <c r="D125" s="140">
        <v>20</v>
      </c>
      <c r="E125" s="140">
        <v>5.5999999999999999E-3</v>
      </c>
      <c r="F125" s="43"/>
      <c r="G125" s="43"/>
      <c r="H125" s="34"/>
      <c r="I125" s="34"/>
      <c r="J125" s="31"/>
      <c r="K125" s="31"/>
      <c r="L125" s="34">
        <v>1</v>
      </c>
      <c r="M125" s="34">
        <v>0</v>
      </c>
      <c r="N125" s="34"/>
      <c r="O125" s="120"/>
      <c r="P125" s="32"/>
      <c r="Q125" s="32"/>
      <c r="R125" s="128"/>
      <c r="S125" s="128"/>
      <c r="T125" s="128"/>
      <c r="U125" s="128">
        <f>5*Input!C4</f>
        <v>90</v>
      </c>
      <c r="V125" s="128">
        <f>0.0014*Input!C4</f>
        <v>2.52E-2</v>
      </c>
      <c r="AA125" s="131"/>
      <c r="AB125" s="120"/>
    </row>
    <row r="126" spans="1:28" ht="22.5" x14ac:dyDescent="0.2">
      <c r="A126" s="23"/>
      <c r="B126" s="23" t="s">
        <v>277</v>
      </c>
      <c r="C126" s="24" t="s">
        <v>278</v>
      </c>
      <c r="D126" s="139">
        <v>90</v>
      </c>
      <c r="E126" s="139">
        <v>4.3600000000000003</v>
      </c>
      <c r="F126" s="37"/>
      <c r="G126" s="37"/>
      <c r="H126" s="26">
        <v>90</v>
      </c>
      <c r="I126" s="26">
        <f>H126*0.025</f>
        <v>2.25</v>
      </c>
      <c r="J126" s="23"/>
      <c r="K126" s="23"/>
      <c r="L126" s="26">
        <v>1</v>
      </c>
      <c r="M126" s="26">
        <v>0</v>
      </c>
      <c r="N126" s="26"/>
      <c r="O126" s="119"/>
      <c r="P126" s="126">
        <f>D126*5</f>
        <v>450</v>
      </c>
      <c r="Q126" s="126">
        <f>E126*5</f>
        <v>21.8</v>
      </c>
      <c r="S126" s="273">
        <f>P126*$X$1</f>
        <v>45</v>
      </c>
      <c r="T126" s="273">
        <f>Q126*$X$1</f>
        <v>2.1800000000000002</v>
      </c>
      <c r="AA126" s="130"/>
      <c r="AB126" s="119"/>
    </row>
    <row r="127" spans="1:28" x14ac:dyDescent="0.2">
      <c r="A127" s="23"/>
      <c r="B127" s="23"/>
      <c r="C127" s="24" t="s">
        <v>279</v>
      </c>
      <c r="D127" s="139">
        <v>158.33333329999999</v>
      </c>
      <c r="E127" s="139">
        <v>4.1166666669999996</v>
      </c>
      <c r="F127" s="37"/>
      <c r="G127" s="37"/>
      <c r="H127" s="26"/>
      <c r="I127" s="26"/>
      <c r="J127" s="23"/>
      <c r="K127" s="23"/>
      <c r="L127" s="26">
        <v>1</v>
      </c>
      <c r="M127" s="26">
        <v>0</v>
      </c>
      <c r="N127" s="26"/>
      <c r="O127" s="119"/>
      <c r="P127" s="24"/>
      <c r="Q127" s="24"/>
      <c r="U127" s="126">
        <f>0.05*Input!C4*Input!C5</f>
        <v>702</v>
      </c>
      <c r="V127" s="126">
        <f>0.0013*Input!C4*Input!C5</f>
        <v>18.251999999999999</v>
      </c>
      <c r="AA127" s="130"/>
      <c r="AB127" s="119"/>
    </row>
    <row r="128" spans="1:28" x14ac:dyDescent="0.2">
      <c r="A128" s="23"/>
      <c r="B128" s="31"/>
      <c r="C128" s="32" t="s">
        <v>280</v>
      </c>
      <c r="D128" s="140">
        <v>728.33333330000005</v>
      </c>
      <c r="E128" s="140">
        <v>2.5333333329999999</v>
      </c>
      <c r="F128" s="43"/>
      <c r="G128" s="43"/>
      <c r="H128" s="34"/>
      <c r="I128" s="34"/>
      <c r="J128" s="31"/>
      <c r="K128" s="31"/>
      <c r="L128" s="34">
        <v>1</v>
      </c>
      <c r="M128" s="34">
        <v>0</v>
      </c>
      <c r="N128" s="34"/>
      <c r="O128" s="120"/>
      <c r="P128" s="32"/>
      <c r="Q128" s="32"/>
      <c r="R128" s="128"/>
      <c r="S128" s="128"/>
      <c r="T128" s="128"/>
      <c r="U128" s="128">
        <f>0.23*Input!C4*Input!C5</f>
        <v>3229.2000000000003</v>
      </c>
      <c r="V128" s="128">
        <f>0.0008*Input!C4*Input!C5</f>
        <v>11.232000000000001</v>
      </c>
      <c r="AA128" s="131"/>
      <c r="AB128" s="120"/>
    </row>
    <row r="129" spans="1:28" x14ac:dyDescent="0.2">
      <c r="A129" s="23"/>
      <c r="B129" s="23" t="s">
        <v>281</v>
      </c>
      <c r="C129" s="24" t="s">
        <v>6</v>
      </c>
      <c r="D129" s="139">
        <v>75</v>
      </c>
      <c r="E129" s="139">
        <v>1.41</v>
      </c>
      <c r="F129" s="37"/>
      <c r="G129" s="37"/>
      <c r="H129" s="26">
        <v>1000</v>
      </c>
      <c r="I129" s="26">
        <f>H129*0.08</f>
        <v>80</v>
      </c>
      <c r="J129" s="23"/>
      <c r="K129" s="23"/>
      <c r="L129" s="26">
        <v>1</v>
      </c>
      <c r="M129" s="26">
        <v>0</v>
      </c>
      <c r="N129" s="26"/>
      <c r="O129" s="119"/>
      <c r="P129" s="126">
        <f>D129*5</f>
        <v>375</v>
      </c>
      <c r="Q129" s="126">
        <f>E129*5</f>
        <v>7.05</v>
      </c>
      <c r="R129" s="273">
        <f>I129*P129/D129</f>
        <v>400</v>
      </c>
      <c r="S129" s="273">
        <f t="shared" ref="S129:T130" si="9">P129*$X$1</f>
        <v>37.5</v>
      </c>
      <c r="T129" s="273">
        <f t="shared" si="9"/>
        <v>0.70500000000000007</v>
      </c>
      <c r="AA129" s="130"/>
      <c r="AB129" s="119"/>
    </row>
    <row r="130" spans="1:28" x14ac:dyDescent="0.2">
      <c r="A130" s="23"/>
      <c r="B130" s="23"/>
      <c r="C130" s="24" t="s">
        <v>282</v>
      </c>
      <c r="D130" s="139">
        <v>8</v>
      </c>
      <c r="E130" s="139">
        <v>0.01</v>
      </c>
      <c r="F130" s="37"/>
      <c r="G130" s="37"/>
      <c r="H130" s="26"/>
      <c r="I130" s="26"/>
      <c r="J130" s="23"/>
      <c r="K130" s="23"/>
      <c r="L130" s="26">
        <v>1</v>
      </c>
      <c r="M130" s="26">
        <v>0</v>
      </c>
      <c r="N130" s="26"/>
      <c r="O130" s="119"/>
      <c r="P130" s="126">
        <f>D130*5</f>
        <v>40</v>
      </c>
      <c r="Q130" s="126">
        <f>E130*5</f>
        <v>0.05</v>
      </c>
      <c r="S130" s="273">
        <f t="shared" si="9"/>
        <v>4</v>
      </c>
      <c r="T130" s="273">
        <f t="shared" si="9"/>
        <v>5.000000000000001E-3</v>
      </c>
      <c r="AA130" s="130"/>
      <c r="AB130" s="119"/>
    </row>
    <row r="131" spans="1:28" x14ac:dyDescent="0.2">
      <c r="A131" s="23"/>
      <c r="B131" s="23"/>
      <c r="C131" s="24" t="s">
        <v>283</v>
      </c>
      <c r="D131" s="139">
        <v>7.2</v>
      </c>
      <c r="E131" s="139">
        <v>7.4999999999999997E-2</v>
      </c>
      <c r="F131" s="37"/>
      <c r="G131" s="37"/>
      <c r="H131" s="26"/>
      <c r="I131" s="26"/>
      <c r="J131" s="23"/>
      <c r="K131" s="23"/>
      <c r="L131" s="26">
        <v>1</v>
      </c>
      <c r="M131" s="26">
        <v>0</v>
      </c>
      <c r="N131" s="26"/>
      <c r="O131" s="119"/>
      <c r="S131" s="273"/>
      <c r="T131" s="273"/>
      <c r="U131" s="126">
        <f>1.8*Input!C4</f>
        <v>32.4</v>
      </c>
      <c r="V131" s="126">
        <f>0.005*Input!C4</f>
        <v>0.09</v>
      </c>
      <c r="AA131" s="130"/>
      <c r="AB131" s="119"/>
    </row>
    <row r="132" spans="1:28" x14ac:dyDescent="0.2">
      <c r="A132" s="23"/>
      <c r="B132" s="31"/>
      <c r="C132" s="32" t="s">
        <v>284</v>
      </c>
      <c r="D132" s="140">
        <v>237.5</v>
      </c>
      <c r="E132" s="140">
        <v>4.75</v>
      </c>
      <c r="F132" s="43"/>
      <c r="G132" s="43"/>
      <c r="H132" s="34"/>
      <c r="I132" s="34"/>
      <c r="J132" s="31"/>
      <c r="K132" s="31"/>
      <c r="L132" s="34">
        <v>1</v>
      </c>
      <c r="M132" s="34">
        <v>0</v>
      </c>
      <c r="N132" s="34"/>
      <c r="O132" s="120"/>
      <c r="P132" s="32"/>
      <c r="Q132" s="32"/>
      <c r="R132" s="128"/>
      <c r="S132" s="128"/>
      <c r="T132" s="128"/>
      <c r="U132" s="128">
        <f>0.075*Input!C4*Input!C5</f>
        <v>1053</v>
      </c>
      <c r="V132" s="128">
        <f>0.0015*Input!C4*Input!C5</f>
        <v>21.06</v>
      </c>
      <c r="AA132" s="131"/>
      <c r="AB132" s="120"/>
    </row>
    <row r="133" spans="1:28" x14ac:dyDescent="0.2">
      <c r="A133" s="23"/>
      <c r="B133" s="23" t="s">
        <v>8</v>
      </c>
      <c r="C133" s="24" t="s">
        <v>8</v>
      </c>
      <c r="D133" s="139">
        <v>396</v>
      </c>
      <c r="E133" s="139">
        <v>1.3440000000000001</v>
      </c>
      <c r="F133" s="37"/>
      <c r="G133" s="37"/>
      <c r="H133" s="26"/>
      <c r="I133" s="26"/>
      <c r="J133" s="23"/>
      <c r="K133" s="23"/>
      <c r="L133" s="26">
        <v>1</v>
      </c>
      <c r="M133" s="26">
        <v>0</v>
      </c>
      <c r="N133" s="26"/>
      <c r="O133" s="119"/>
      <c r="P133" s="24"/>
      <c r="Q133" s="24"/>
      <c r="U133" s="126">
        <f>99*Input!C4</f>
        <v>1782</v>
      </c>
      <c r="V133" s="126">
        <f>0.336*Input!C4</f>
        <v>6.048</v>
      </c>
      <c r="AA133" s="130"/>
      <c r="AB133" s="119"/>
    </row>
    <row r="134" spans="1:28" x14ac:dyDescent="0.2">
      <c r="A134" s="23"/>
      <c r="B134" s="23"/>
      <c r="C134" s="24" t="s">
        <v>285</v>
      </c>
      <c r="D134" s="139">
        <v>100</v>
      </c>
      <c r="E134" s="139">
        <v>0.75</v>
      </c>
      <c r="F134" s="37"/>
      <c r="G134" s="37"/>
      <c r="H134" s="26">
        <v>1500</v>
      </c>
      <c r="I134" s="26">
        <f>H134*0.08</f>
        <v>120</v>
      </c>
      <c r="J134" s="23"/>
      <c r="K134" s="23"/>
      <c r="L134" s="26">
        <v>1</v>
      </c>
      <c r="M134" s="26">
        <v>0</v>
      </c>
      <c r="N134" s="26"/>
      <c r="O134" s="119"/>
      <c r="P134" s="126">
        <f>D134*5</f>
        <v>500</v>
      </c>
      <c r="Q134" s="126">
        <f>E134*5</f>
        <v>3.75</v>
      </c>
      <c r="R134" s="273">
        <f>I134*P134/D134</f>
        <v>600</v>
      </c>
      <c r="S134" s="273">
        <f t="shared" ref="S134:T138" si="10">P134*$X$1</f>
        <v>50</v>
      </c>
      <c r="T134" s="273">
        <f t="shared" si="10"/>
        <v>0.375</v>
      </c>
      <c r="AA134" s="130"/>
      <c r="AB134" s="119"/>
    </row>
    <row r="135" spans="1:28" x14ac:dyDescent="0.2">
      <c r="A135" s="23"/>
      <c r="B135" s="31"/>
      <c r="C135" s="32" t="s">
        <v>286</v>
      </c>
      <c r="D135" s="140">
        <v>60</v>
      </c>
      <c r="E135" s="140">
        <v>0.75</v>
      </c>
      <c r="F135" s="43"/>
      <c r="G135" s="43"/>
      <c r="H135" s="34">
        <v>2500</v>
      </c>
      <c r="I135" s="26">
        <f>H135*0.08</f>
        <v>200</v>
      </c>
      <c r="J135" s="31"/>
      <c r="K135" s="31"/>
      <c r="L135" s="34">
        <v>1</v>
      </c>
      <c r="M135" s="34">
        <v>0</v>
      </c>
      <c r="N135" s="34"/>
      <c r="O135" s="120"/>
      <c r="P135" s="128">
        <f>D135*5</f>
        <v>300</v>
      </c>
      <c r="Q135" s="128">
        <f>E135*5</f>
        <v>3.75</v>
      </c>
      <c r="R135" s="277">
        <f>I135*P135/D135</f>
        <v>1000</v>
      </c>
      <c r="S135" s="277">
        <f t="shared" si="10"/>
        <v>30</v>
      </c>
      <c r="T135" s="277">
        <f t="shared" si="10"/>
        <v>0.375</v>
      </c>
      <c r="U135" s="32"/>
      <c r="V135" s="32"/>
      <c r="AA135" s="131"/>
      <c r="AB135" s="120"/>
    </row>
    <row r="136" spans="1:28" ht="33.75" x14ac:dyDescent="0.2">
      <c r="A136" s="23"/>
      <c r="B136" s="31" t="s">
        <v>287</v>
      </c>
      <c r="C136" s="31" t="s">
        <v>288</v>
      </c>
      <c r="D136" s="140">
        <v>200</v>
      </c>
      <c r="E136" s="140">
        <v>3</v>
      </c>
      <c r="F136" s="43"/>
      <c r="G136" s="43"/>
      <c r="H136" s="34">
        <v>700</v>
      </c>
      <c r="I136" s="34">
        <f>H136*0.04</f>
        <v>28</v>
      </c>
      <c r="J136" s="31"/>
      <c r="K136" s="31"/>
      <c r="L136" s="34">
        <v>1</v>
      </c>
      <c r="M136" s="34">
        <v>0</v>
      </c>
      <c r="N136" s="34"/>
      <c r="O136" s="120"/>
      <c r="P136" s="128">
        <f>50*Input!C4</f>
        <v>900</v>
      </c>
      <c r="Q136" s="128">
        <f>0.75*Input!C4</f>
        <v>13.5</v>
      </c>
      <c r="R136" s="128"/>
      <c r="S136" s="277">
        <f t="shared" si="10"/>
        <v>90</v>
      </c>
      <c r="T136" s="277">
        <f t="shared" si="10"/>
        <v>1.35</v>
      </c>
      <c r="U136" s="32"/>
      <c r="V136" s="32"/>
      <c r="AA136" s="131"/>
      <c r="AB136" s="120"/>
    </row>
    <row r="137" spans="1:28" x14ac:dyDescent="0.2">
      <c r="A137" s="23"/>
      <c r="B137" s="23" t="s">
        <v>289</v>
      </c>
      <c r="C137" s="24" t="s">
        <v>290</v>
      </c>
      <c r="D137" s="139">
        <v>13</v>
      </c>
      <c r="E137" s="139">
        <v>7.0000000000000007E-2</v>
      </c>
      <c r="F137" s="37"/>
      <c r="G137" s="37"/>
      <c r="H137" s="26">
        <v>400</v>
      </c>
      <c r="I137" s="26">
        <f>H137*0.01</f>
        <v>4</v>
      </c>
      <c r="J137" s="23"/>
      <c r="K137" s="23"/>
      <c r="L137" s="26">
        <v>1</v>
      </c>
      <c r="M137" s="26">
        <v>0</v>
      </c>
      <c r="N137" s="26"/>
      <c r="O137" s="119"/>
      <c r="P137" s="126">
        <f>D137*5</f>
        <v>65</v>
      </c>
      <c r="Q137" s="126">
        <f>E137*5</f>
        <v>0.35000000000000003</v>
      </c>
      <c r="R137" s="273">
        <f>I137*P137/D137</f>
        <v>20</v>
      </c>
      <c r="S137" s="273">
        <f t="shared" si="10"/>
        <v>6.5</v>
      </c>
      <c r="T137" s="273">
        <f t="shared" si="10"/>
        <v>3.5000000000000003E-2</v>
      </c>
      <c r="AA137" s="130"/>
      <c r="AB137" s="119"/>
    </row>
    <row r="138" spans="1:28" x14ac:dyDescent="0.2">
      <c r="A138" s="23"/>
      <c r="B138" s="23"/>
      <c r="C138" s="24" t="s">
        <v>291</v>
      </c>
      <c r="D138" s="139">
        <v>150</v>
      </c>
      <c r="E138" s="139">
        <v>0.3</v>
      </c>
      <c r="F138" s="37"/>
      <c r="G138" s="37"/>
      <c r="H138" s="26">
        <v>850</v>
      </c>
      <c r="I138" s="26">
        <f>H138*0.01</f>
        <v>8.5</v>
      </c>
      <c r="J138" s="23"/>
      <c r="K138" s="23"/>
      <c r="L138" s="26">
        <v>1</v>
      </c>
      <c r="M138" s="26">
        <v>0</v>
      </c>
      <c r="N138" s="26"/>
      <c r="O138" s="119"/>
      <c r="P138" s="126">
        <f>D138*5</f>
        <v>750</v>
      </c>
      <c r="Q138" s="126">
        <f>E138*5</f>
        <v>1.5</v>
      </c>
      <c r="S138" s="273">
        <f t="shared" si="10"/>
        <v>75</v>
      </c>
      <c r="T138" s="273">
        <f t="shared" si="10"/>
        <v>0.15000000000000002</v>
      </c>
      <c r="AA138" s="130"/>
      <c r="AB138" s="119"/>
    </row>
    <row r="139" spans="1:28" x14ac:dyDescent="0.2">
      <c r="A139" s="23"/>
      <c r="B139" s="31"/>
      <c r="C139" s="32" t="s">
        <v>292</v>
      </c>
      <c r="D139" s="140">
        <v>158.33333329999999</v>
      </c>
      <c r="E139" s="140">
        <v>3.1666666669999999</v>
      </c>
      <c r="F139" s="43"/>
      <c r="G139" s="43"/>
      <c r="H139" s="34"/>
      <c r="I139" s="34"/>
      <c r="J139" s="31"/>
      <c r="K139" s="31"/>
      <c r="L139" s="34">
        <v>1</v>
      </c>
      <c r="M139" s="34">
        <v>0</v>
      </c>
      <c r="N139" s="34"/>
      <c r="O139" s="120"/>
      <c r="P139" s="32"/>
      <c r="Q139" s="32"/>
      <c r="R139" s="128"/>
      <c r="S139" s="128"/>
      <c r="T139" s="128"/>
      <c r="U139" s="128">
        <f>0.05*Input!C4*Input!C5</f>
        <v>702</v>
      </c>
      <c r="V139" s="128">
        <f>0.001*Input!C4*Input!C5</f>
        <v>14.040000000000001</v>
      </c>
      <c r="AA139" s="131"/>
      <c r="AB139" s="120"/>
    </row>
    <row r="140" spans="1:28" ht="33.75" x14ac:dyDescent="0.2">
      <c r="A140" s="23"/>
      <c r="B140" s="23" t="s">
        <v>293</v>
      </c>
      <c r="C140" s="24" t="s">
        <v>293</v>
      </c>
      <c r="D140" s="139">
        <v>80</v>
      </c>
      <c r="E140" s="139">
        <v>8.0000000000000002E-3</v>
      </c>
      <c r="F140" s="37"/>
      <c r="G140" s="37"/>
      <c r="H140" s="26"/>
      <c r="I140" s="26"/>
      <c r="J140" s="23"/>
      <c r="K140" s="23"/>
      <c r="L140" s="26">
        <v>1</v>
      </c>
      <c r="M140" s="26">
        <v>0</v>
      </c>
      <c r="N140" s="26"/>
      <c r="O140" s="119"/>
      <c r="S140" s="273"/>
      <c r="T140" s="273"/>
      <c r="U140" s="126">
        <f>20*Input!C4</f>
        <v>360</v>
      </c>
      <c r="V140" s="126">
        <f>0.002*Input!C4</f>
        <v>3.6000000000000004E-2</v>
      </c>
      <c r="AA140" s="130"/>
      <c r="AB140" s="119"/>
    </row>
    <row r="141" spans="1:28" x14ac:dyDescent="0.2">
      <c r="A141" s="23"/>
      <c r="B141" s="31"/>
      <c r="C141" s="32" t="s">
        <v>294</v>
      </c>
      <c r="D141" s="140">
        <v>100</v>
      </c>
      <c r="E141" s="140">
        <v>0.54</v>
      </c>
      <c r="F141" s="43"/>
      <c r="G141" s="43"/>
      <c r="H141" s="34"/>
      <c r="I141" s="34"/>
      <c r="J141" s="31"/>
      <c r="K141" s="31"/>
      <c r="L141" s="34">
        <v>1</v>
      </c>
      <c r="M141" s="34">
        <v>0</v>
      </c>
      <c r="N141" s="34"/>
      <c r="O141" s="120"/>
      <c r="P141" s="128"/>
      <c r="Q141" s="128"/>
      <c r="R141" s="128"/>
      <c r="S141" s="277"/>
      <c r="T141" s="277"/>
      <c r="U141" s="128">
        <f>D141*5</f>
        <v>500</v>
      </c>
      <c r="V141" s="128">
        <f>E141*5</f>
        <v>2.7</v>
      </c>
      <c r="AA141" s="131"/>
      <c r="AB141" s="120"/>
    </row>
    <row r="142" spans="1:28" x14ac:dyDescent="0.2">
      <c r="A142" s="23"/>
      <c r="B142" s="31" t="s">
        <v>295</v>
      </c>
      <c r="C142" s="31" t="s">
        <v>296</v>
      </c>
      <c r="D142" s="140">
        <v>120</v>
      </c>
      <c r="E142" s="140">
        <v>0.5</v>
      </c>
      <c r="F142" s="43"/>
      <c r="G142" s="43"/>
      <c r="H142" s="34">
        <v>400</v>
      </c>
      <c r="I142" s="34">
        <f>H142*0.08</f>
        <v>32</v>
      </c>
      <c r="J142" s="31"/>
      <c r="K142" s="31"/>
      <c r="L142" s="34">
        <v>1</v>
      </c>
      <c r="M142" s="34">
        <v>0</v>
      </c>
      <c r="N142" s="34"/>
      <c r="O142" s="120"/>
      <c r="P142" s="128">
        <f>D142*5</f>
        <v>600</v>
      </c>
      <c r="Q142" s="128">
        <f>E142*5</f>
        <v>2.5</v>
      </c>
      <c r="R142" s="277">
        <f>I142*P142/D142</f>
        <v>160</v>
      </c>
      <c r="S142" s="277">
        <f t="shared" ref="S142:T144" si="11">P142*$X$1</f>
        <v>60</v>
      </c>
      <c r="T142" s="277">
        <f t="shared" si="11"/>
        <v>0.25</v>
      </c>
      <c r="U142" s="32"/>
      <c r="V142" s="32"/>
      <c r="AA142" s="131"/>
      <c r="AB142" s="120"/>
    </row>
    <row r="143" spans="1:28" ht="22.5" x14ac:dyDescent="0.2">
      <c r="A143" s="23"/>
      <c r="B143" s="31" t="s">
        <v>297</v>
      </c>
      <c r="C143" s="31" t="s">
        <v>298</v>
      </c>
      <c r="D143" s="140">
        <v>36</v>
      </c>
      <c r="E143" s="140">
        <v>0.4</v>
      </c>
      <c r="F143" s="43"/>
      <c r="G143" s="43"/>
      <c r="H143" s="34"/>
      <c r="I143" s="34"/>
      <c r="J143" s="31"/>
      <c r="K143" s="31"/>
      <c r="L143" s="34">
        <v>1</v>
      </c>
      <c r="M143" s="34">
        <v>0</v>
      </c>
      <c r="N143" s="34"/>
      <c r="O143" s="120"/>
      <c r="P143" s="128">
        <f>9*Input!C4</f>
        <v>162</v>
      </c>
      <c r="Q143" s="128">
        <f>0.1*Input!C4</f>
        <v>1.8</v>
      </c>
      <c r="R143" s="128"/>
      <c r="S143" s="277">
        <f t="shared" si="11"/>
        <v>16.2</v>
      </c>
      <c r="T143" s="277">
        <f t="shared" si="11"/>
        <v>0.18000000000000002</v>
      </c>
      <c r="U143" s="32"/>
      <c r="V143" s="32"/>
      <c r="AA143" s="131"/>
      <c r="AB143" s="120"/>
    </row>
    <row r="144" spans="1:28" x14ac:dyDescent="0.2">
      <c r="A144" s="23"/>
      <c r="B144" s="23" t="s">
        <v>299</v>
      </c>
      <c r="C144" s="24" t="s">
        <v>300</v>
      </c>
      <c r="D144" s="139">
        <v>1000</v>
      </c>
      <c r="E144" s="139">
        <v>4</v>
      </c>
      <c r="F144" s="37"/>
      <c r="G144" s="37"/>
      <c r="H144" s="26">
        <v>1500</v>
      </c>
      <c r="I144" s="26">
        <f>H144*0.01</f>
        <v>15</v>
      </c>
      <c r="J144" s="23"/>
      <c r="K144" s="23"/>
      <c r="L144" s="26">
        <v>1</v>
      </c>
      <c r="M144" s="26">
        <v>0</v>
      </c>
      <c r="N144" s="26"/>
      <c r="O144" s="119"/>
      <c r="P144" s="126">
        <f>D144*5</f>
        <v>5000</v>
      </c>
      <c r="Q144" s="126">
        <f>E144*5</f>
        <v>20</v>
      </c>
      <c r="S144" s="273">
        <f t="shared" si="11"/>
        <v>500</v>
      </c>
      <c r="T144" s="273">
        <f t="shared" si="11"/>
        <v>2</v>
      </c>
      <c r="AA144" s="130"/>
      <c r="AB144" s="119"/>
    </row>
    <row r="145" spans="1:28" x14ac:dyDescent="0.2">
      <c r="A145" s="23"/>
      <c r="B145" s="31"/>
      <c r="C145" s="32" t="s">
        <v>301</v>
      </c>
      <c r="D145" s="140">
        <v>500</v>
      </c>
      <c r="E145" s="140">
        <v>2.5</v>
      </c>
      <c r="F145" s="43"/>
      <c r="G145" s="43"/>
      <c r="H145" s="34"/>
      <c r="I145" s="34"/>
      <c r="J145" s="31"/>
      <c r="K145" s="31"/>
      <c r="L145" s="34">
        <v>1</v>
      </c>
      <c r="M145" s="34">
        <v>0</v>
      </c>
      <c r="N145" s="34"/>
      <c r="O145" s="120"/>
      <c r="P145" s="32"/>
      <c r="Q145" s="32"/>
      <c r="R145" s="128"/>
      <c r="S145" s="32"/>
      <c r="T145" s="32"/>
      <c r="U145" s="128">
        <f>D145*5</f>
        <v>2500</v>
      </c>
      <c r="V145" s="128">
        <f>E145*5</f>
        <v>12.5</v>
      </c>
      <c r="AA145" s="131"/>
      <c r="AB145" s="120"/>
    </row>
    <row r="146" spans="1:28" ht="22.5" x14ac:dyDescent="0.2">
      <c r="A146" s="23"/>
      <c r="B146" s="23" t="s">
        <v>302</v>
      </c>
      <c r="C146" s="23" t="s">
        <v>303</v>
      </c>
      <c r="D146" s="139">
        <f>700*0.453592</f>
        <v>317.51440000000002</v>
      </c>
      <c r="E146" s="139">
        <f>(6*4*2)*0.0283168</f>
        <v>1.3592063999999999</v>
      </c>
      <c r="F146" s="37"/>
      <c r="G146" s="37"/>
      <c r="H146" s="26">
        <v>200</v>
      </c>
      <c r="I146" s="26">
        <f>H146*0.5</f>
        <v>100</v>
      </c>
      <c r="J146" s="23"/>
      <c r="K146" s="23"/>
      <c r="L146" s="26">
        <v>1</v>
      </c>
      <c r="M146" s="26">
        <v>0</v>
      </c>
      <c r="N146" s="26"/>
      <c r="O146" s="119"/>
      <c r="P146" s="126">
        <f t="shared" ref="P146:Q148" si="12">D146*5</f>
        <v>1587.5720000000001</v>
      </c>
      <c r="Q146" s="126">
        <f t="shared" si="12"/>
        <v>6.7960319999999994</v>
      </c>
      <c r="R146" s="274">
        <f>I146*P146/D146</f>
        <v>500</v>
      </c>
      <c r="S146" s="273">
        <f t="shared" ref="S146:T150" si="13">P146*$X$1</f>
        <v>158.75720000000001</v>
      </c>
      <c r="T146" s="273">
        <f t="shared" si="13"/>
        <v>0.67960319999999996</v>
      </c>
      <c r="AA146" s="130"/>
      <c r="AB146" s="119"/>
    </row>
    <row r="147" spans="1:28" x14ac:dyDescent="0.2">
      <c r="A147" s="23"/>
      <c r="B147" s="23"/>
      <c r="C147" s="23" t="s">
        <v>304</v>
      </c>
      <c r="D147" s="146">
        <f>2200*0.453592</f>
        <v>997.90239999999994</v>
      </c>
      <c r="E147" s="139">
        <f>(4*2*1.5)*0.0283168</f>
        <v>0.33980159999999998</v>
      </c>
      <c r="F147" s="37"/>
      <c r="G147" s="37"/>
      <c r="H147" s="26">
        <v>145</v>
      </c>
      <c r="I147" s="26">
        <f>H147*0.5</f>
        <v>72.5</v>
      </c>
      <c r="J147" s="23"/>
      <c r="K147" s="23"/>
      <c r="L147" s="26">
        <v>1</v>
      </c>
      <c r="M147" s="26">
        <v>0</v>
      </c>
      <c r="N147" s="26"/>
      <c r="O147" s="119"/>
      <c r="P147" s="126">
        <f t="shared" si="12"/>
        <v>4989.5119999999997</v>
      </c>
      <c r="Q147" s="126">
        <f t="shared" si="12"/>
        <v>1.6990079999999999</v>
      </c>
      <c r="R147" s="273">
        <f>I147*P147/D147</f>
        <v>362.5</v>
      </c>
      <c r="S147" s="273">
        <f t="shared" si="13"/>
        <v>498.95119999999997</v>
      </c>
      <c r="T147" s="273">
        <f t="shared" si="13"/>
        <v>0.16990079999999999</v>
      </c>
      <c r="AA147" s="130"/>
      <c r="AB147" s="119"/>
    </row>
    <row r="148" spans="1:28" x14ac:dyDescent="0.2">
      <c r="A148" s="23"/>
      <c r="B148" s="31"/>
      <c r="C148" s="31" t="s">
        <v>305</v>
      </c>
      <c r="D148" s="140">
        <f>59*0.453592</f>
        <v>26.761928000000001</v>
      </c>
      <c r="E148" s="140">
        <f>(0.5*3*2)*0.0283168</f>
        <v>8.4950399999999995E-2</v>
      </c>
      <c r="F148" s="43"/>
      <c r="G148" s="43"/>
      <c r="H148" s="34">
        <v>145</v>
      </c>
      <c r="I148" s="34">
        <f>H148*0.5</f>
        <v>72.5</v>
      </c>
      <c r="J148" s="31"/>
      <c r="K148" s="31"/>
      <c r="L148" s="34">
        <v>1</v>
      </c>
      <c r="M148" s="34">
        <v>0</v>
      </c>
      <c r="N148" s="34"/>
      <c r="O148" s="120"/>
      <c r="P148" s="128">
        <f t="shared" si="12"/>
        <v>133.80964</v>
      </c>
      <c r="Q148" s="128">
        <f t="shared" si="12"/>
        <v>0.42475199999999996</v>
      </c>
      <c r="R148" s="277">
        <f>I148*P148/D148</f>
        <v>362.49999999999994</v>
      </c>
      <c r="S148" s="277">
        <f t="shared" si="13"/>
        <v>13.380964000000001</v>
      </c>
      <c r="T148" s="277">
        <f t="shared" si="13"/>
        <v>4.2475199999999998E-2</v>
      </c>
      <c r="U148" s="128"/>
      <c r="V148" s="128"/>
      <c r="AA148" s="131"/>
      <c r="AB148" s="120"/>
    </row>
    <row r="149" spans="1:28" x14ac:dyDescent="0.2">
      <c r="A149" s="23"/>
      <c r="B149" s="23" t="s">
        <v>44</v>
      </c>
      <c r="C149" s="23" t="s">
        <v>306</v>
      </c>
      <c r="D149" s="139">
        <v>6.33</v>
      </c>
      <c r="E149" s="139">
        <f>0.5*(0.0000163871*10*13.46*4.341)</f>
        <v>4.7874797940300005E-3</v>
      </c>
      <c r="F149" s="37"/>
      <c r="G149" s="37"/>
      <c r="H149" s="26"/>
      <c r="I149" s="26"/>
      <c r="J149" s="23"/>
      <c r="K149" s="26">
        <v>0.1230769231</v>
      </c>
      <c r="L149" s="26">
        <v>2</v>
      </c>
      <c r="M149" s="26">
        <v>2</v>
      </c>
      <c r="N149" s="26"/>
      <c r="O149" s="119"/>
      <c r="P149" s="126">
        <f>D149*SUM(L149:M149)*5</f>
        <v>126.6</v>
      </c>
      <c r="Q149" s="126">
        <f>E149*SUM(L149:M149)*5</f>
        <v>9.5749595880600002E-2</v>
      </c>
      <c r="S149" s="273">
        <f t="shared" si="13"/>
        <v>12.66</v>
      </c>
      <c r="T149" s="273">
        <f t="shared" si="13"/>
        <v>9.5749595880600009E-3</v>
      </c>
      <c r="AA149" s="130"/>
      <c r="AB149" s="119"/>
    </row>
    <row r="150" spans="1:28" x14ac:dyDescent="0.2">
      <c r="A150" s="23"/>
      <c r="B150" s="23"/>
      <c r="C150" s="23" t="s">
        <v>307</v>
      </c>
      <c r="D150" s="139">
        <f>90.7-D149-D149</f>
        <v>78.040000000000006</v>
      </c>
      <c r="E150" s="139">
        <f>(22.75*41*43.7)*0.0000163871</f>
        <v>0.66795745084250013</v>
      </c>
      <c r="F150" s="37"/>
      <c r="G150" s="37"/>
      <c r="H150" s="26"/>
      <c r="I150" s="26"/>
      <c r="J150" s="23"/>
      <c r="K150" s="23"/>
      <c r="L150" s="26">
        <v>2</v>
      </c>
      <c r="M150" s="26">
        <v>2</v>
      </c>
      <c r="N150" s="26"/>
      <c r="O150" s="119"/>
      <c r="P150" s="126">
        <f>D150*SUM(L150:M150)*5</f>
        <v>1560.8000000000002</v>
      </c>
      <c r="Q150" s="126">
        <f>E150*SUM(L150:M150)*5</f>
        <v>13.359149016850003</v>
      </c>
      <c r="S150" s="273">
        <f t="shared" si="13"/>
        <v>156.08000000000004</v>
      </c>
      <c r="T150" s="273">
        <f t="shared" si="13"/>
        <v>1.3359149016850003</v>
      </c>
      <c r="AA150" s="130"/>
      <c r="AB150" s="119"/>
    </row>
    <row r="151" spans="1:28" x14ac:dyDescent="0.2">
      <c r="A151" s="23"/>
      <c r="B151" s="30"/>
      <c r="C151" s="30"/>
      <c r="D151" s="147"/>
      <c r="E151" s="147"/>
      <c r="F151" s="30"/>
      <c r="G151" s="30"/>
      <c r="H151" s="30"/>
      <c r="I151" s="30"/>
      <c r="J151" s="30"/>
      <c r="K151" s="30"/>
      <c r="L151" s="30"/>
      <c r="M151" s="23"/>
      <c r="N151" s="23"/>
      <c r="O151" s="123"/>
      <c r="AA151" s="136"/>
      <c r="AB151" s="123"/>
    </row>
    <row r="152" spans="1:28" ht="36.75" customHeight="1" x14ac:dyDescent="0.2">
      <c r="A152" s="23"/>
      <c r="B152" s="30"/>
      <c r="C152" s="30"/>
      <c r="D152" s="147"/>
      <c r="E152" s="147"/>
      <c r="F152" s="30"/>
      <c r="G152" s="30"/>
      <c r="H152" s="30"/>
      <c r="I152" s="30"/>
      <c r="J152" s="30"/>
      <c r="K152" s="30"/>
      <c r="L152" s="30"/>
      <c r="M152" s="23"/>
      <c r="N152" s="23"/>
      <c r="O152" s="123"/>
      <c r="P152" s="181">
        <f>SUM(P119:P150)</f>
        <v>20415.293639999996</v>
      </c>
      <c r="Q152" s="181">
        <f t="shared" ref="Q152:V152" si="14">SUM(Q119:Q150)</f>
        <v>114.04219061273059</v>
      </c>
      <c r="R152" s="181">
        <f t="shared" si="14"/>
        <v>12925</v>
      </c>
      <c r="S152" s="182">
        <f>SUM(S119:S150)</f>
        <v>2041.529364</v>
      </c>
      <c r="T152" s="182">
        <f t="shared" si="14"/>
        <v>11.404219061273061</v>
      </c>
      <c r="U152" s="182">
        <f t="shared" si="14"/>
        <v>11535.6</v>
      </c>
      <c r="V152" s="182">
        <f t="shared" si="14"/>
        <v>90.195200000000014</v>
      </c>
      <c r="AA152" s="367" t="s">
        <v>530</v>
      </c>
      <c r="AB152" s="368"/>
    </row>
    <row r="153" spans="1:28" ht="12" thickBot="1" x14ac:dyDescent="0.25">
      <c r="A153" s="189"/>
      <c r="B153" s="207"/>
      <c r="C153" s="207"/>
      <c r="D153" s="208"/>
      <c r="E153" s="208"/>
      <c r="F153" s="207"/>
      <c r="G153" s="207"/>
      <c r="H153" s="207"/>
      <c r="I153" s="207"/>
      <c r="J153" s="207"/>
      <c r="K153" s="207"/>
      <c r="L153" s="207"/>
      <c r="M153" s="189"/>
      <c r="N153" s="189"/>
      <c r="O153" s="196"/>
      <c r="P153" s="198"/>
      <c r="Q153" s="198"/>
      <c r="R153" s="198"/>
      <c r="S153" s="198"/>
      <c r="T153" s="286"/>
      <c r="U153" s="287"/>
      <c r="V153" s="287"/>
      <c r="AA153" s="197"/>
      <c r="AB153" s="196"/>
    </row>
    <row r="154" spans="1:28" x14ac:dyDescent="0.2">
      <c r="A154" s="23"/>
      <c r="B154" s="30"/>
      <c r="C154" s="30"/>
      <c r="D154" s="147"/>
      <c r="E154" s="147"/>
      <c r="F154" s="30"/>
      <c r="G154" s="30"/>
      <c r="H154" s="30"/>
      <c r="I154" s="30"/>
      <c r="J154" s="30"/>
      <c r="K154" s="30"/>
      <c r="L154" s="30"/>
      <c r="M154" s="23"/>
      <c r="N154" s="23"/>
      <c r="O154" s="123"/>
      <c r="AA154" s="136"/>
      <c r="AB154" s="123"/>
    </row>
    <row r="155" spans="1:28" x14ac:dyDescent="0.2">
      <c r="A155" s="23"/>
      <c r="B155" s="30"/>
      <c r="C155" s="30"/>
      <c r="D155" s="147"/>
      <c r="E155" s="147"/>
      <c r="F155" s="30"/>
      <c r="G155" s="30"/>
      <c r="H155" s="30"/>
      <c r="I155" s="30"/>
      <c r="J155" s="30"/>
      <c r="K155" s="30"/>
      <c r="L155" s="30"/>
      <c r="M155" s="23"/>
      <c r="N155" s="23"/>
      <c r="O155" s="123"/>
      <c r="AA155" s="136"/>
      <c r="AB155" s="123"/>
    </row>
    <row r="156" spans="1:28" x14ac:dyDescent="0.2">
      <c r="A156" s="23"/>
      <c r="B156" s="30"/>
      <c r="C156" s="30"/>
      <c r="D156" s="147"/>
      <c r="E156" s="147"/>
      <c r="F156" s="30"/>
      <c r="G156" s="30"/>
      <c r="H156" s="30"/>
      <c r="I156" s="30"/>
      <c r="J156" s="30"/>
      <c r="K156" s="30"/>
      <c r="L156" s="30"/>
      <c r="M156" s="23"/>
      <c r="N156" s="23"/>
      <c r="O156" s="123"/>
      <c r="P156" s="357" t="s">
        <v>296</v>
      </c>
      <c r="Q156" s="357"/>
      <c r="R156" s="357"/>
      <c r="S156" s="358" t="s">
        <v>548</v>
      </c>
      <c r="T156" s="358"/>
      <c r="U156" s="358" t="s">
        <v>549</v>
      </c>
      <c r="V156" s="358"/>
      <c r="AA156" s="136"/>
      <c r="AB156" s="123"/>
    </row>
    <row r="157" spans="1:28" ht="34.5" thickBot="1" x14ac:dyDescent="0.25">
      <c r="A157" s="23"/>
      <c r="B157" s="30"/>
      <c r="C157" s="30"/>
      <c r="D157" s="147"/>
      <c r="E157" s="147"/>
      <c r="F157" s="30"/>
      <c r="G157" s="30"/>
      <c r="H157" s="30"/>
      <c r="I157" s="30"/>
      <c r="J157" s="30"/>
      <c r="K157" s="30"/>
      <c r="L157" s="30"/>
      <c r="M157" s="23"/>
      <c r="N157" s="23"/>
      <c r="O157" s="123"/>
      <c r="P157" s="290" t="s">
        <v>174</v>
      </c>
      <c r="Q157" s="290" t="s">
        <v>175</v>
      </c>
      <c r="R157" s="290" t="s">
        <v>315</v>
      </c>
      <c r="S157" s="290" t="s">
        <v>526</v>
      </c>
      <c r="T157" s="290" t="s">
        <v>527</v>
      </c>
      <c r="U157" s="290" t="s">
        <v>526</v>
      </c>
      <c r="V157" s="290" t="s">
        <v>527</v>
      </c>
      <c r="AA157" s="136"/>
      <c r="AB157" s="123"/>
    </row>
    <row r="158" spans="1:28" ht="12" x14ac:dyDescent="0.2">
      <c r="A158" s="23"/>
      <c r="B158" s="30"/>
      <c r="C158" s="30"/>
      <c r="D158" s="147"/>
      <c r="E158" s="147"/>
      <c r="F158" s="30"/>
      <c r="G158" s="30"/>
      <c r="H158" s="30"/>
      <c r="I158" s="30"/>
      <c r="J158" s="30"/>
      <c r="K158" s="30"/>
      <c r="L158" s="30"/>
      <c r="M158" s="23"/>
      <c r="N158" s="23"/>
      <c r="O158" s="123"/>
      <c r="P158" s="269">
        <f t="shared" ref="P158:V158" si="15">P100</f>
        <v>20554.62006205185</v>
      </c>
      <c r="Q158" s="269">
        <f t="shared" si="15"/>
        <v>66.122226459199368</v>
      </c>
      <c r="R158" s="269">
        <f t="shared" si="15"/>
        <v>209140.84950041148</v>
      </c>
      <c r="S158" s="268">
        <f t="shared" si="15"/>
        <v>2055.4620062051849</v>
      </c>
      <c r="T158" s="268">
        <f t="shared" si="15"/>
        <v>6.6122226459199371</v>
      </c>
      <c r="U158" s="268">
        <f t="shared" si="15"/>
        <v>0</v>
      </c>
      <c r="V158" s="283">
        <f t="shared" si="15"/>
        <v>0</v>
      </c>
      <c r="AA158" s="369" t="s">
        <v>180</v>
      </c>
      <c r="AB158" s="370"/>
    </row>
    <row r="159" spans="1:28" ht="12" x14ac:dyDescent="0.2">
      <c r="A159" s="23"/>
      <c r="B159" s="30"/>
      <c r="C159" s="30"/>
      <c r="D159" s="147"/>
      <c r="E159" s="147"/>
      <c r="F159" s="30"/>
      <c r="G159" s="30"/>
      <c r="H159" s="30"/>
      <c r="I159" s="30"/>
      <c r="J159" s="30"/>
      <c r="K159" s="30"/>
      <c r="L159" s="30"/>
      <c r="M159" s="23"/>
      <c r="N159" s="23"/>
      <c r="O159" s="123"/>
      <c r="P159" s="179">
        <f t="shared" ref="P159:V159" si="16">P112</f>
        <v>4191.3863999485366</v>
      </c>
      <c r="Q159" s="179">
        <f t="shared" si="16"/>
        <v>11.570898226770929</v>
      </c>
      <c r="R159" s="179">
        <f t="shared" si="16"/>
        <v>0</v>
      </c>
      <c r="S159" s="270">
        <f t="shared" si="16"/>
        <v>419.13863999485375</v>
      </c>
      <c r="T159" s="270">
        <f t="shared" si="16"/>
        <v>1.1570898226770931</v>
      </c>
      <c r="U159" s="270">
        <f t="shared" si="16"/>
        <v>16146</v>
      </c>
      <c r="V159" s="284">
        <f t="shared" si="16"/>
        <v>46.121400000000001</v>
      </c>
      <c r="AA159" s="353" t="s">
        <v>257</v>
      </c>
      <c r="AB159" s="354"/>
    </row>
    <row r="160" spans="1:28" ht="12" customHeight="1" x14ac:dyDescent="0.2">
      <c r="A160" s="23"/>
      <c r="B160" s="30"/>
      <c r="C160" s="30"/>
      <c r="D160" s="147"/>
      <c r="E160" s="147"/>
      <c r="F160" s="30"/>
      <c r="G160" s="30"/>
      <c r="H160" s="30"/>
      <c r="I160" s="30"/>
      <c r="J160" s="30"/>
      <c r="K160" s="30"/>
      <c r="L160" s="30"/>
      <c r="M160" s="23"/>
      <c r="N160" s="23"/>
      <c r="O160" s="123"/>
      <c r="P160" s="179">
        <f t="shared" ref="P160:V160" si="17">P116</f>
        <v>45800</v>
      </c>
      <c r="Q160" s="179">
        <f t="shared" si="17"/>
        <v>333.33333333333331</v>
      </c>
      <c r="R160" s="179">
        <f t="shared" si="17"/>
        <v>0</v>
      </c>
      <c r="S160" s="270">
        <f t="shared" si="17"/>
        <v>4580</v>
      </c>
      <c r="T160" s="270">
        <f t="shared" si="17"/>
        <v>33.333333333333336</v>
      </c>
      <c r="U160" s="270">
        <f t="shared" si="17"/>
        <v>0</v>
      </c>
      <c r="V160" s="284">
        <f t="shared" si="17"/>
        <v>0</v>
      </c>
      <c r="AA160" s="353" t="s">
        <v>550</v>
      </c>
      <c r="AB160" s="354"/>
    </row>
    <row r="161" spans="1:28" ht="12.75" customHeight="1" thickBot="1" x14ac:dyDescent="0.25">
      <c r="A161" s="23"/>
      <c r="B161" s="30"/>
      <c r="C161" s="30"/>
      <c r="D161" s="147"/>
      <c r="E161" s="147"/>
      <c r="F161" s="30"/>
      <c r="G161" s="30"/>
      <c r="H161" s="30"/>
      <c r="I161" s="30"/>
      <c r="J161" s="30"/>
      <c r="K161" s="30"/>
      <c r="L161" s="30"/>
      <c r="M161" s="23"/>
      <c r="N161" s="23"/>
      <c r="O161" s="123"/>
      <c r="P161" s="281">
        <f t="shared" ref="P161:V161" si="18">P152</f>
        <v>20415.293639999996</v>
      </c>
      <c r="Q161" s="281">
        <f t="shared" si="18"/>
        <v>114.04219061273059</v>
      </c>
      <c r="R161" s="281">
        <f t="shared" si="18"/>
        <v>12925</v>
      </c>
      <c r="S161" s="282">
        <f t="shared" si="18"/>
        <v>2041.529364</v>
      </c>
      <c r="T161" s="282">
        <f t="shared" si="18"/>
        <v>11.404219061273061</v>
      </c>
      <c r="U161" s="282">
        <f t="shared" si="18"/>
        <v>11535.6</v>
      </c>
      <c r="V161" s="288">
        <f t="shared" si="18"/>
        <v>90.195200000000014</v>
      </c>
      <c r="AA161" s="351" t="s">
        <v>268</v>
      </c>
      <c r="AB161" s="352"/>
    </row>
    <row r="162" spans="1:28" ht="27.75" customHeight="1" x14ac:dyDescent="0.2">
      <c r="A162" s="23"/>
      <c r="B162" s="30"/>
      <c r="C162" s="30"/>
      <c r="D162" s="147"/>
      <c r="E162" s="147"/>
      <c r="F162" s="30"/>
      <c r="G162" s="30"/>
      <c r="H162" s="30"/>
      <c r="I162" s="30"/>
      <c r="J162" s="30"/>
      <c r="K162" s="30"/>
      <c r="L162" s="30"/>
      <c r="M162" s="23"/>
      <c r="N162" s="23"/>
      <c r="O162" s="123"/>
      <c r="P162" s="279">
        <f>SUM(P158:P161)</f>
        <v>90961.300102000387</v>
      </c>
      <c r="Q162" s="279">
        <f t="shared" ref="Q162:V162" si="19">SUM(Q158:Q161)</f>
        <v>525.06864863203418</v>
      </c>
      <c r="R162" s="279">
        <f t="shared" si="19"/>
        <v>222065.84950041148</v>
      </c>
      <c r="S162" s="280">
        <f t="shared" si="19"/>
        <v>9096.1300102000387</v>
      </c>
      <c r="T162" s="280">
        <f t="shared" si="19"/>
        <v>52.506864863203425</v>
      </c>
      <c r="U162" s="280">
        <f t="shared" si="19"/>
        <v>27681.599999999999</v>
      </c>
      <c r="V162" s="285">
        <f t="shared" si="19"/>
        <v>136.31660000000002</v>
      </c>
      <c r="AA162" s="355" t="s">
        <v>531</v>
      </c>
      <c r="AB162" s="356"/>
    </row>
    <row r="163" spans="1:28" x14ac:dyDescent="0.2">
      <c r="A163" s="23"/>
      <c r="B163" s="30"/>
      <c r="C163" s="30"/>
      <c r="D163" s="147"/>
      <c r="E163" s="147"/>
      <c r="F163" s="30"/>
      <c r="G163" s="30"/>
      <c r="H163" s="30"/>
      <c r="I163" s="30"/>
      <c r="J163" s="30"/>
      <c r="K163" s="30"/>
      <c r="L163" s="30"/>
      <c r="M163" s="23"/>
      <c r="N163" s="23"/>
      <c r="O163" s="123"/>
      <c r="AA163" s="136"/>
      <c r="AB163" s="123"/>
    </row>
    <row r="164" spans="1:28" x14ac:dyDescent="0.2">
      <c r="A164" s="23"/>
      <c r="B164" s="30"/>
      <c r="C164" s="30"/>
      <c r="D164" s="147"/>
      <c r="E164" s="147"/>
      <c r="F164" s="30"/>
      <c r="G164" s="30"/>
      <c r="H164" s="30"/>
      <c r="I164" s="30"/>
      <c r="J164" s="30"/>
      <c r="K164" s="30"/>
      <c r="L164" s="30"/>
      <c r="M164" s="23"/>
      <c r="N164" s="23"/>
      <c r="O164" s="123"/>
      <c r="S164" s="124"/>
      <c r="AA164" s="136"/>
      <c r="AB164" s="123"/>
    </row>
    <row r="165" spans="1:28" x14ac:dyDescent="0.2">
      <c r="A165" s="23"/>
      <c r="B165" s="30"/>
      <c r="C165" s="30"/>
      <c r="D165" s="147"/>
      <c r="E165" s="147"/>
      <c r="F165" s="30"/>
      <c r="G165" s="30"/>
      <c r="H165" s="30"/>
      <c r="I165" s="30"/>
      <c r="J165" s="30"/>
      <c r="K165" s="30"/>
      <c r="L165" s="30"/>
      <c r="M165" s="23"/>
      <c r="N165" s="23"/>
      <c r="O165" s="123"/>
      <c r="S165" s="124"/>
      <c r="AA165" s="136"/>
      <c r="AB165" s="123"/>
    </row>
    <row r="166" spans="1:28" x14ac:dyDescent="0.2">
      <c r="A166" s="23"/>
      <c r="B166" s="30"/>
      <c r="C166" s="30"/>
      <c r="D166" s="147"/>
      <c r="E166" s="147"/>
      <c r="F166" s="30"/>
      <c r="G166" s="30"/>
      <c r="H166" s="30"/>
      <c r="I166" s="30"/>
      <c r="J166" s="30"/>
      <c r="K166" s="30"/>
      <c r="L166" s="30"/>
      <c r="M166" s="23"/>
      <c r="N166" s="23"/>
      <c r="O166" s="123"/>
      <c r="AA166" s="136"/>
      <c r="AB166" s="123"/>
    </row>
    <row r="167" spans="1:28" x14ac:dyDescent="0.2">
      <c r="A167" s="23"/>
      <c r="B167" s="30"/>
      <c r="C167" s="30"/>
      <c r="D167" s="147"/>
      <c r="E167" s="147"/>
      <c r="F167" s="30"/>
      <c r="G167" s="30"/>
      <c r="H167" s="30"/>
      <c r="I167" s="30"/>
      <c r="J167" s="30"/>
      <c r="K167" s="30"/>
      <c r="L167" s="30"/>
      <c r="M167" s="23"/>
      <c r="N167" s="23"/>
      <c r="O167" s="123"/>
      <c r="AA167" s="136"/>
      <c r="AB167" s="123"/>
    </row>
    <row r="168" spans="1:28" x14ac:dyDescent="0.2">
      <c r="A168" s="23"/>
      <c r="B168" s="30"/>
      <c r="C168" s="30"/>
      <c r="D168" s="147"/>
      <c r="E168" s="147"/>
      <c r="F168" s="30"/>
      <c r="G168" s="30"/>
      <c r="H168" s="30"/>
      <c r="I168" s="30"/>
      <c r="J168" s="30"/>
      <c r="K168" s="30"/>
      <c r="L168" s="30"/>
      <c r="M168" s="23"/>
      <c r="N168" s="23"/>
      <c r="O168" s="123"/>
      <c r="AA168" s="136"/>
      <c r="AB168" s="123"/>
    </row>
    <row r="169" spans="1:28" x14ac:dyDescent="0.2">
      <c r="A169" s="23"/>
      <c r="B169" s="30"/>
      <c r="C169" s="30"/>
      <c r="D169" s="147"/>
      <c r="E169" s="147"/>
      <c r="F169" s="30"/>
      <c r="G169" s="30"/>
      <c r="H169" s="30"/>
      <c r="I169" s="30"/>
      <c r="J169" s="30"/>
      <c r="K169" s="30"/>
      <c r="L169" s="30"/>
      <c r="M169" s="23"/>
      <c r="N169" s="23"/>
      <c r="O169" s="123"/>
      <c r="AA169" s="136"/>
      <c r="AB169" s="123"/>
    </row>
    <row r="170" spans="1:28" x14ac:dyDescent="0.2">
      <c r="A170" s="23"/>
      <c r="B170" s="30"/>
      <c r="C170" s="30"/>
      <c r="D170" s="147"/>
      <c r="E170" s="147"/>
      <c r="F170" s="30"/>
      <c r="G170" s="30"/>
      <c r="H170" s="30"/>
      <c r="I170" s="30"/>
      <c r="J170" s="30"/>
      <c r="K170" s="30"/>
      <c r="L170" s="30"/>
      <c r="M170" s="23"/>
      <c r="N170" s="23"/>
      <c r="O170" s="123"/>
      <c r="AA170" s="136"/>
      <c r="AB170" s="123"/>
    </row>
    <row r="171" spans="1:28" x14ac:dyDescent="0.2">
      <c r="A171" s="23"/>
      <c r="B171" s="30"/>
      <c r="C171" s="30"/>
      <c r="D171" s="147"/>
      <c r="E171" s="147"/>
      <c r="F171" s="30"/>
      <c r="G171" s="30"/>
      <c r="H171" s="30"/>
      <c r="I171" s="30"/>
      <c r="J171" s="30"/>
      <c r="K171" s="30"/>
      <c r="L171" s="30"/>
      <c r="M171" s="23"/>
      <c r="N171" s="23"/>
      <c r="O171" s="123"/>
      <c r="AA171" s="136"/>
      <c r="AB171" s="123"/>
    </row>
    <row r="172" spans="1:28" x14ac:dyDescent="0.2">
      <c r="A172" s="23"/>
      <c r="B172" s="30"/>
      <c r="C172" s="30"/>
      <c r="D172" s="147"/>
      <c r="E172" s="147"/>
      <c r="F172" s="30"/>
      <c r="G172" s="30"/>
      <c r="H172" s="30"/>
      <c r="I172" s="30"/>
      <c r="J172" s="30"/>
      <c r="K172" s="30"/>
      <c r="L172" s="30"/>
      <c r="M172" s="23"/>
      <c r="N172" s="23"/>
      <c r="O172" s="123"/>
      <c r="AA172" s="136"/>
      <c r="AB172" s="123"/>
    </row>
    <row r="173" spans="1:28" x14ac:dyDescent="0.2">
      <c r="A173" s="23"/>
      <c r="B173" s="30"/>
      <c r="C173" s="30"/>
      <c r="D173" s="147"/>
      <c r="E173" s="147"/>
      <c r="F173" s="30"/>
      <c r="G173" s="30"/>
      <c r="H173" s="30"/>
      <c r="I173" s="30"/>
      <c r="J173" s="30"/>
      <c r="K173" s="30"/>
      <c r="L173" s="30"/>
      <c r="M173" s="23"/>
      <c r="N173" s="23"/>
      <c r="O173" s="123"/>
      <c r="AA173" s="136"/>
      <c r="AB173" s="123"/>
    </row>
    <row r="174" spans="1:28" x14ac:dyDescent="0.2">
      <c r="A174" s="23"/>
      <c r="B174" s="30"/>
      <c r="C174" s="30"/>
      <c r="D174" s="147"/>
      <c r="E174" s="147"/>
      <c r="F174" s="30"/>
      <c r="G174" s="30"/>
      <c r="H174" s="30"/>
      <c r="I174" s="30"/>
      <c r="J174" s="30"/>
      <c r="K174" s="30"/>
      <c r="L174" s="30"/>
      <c r="M174" s="23"/>
      <c r="N174" s="23"/>
      <c r="O174" s="123"/>
      <c r="AA174" s="136"/>
      <c r="AB174" s="123"/>
    </row>
    <row r="175" spans="1:28" x14ac:dyDescent="0.2">
      <c r="A175" s="23"/>
      <c r="B175" s="30"/>
      <c r="C175" s="30"/>
      <c r="D175" s="147"/>
      <c r="E175" s="147"/>
      <c r="F175" s="30"/>
      <c r="G175" s="30"/>
      <c r="H175" s="30"/>
      <c r="I175" s="30"/>
      <c r="J175" s="30"/>
      <c r="K175" s="30"/>
      <c r="L175" s="30"/>
      <c r="M175" s="23"/>
      <c r="N175" s="23"/>
      <c r="O175" s="123"/>
      <c r="AA175" s="136"/>
      <c r="AB175" s="123"/>
    </row>
    <row r="176" spans="1:28" x14ac:dyDescent="0.2">
      <c r="A176" s="23"/>
      <c r="B176" s="30"/>
      <c r="C176" s="30"/>
      <c r="D176" s="147"/>
      <c r="E176" s="147"/>
      <c r="F176" s="30"/>
      <c r="G176" s="30"/>
      <c r="H176" s="30"/>
      <c r="I176" s="30"/>
      <c r="J176" s="30"/>
      <c r="K176" s="30"/>
      <c r="L176" s="30"/>
      <c r="M176" s="23"/>
      <c r="N176" s="23"/>
      <c r="O176" s="123"/>
      <c r="AA176" s="136"/>
      <c r="AB176" s="123"/>
    </row>
    <row r="177" spans="1:28" x14ac:dyDescent="0.2">
      <c r="A177" s="23"/>
      <c r="B177" s="30"/>
      <c r="C177" s="30"/>
      <c r="D177" s="147"/>
      <c r="E177" s="147"/>
      <c r="F177" s="30"/>
      <c r="G177" s="30"/>
      <c r="H177" s="30"/>
      <c r="I177" s="30"/>
      <c r="J177" s="30"/>
      <c r="K177" s="30"/>
      <c r="L177" s="30"/>
      <c r="M177" s="23"/>
      <c r="N177" s="23"/>
      <c r="O177" s="123"/>
      <c r="AA177" s="136"/>
      <c r="AB177" s="123"/>
    </row>
    <row r="178" spans="1:28" x14ac:dyDescent="0.2">
      <c r="A178" s="23"/>
      <c r="B178" s="30"/>
      <c r="C178" s="30"/>
      <c r="D178" s="147"/>
      <c r="E178" s="147"/>
      <c r="F178" s="30"/>
      <c r="G178" s="30"/>
      <c r="H178" s="30"/>
      <c r="I178" s="30"/>
      <c r="J178" s="30"/>
      <c r="K178" s="30"/>
      <c r="L178" s="30"/>
      <c r="M178" s="23"/>
      <c r="N178" s="23"/>
      <c r="O178" s="123"/>
      <c r="AA178" s="136"/>
      <c r="AB178" s="123"/>
    </row>
    <row r="179" spans="1:28" x14ac:dyDescent="0.2">
      <c r="A179" s="23"/>
      <c r="B179" s="30"/>
      <c r="C179" s="30"/>
      <c r="D179" s="147"/>
      <c r="E179" s="147"/>
      <c r="F179" s="30"/>
      <c r="G179" s="30"/>
      <c r="H179" s="30"/>
      <c r="I179" s="30"/>
      <c r="J179" s="30"/>
      <c r="K179" s="30"/>
      <c r="L179" s="30"/>
      <c r="M179" s="23"/>
      <c r="N179" s="23"/>
      <c r="O179" s="123"/>
      <c r="AA179" s="136"/>
      <c r="AB179" s="123"/>
    </row>
    <row r="180" spans="1:28" x14ac:dyDescent="0.2">
      <c r="A180" s="23"/>
      <c r="B180" s="30"/>
      <c r="C180" s="30"/>
      <c r="D180" s="147"/>
      <c r="E180" s="147"/>
      <c r="F180" s="30"/>
      <c r="G180" s="30"/>
      <c r="H180" s="30"/>
      <c r="I180" s="30"/>
      <c r="J180" s="30"/>
      <c r="K180" s="30"/>
      <c r="L180" s="30"/>
      <c r="M180" s="23"/>
      <c r="N180" s="23"/>
      <c r="O180" s="123"/>
      <c r="AA180" s="136"/>
      <c r="AB180" s="123"/>
    </row>
    <row r="181" spans="1:28" x14ac:dyDescent="0.2">
      <c r="A181" s="23"/>
      <c r="B181" s="30"/>
      <c r="C181" s="30"/>
      <c r="D181" s="147"/>
      <c r="E181" s="147"/>
      <c r="F181" s="30"/>
      <c r="G181" s="30"/>
      <c r="H181" s="30"/>
      <c r="I181" s="30"/>
      <c r="J181" s="30"/>
      <c r="K181" s="30"/>
      <c r="L181" s="30"/>
      <c r="M181" s="23"/>
      <c r="N181" s="23"/>
      <c r="O181" s="123"/>
      <c r="AA181" s="136"/>
      <c r="AB181" s="123"/>
    </row>
    <row r="182" spans="1:28" x14ac:dyDescent="0.2">
      <c r="A182" s="23"/>
      <c r="B182" s="30"/>
      <c r="C182" s="30"/>
      <c r="D182" s="147"/>
      <c r="E182" s="147"/>
      <c r="F182" s="30"/>
      <c r="G182" s="30"/>
      <c r="H182" s="30"/>
      <c r="I182" s="30"/>
      <c r="J182" s="30"/>
      <c r="K182" s="30"/>
      <c r="L182" s="30"/>
      <c r="M182" s="23"/>
      <c r="N182" s="23"/>
      <c r="O182" s="123"/>
      <c r="AA182" s="136"/>
      <c r="AB182" s="123"/>
    </row>
    <row r="183" spans="1:28" x14ac:dyDescent="0.2">
      <c r="A183" s="23"/>
      <c r="B183" s="30"/>
      <c r="C183" s="30"/>
      <c r="D183" s="147"/>
      <c r="E183" s="147"/>
      <c r="F183" s="30"/>
      <c r="G183" s="30"/>
      <c r="H183" s="30"/>
      <c r="I183" s="30"/>
      <c r="J183" s="30"/>
      <c r="K183" s="30"/>
      <c r="L183" s="30"/>
      <c r="M183" s="23"/>
      <c r="N183" s="23"/>
      <c r="O183" s="123"/>
      <c r="AA183" s="136"/>
      <c r="AB183" s="123"/>
    </row>
    <row r="184" spans="1:28" x14ac:dyDescent="0.2">
      <c r="A184" s="23"/>
      <c r="B184" s="30"/>
      <c r="C184" s="30"/>
      <c r="D184" s="147"/>
      <c r="E184" s="147"/>
      <c r="F184" s="30"/>
      <c r="G184" s="30"/>
      <c r="H184" s="30"/>
      <c r="I184" s="30"/>
      <c r="J184" s="30"/>
      <c r="K184" s="30"/>
      <c r="L184" s="30"/>
      <c r="M184" s="23"/>
      <c r="N184" s="23"/>
      <c r="O184" s="123"/>
      <c r="AA184" s="136"/>
      <c r="AB184" s="123"/>
    </row>
    <row r="185" spans="1:28" x14ac:dyDescent="0.2">
      <c r="A185" s="23"/>
      <c r="B185" s="30"/>
      <c r="C185" s="30"/>
      <c r="D185" s="147"/>
      <c r="E185" s="147"/>
      <c r="F185" s="30"/>
      <c r="G185" s="30"/>
      <c r="H185" s="30"/>
      <c r="I185" s="30"/>
      <c r="J185" s="30"/>
      <c r="K185" s="30"/>
      <c r="L185" s="30"/>
      <c r="M185" s="23"/>
      <c r="N185" s="23"/>
      <c r="O185" s="123"/>
      <c r="AA185" s="136"/>
      <c r="AB185" s="123"/>
    </row>
    <row r="186" spans="1:28" x14ac:dyDescent="0.2">
      <c r="A186" s="23"/>
      <c r="B186" s="30"/>
      <c r="C186" s="30"/>
      <c r="D186" s="147"/>
      <c r="E186" s="147"/>
      <c r="F186" s="30"/>
      <c r="G186" s="30"/>
      <c r="H186" s="30"/>
      <c r="I186" s="30"/>
      <c r="J186" s="30"/>
      <c r="K186" s="30"/>
      <c r="L186" s="30"/>
      <c r="M186" s="23"/>
      <c r="N186" s="23"/>
      <c r="O186" s="123"/>
      <c r="AA186" s="136"/>
      <c r="AB186" s="123"/>
    </row>
    <row r="187" spans="1:28" x14ac:dyDescent="0.2">
      <c r="A187" s="23"/>
      <c r="B187" s="30"/>
      <c r="C187" s="30"/>
      <c r="D187" s="147"/>
      <c r="E187" s="147"/>
      <c r="F187" s="30"/>
      <c r="G187" s="30"/>
      <c r="H187" s="30"/>
      <c r="I187" s="30"/>
      <c r="J187" s="30"/>
      <c r="K187" s="30"/>
      <c r="L187" s="30"/>
      <c r="M187" s="23"/>
      <c r="N187" s="23"/>
      <c r="O187" s="123"/>
      <c r="AA187" s="136"/>
      <c r="AB187" s="123"/>
    </row>
    <row r="188" spans="1:28" x14ac:dyDescent="0.2">
      <c r="A188" s="23"/>
      <c r="B188" s="30"/>
      <c r="C188" s="30"/>
      <c r="D188" s="147"/>
      <c r="E188" s="147"/>
      <c r="F188" s="30"/>
      <c r="G188" s="30"/>
      <c r="H188" s="30"/>
      <c r="I188" s="30"/>
      <c r="J188" s="30"/>
      <c r="K188" s="30"/>
      <c r="L188" s="30"/>
      <c r="M188" s="23"/>
      <c r="N188" s="23"/>
      <c r="O188" s="123"/>
      <c r="AA188" s="136"/>
      <c r="AB188" s="123"/>
    </row>
    <row r="189" spans="1:28" x14ac:dyDescent="0.2">
      <c r="A189" s="23"/>
      <c r="B189" s="30"/>
      <c r="C189" s="30"/>
      <c r="D189" s="147"/>
      <c r="E189" s="147"/>
      <c r="F189" s="30"/>
      <c r="G189" s="30"/>
      <c r="H189" s="30"/>
      <c r="I189" s="30"/>
      <c r="J189" s="30"/>
      <c r="K189" s="30"/>
      <c r="L189" s="30"/>
      <c r="M189" s="23"/>
      <c r="N189" s="23"/>
      <c r="O189" s="123"/>
      <c r="AA189" s="136"/>
      <c r="AB189" s="123"/>
    </row>
    <row r="190" spans="1:28" x14ac:dyDescent="0.2">
      <c r="A190" s="23"/>
      <c r="B190" s="30"/>
      <c r="C190" s="30"/>
      <c r="D190" s="147"/>
      <c r="E190" s="147"/>
      <c r="F190" s="30"/>
      <c r="G190" s="30"/>
      <c r="H190" s="30"/>
      <c r="I190" s="30"/>
      <c r="J190" s="30"/>
      <c r="K190" s="30"/>
      <c r="L190" s="30"/>
      <c r="M190" s="23"/>
      <c r="N190" s="23"/>
      <c r="O190" s="123"/>
      <c r="AA190" s="136"/>
      <c r="AB190" s="123"/>
    </row>
    <row r="191" spans="1:28" x14ac:dyDescent="0.2">
      <c r="A191" s="23"/>
      <c r="B191" s="30"/>
      <c r="C191" s="30"/>
      <c r="D191" s="147"/>
      <c r="E191" s="147"/>
      <c r="F191" s="30"/>
      <c r="G191" s="30"/>
      <c r="H191" s="30"/>
      <c r="I191" s="30"/>
      <c r="J191" s="30"/>
      <c r="K191" s="30"/>
      <c r="L191" s="30"/>
      <c r="M191" s="23"/>
      <c r="N191" s="23"/>
      <c r="O191" s="123"/>
      <c r="AA191" s="136"/>
      <c r="AB191" s="123"/>
    </row>
    <row r="192" spans="1:28" x14ac:dyDescent="0.2">
      <c r="A192" s="23"/>
      <c r="B192" s="30"/>
      <c r="C192" s="30"/>
      <c r="D192" s="147"/>
      <c r="E192" s="147"/>
      <c r="F192" s="30"/>
      <c r="G192" s="30"/>
      <c r="H192" s="30"/>
      <c r="I192" s="30"/>
      <c r="J192" s="30"/>
      <c r="K192" s="30"/>
      <c r="L192" s="30"/>
      <c r="M192" s="23"/>
      <c r="N192" s="23"/>
      <c r="O192" s="123"/>
      <c r="AA192" s="136"/>
      <c r="AB192" s="123"/>
    </row>
    <row r="193" spans="1:28" x14ac:dyDescent="0.2">
      <c r="A193" s="23"/>
      <c r="B193" s="30"/>
      <c r="C193" s="30"/>
      <c r="D193" s="147"/>
      <c r="E193" s="147"/>
      <c r="F193" s="30"/>
      <c r="G193" s="30"/>
      <c r="H193" s="30"/>
      <c r="I193" s="30"/>
      <c r="J193" s="30"/>
      <c r="K193" s="30"/>
      <c r="L193" s="30"/>
      <c r="M193" s="23"/>
      <c r="N193" s="23"/>
      <c r="O193" s="123"/>
      <c r="AA193" s="136"/>
      <c r="AB193" s="123"/>
    </row>
    <row r="194" spans="1:28" x14ac:dyDescent="0.2">
      <c r="A194" s="23"/>
      <c r="B194" s="30"/>
      <c r="C194" s="30"/>
      <c r="D194" s="147"/>
      <c r="E194" s="147"/>
      <c r="F194" s="30"/>
      <c r="G194" s="30"/>
      <c r="H194" s="30"/>
      <c r="I194" s="30"/>
      <c r="J194" s="30"/>
      <c r="K194" s="30"/>
      <c r="L194" s="30"/>
      <c r="M194" s="23"/>
      <c r="N194" s="23"/>
      <c r="O194" s="123"/>
      <c r="AA194" s="136"/>
      <c r="AB194" s="123"/>
    </row>
    <row r="195" spans="1:28" x14ac:dyDescent="0.2">
      <c r="A195" s="23"/>
      <c r="B195" s="30"/>
      <c r="C195" s="30"/>
      <c r="D195" s="147"/>
      <c r="E195" s="147"/>
      <c r="F195" s="30"/>
      <c r="G195" s="30"/>
      <c r="H195" s="30"/>
      <c r="I195" s="30"/>
      <c r="J195" s="30"/>
      <c r="K195" s="30"/>
      <c r="L195" s="30"/>
      <c r="M195" s="23"/>
      <c r="N195" s="23"/>
      <c r="O195" s="123"/>
      <c r="AA195" s="136"/>
      <c r="AB195" s="123"/>
    </row>
    <row r="196" spans="1:28" x14ac:dyDescent="0.2">
      <c r="A196" s="23"/>
      <c r="B196" s="30"/>
      <c r="C196" s="30"/>
      <c r="D196" s="147"/>
      <c r="E196" s="147"/>
      <c r="F196" s="30"/>
      <c r="G196" s="30"/>
      <c r="H196" s="30"/>
      <c r="I196" s="30"/>
      <c r="J196" s="30"/>
      <c r="K196" s="30"/>
      <c r="L196" s="30"/>
      <c r="M196" s="23"/>
      <c r="N196" s="23"/>
      <c r="O196" s="123"/>
      <c r="AA196" s="136"/>
      <c r="AB196" s="123"/>
    </row>
    <row r="197" spans="1:28" x14ac:dyDescent="0.2">
      <c r="A197" s="23"/>
      <c r="B197" s="30"/>
      <c r="C197" s="30"/>
      <c r="D197" s="147"/>
      <c r="E197" s="147"/>
      <c r="F197" s="30"/>
      <c r="G197" s="30"/>
      <c r="H197" s="30"/>
      <c r="I197" s="30"/>
      <c r="J197" s="30"/>
      <c r="K197" s="30"/>
      <c r="L197" s="30"/>
      <c r="M197" s="23"/>
      <c r="N197" s="23"/>
      <c r="O197" s="123"/>
      <c r="AA197" s="136"/>
      <c r="AB197" s="123"/>
    </row>
    <row r="198" spans="1:28" x14ac:dyDescent="0.2">
      <c r="A198" s="23"/>
      <c r="B198" s="30"/>
      <c r="C198" s="30"/>
      <c r="D198" s="147"/>
      <c r="E198" s="147"/>
      <c r="F198" s="30"/>
      <c r="G198" s="30"/>
      <c r="H198" s="30"/>
      <c r="I198" s="30"/>
      <c r="J198" s="30"/>
      <c r="K198" s="30"/>
      <c r="L198" s="30"/>
      <c r="M198" s="23"/>
      <c r="N198" s="23"/>
      <c r="O198" s="123"/>
      <c r="AA198" s="136"/>
      <c r="AB198" s="123"/>
    </row>
    <row r="199" spans="1:28" x14ac:dyDescent="0.2">
      <c r="A199" s="23"/>
      <c r="B199" s="30"/>
      <c r="C199" s="30"/>
      <c r="D199" s="147"/>
      <c r="E199" s="147"/>
      <c r="F199" s="30"/>
      <c r="G199" s="30"/>
      <c r="H199" s="30"/>
      <c r="I199" s="30"/>
      <c r="J199" s="30"/>
      <c r="K199" s="30"/>
      <c r="L199" s="30"/>
      <c r="M199" s="23"/>
      <c r="N199" s="23"/>
      <c r="O199" s="123"/>
      <c r="AA199" s="136"/>
      <c r="AB199" s="123"/>
    </row>
    <row r="200" spans="1:28" x14ac:dyDescent="0.2">
      <c r="A200" s="23"/>
      <c r="B200" s="30"/>
      <c r="C200" s="30"/>
      <c r="D200" s="147"/>
      <c r="E200" s="147"/>
      <c r="F200" s="30"/>
      <c r="G200" s="30"/>
      <c r="H200" s="30"/>
      <c r="I200" s="30"/>
      <c r="J200" s="30"/>
      <c r="K200" s="30"/>
      <c r="L200" s="30"/>
      <c r="M200" s="23"/>
      <c r="N200" s="23"/>
      <c r="O200" s="123"/>
      <c r="AA200" s="136"/>
      <c r="AB200" s="123"/>
    </row>
    <row r="201" spans="1:28" x14ac:dyDescent="0.2">
      <c r="A201" s="23"/>
      <c r="B201" s="30"/>
      <c r="C201" s="30"/>
      <c r="D201" s="147"/>
      <c r="E201" s="147"/>
      <c r="F201" s="30"/>
      <c r="G201" s="30"/>
      <c r="H201" s="30"/>
      <c r="I201" s="30"/>
      <c r="J201" s="30"/>
      <c r="K201" s="30"/>
      <c r="L201" s="30"/>
      <c r="M201" s="23"/>
      <c r="N201" s="23"/>
      <c r="O201" s="123"/>
      <c r="AA201" s="136"/>
      <c r="AB201" s="123"/>
    </row>
    <row r="202" spans="1:28" x14ac:dyDescent="0.2">
      <c r="A202" s="23"/>
      <c r="B202" s="30"/>
      <c r="C202" s="30"/>
      <c r="D202" s="147"/>
      <c r="E202" s="147"/>
      <c r="F202" s="30"/>
      <c r="G202" s="30"/>
      <c r="H202" s="30"/>
      <c r="I202" s="30"/>
      <c r="J202" s="30"/>
      <c r="K202" s="30"/>
      <c r="L202" s="30"/>
      <c r="M202" s="23"/>
      <c r="N202" s="23"/>
      <c r="O202" s="123"/>
      <c r="AA202" s="136"/>
      <c r="AB202" s="123"/>
    </row>
    <row r="203" spans="1:28" x14ac:dyDescent="0.2">
      <c r="A203" s="23"/>
      <c r="B203" s="30"/>
      <c r="C203" s="30"/>
      <c r="D203" s="147"/>
      <c r="E203" s="147"/>
      <c r="F203" s="30"/>
      <c r="G203" s="30"/>
      <c r="H203" s="30"/>
      <c r="I203" s="30"/>
      <c r="J203" s="30"/>
      <c r="K203" s="30"/>
      <c r="L203" s="30"/>
      <c r="M203" s="23"/>
      <c r="N203" s="23"/>
      <c r="O203" s="123"/>
      <c r="AA203" s="136"/>
      <c r="AB203" s="123"/>
    </row>
    <row r="204" spans="1:28" x14ac:dyDescent="0.2">
      <c r="A204" s="23"/>
      <c r="B204" s="30"/>
      <c r="C204" s="30"/>
      <c r="D204" s="147"/>
      <c r="E204" s="147"/>
      <c r="F204" s="30"/>
      <c r="G204" s="30"/>
      <c r="H204" s="30"/>
      <c r="I204" s="30"/>
      <c r="J204" s="30"/>
      <c r="K204" s="30"/>
      <c r="L204" s="30"/>
      <c r="M204" s="23"/>
      <c r="N204" s="23"/>
      <c r="O204" s="123"/>
      <c r="AA204" s="136"/>
      <c r="AB204" s="123"/>
    </row>
    <row r="205" spans="1:28" x14ac:dyDescent="0.2">
      <c r="A205" s="23"/>
      <c r="B205" s="30"/>
      <c r="C205" s="30"/>
      <c r="D205" s="147"/>
      <c r="E205" s="147"/>
      <c r="F205" s="30"/>
      <c r="G205" s="30"/>
      <c r="H205" s="30"/>
      <c r="I205" s="30"/>
      <c r="J205" s="30"/>
      <c r="K205" s="30"/>
      <c r="L205" s="30"/>
      <c r="M205" s="23"/>
      <c r="N205" s="23"/>
      <c r="O205" s="123"/>
      <c r="AA205" s="136"/>
      <c r="AB205" s="123"/>
    </row>
    <row r="206" spans="1:28" x14ac:dyDescent="0.2">
      <c r="A206" s="23"/>
      <c r="B206" s="30"/>
      <c r="C206" s="30"/>
      <c r="D206" s="147"/>
      <c r="E206" s="147"/>
      <c r="F206" s="30"/>
      <c r="G206" s="30"/>
      <c r="H206" s="30"/>
      <c r="I206" s="30"/>
      <c r="J206" s="30"/>
      <c r="K206" s="30"/>
      <c r="L206" s="30"/>
      <c r="M206" s="23"/>
      <c r="N206" s="23"/>
      <c r="O206" s="123"/>
      <c r="AA206" s="136"/>
      <c r="AB206" s="123"/>
    </row>
    <row r="207" spans="1:28" x14ac:dyDescent="0.2">
      <c r="A207" s="23"/>
      <c r="B207" s="30"/>
      <c r="C207" s="30"/>
      <c r="D207" s="147"/>
      <c r="E207" s="147"/>
      <c r="F207" s="30"/>
      <c r="G207" s="30"/>
      <c r="H207" s="30"/>
      <c r="I207" s="30"/>
      <c r="J207" s="30"/>
      <c r="K207" s="30"/>
      <c r="L207" s="30"/>
      <c r="M207" s="23"/>
      <c r="N207" s="23"/>
      <c r="O207" s="123"/>
      <c r="AA207" s="136"/>
      <c r="AB207" s="123"/>
    </row>
    <row r="208" spans="1:28" x14ac:dyDescent="0.2">
      <c r="A208" s="23"/>
      <c r="B208" s="30"/>
      <c r="C208" s="30"/>
      <c r="D208" s="147"/>
      <c r="E208" s="147"/>
      <c r="F208" s="30"/>
      <c r="G208" s="30"/>
      <c r="H208" s="30"/>
      <c r="I208" s="30"/>
      <c r="J208" s="30"/>
      <c r="K208" s="30"/>
      <c r="L208" s="30"/>
      <c r="M208" s="23"/>
      <c r="N208" s="23"/>
      <c r="O208" s="123"/>
      <c r="AA208" s="136"/>
      <c r="AB208" s="123"/>
    </row>
    <row r="209" spans="1:28" x14ac:dyDescent="0.2">
      <c r="A209" s="23"/>
      <c r="B209" s="30"/>
      <c r="C209" s="30"/>
      <c r="D209" s="147"/>
      <c r="E209" s="147"/>
      <c r="F209" s="30"/>
      <c r="G209" s="30"/>
      <c r="H209" s="30"/>
      <c r="I209" s="30"/>
      <c r="J209" s="30"/>
      <c r="K209" s="30"/>
      <c r="L209" s="30"/>
      <c r="M209" s="23"/>
      <c r="N209" s="23"/>
      <c r="O209" s="123"/>
      <c r="AA209" s="136"/>
      <c r="AB209" s="123"/>
    </row>
    <row r="210" spans="1:28" x14ac:dyDescent="0.2">
      <c r="A210" s="23"/>
      <c r="B210" s="30"/>
      <c r="C210" s="30"/>
      <c r="D210" s="147"/>
      <c r="E210" s="147"/>
      <c r="F210" s="30"/>
      <c r="G210" s="30"/>
      <c r="H210" s="30"/>
      <c r="I210" s="30"/>
      <c r="J210" s="30"/>
      <c r="K210" s="30"/>
      <c r="L210" s="30"/>
      <c r="M210" s="23"/>
      <c r="N210" s="23"/>
      <c r="O210" s="123"/>
      <c r="AA210" s="136"/>
      <c r="AB210" s="123"/>
    </row>
    <row r="211" spans="1:28" x14ac:dyDescent="0.2">
      <c r="A211" s="23"/>
      <c r="B211" s="30"/>
      <c r="C211" s="30"/>
      <c r="D211" s="147"/>
      <c r="E211" s="147"/>
      <c r="F211" s="30"/>
      <c r="G211" s="30"/>
      <c r="H211" s="30"/>
      <c r="I211" s="30"/>
      <c r="J211" s="30"/>
      <c r="K211" s="30"/>
      <c r="L211" s="30"/>
      <c r="M211" s="23"/>
      <c r="N211" s="23"/>
      <c r="O211" s="123"/>
      <c r="AA211" s="136"/>
      <c r="AB211" s="123"/>
    </row>
    <row r="212" spans="1:28" x14ac:dyDescent="0.2">
      <c r="A212" s="23"/>
      <c r="B212" s="30"/>
      <c r="C212" s="30"/>
      <c r="D212" s="147"/>
      <c r="E212" s="147"/>
      <c r="F212" s="30"/>
      <c r="G212" s="30"/>
      <c r="H212" s="30"/>
      <c r="I212" s="30"/>
      <c r="J212" s="30"/>
      <c r="K212" s="30"/>
      <c r="L212" s="30"/>
      <c r="M212" s="23"/>
      <c r="N212" s="23"/>
      <c r="O212" s="123"/>
      <c r="AA212" s="136"/>
      <c r="AB212" s="123"/>
    </row>
    <row r="213" spans="1:28" x14ac:dyDescent="0.2">
      <c r="A213" s="23"/>
      <c r="B213" s="30"/>
      <c r="C213" s="30"/>
      <c r="D213" s="147"/>
      <c r="E213" s="147"/>
      <c r="F213" s="30"/>
      <c r="G213" s="30"/>
      <c r="H213" s="30"/>
      <c r="I213" s="30"/>
      <c r="J213" s="30"/>
      <c r="K213" s="30"/>
      <c r="L213" s="30"/>
      <c r="M213" s="23"/>
      <c r="N213" s="23"/>
      <c r="O213" s="123"/>
      <c r="AA213" s="136"/>
      <c r="AB213" s="123"/>
    </row>
    <row r="214" spans="1:28" x14ac:dyDescent="0.2">
      <c r="A214" s="23"/>
      <c r="B214" s="30"/>
      <c r="C214" s="30"/>
      <c r="D214" s="147"/>
      <c r="E214" s="147"/>
      <c r="F214" s="30"/>
      <c r="G214" s="30"/>
      <c r="H214" s="30"/>
      <c r="I214" s="30"/>
      <c r="J214" s="30"/>
      <c r="K214" s="30"/>
      <c r="L214" s="30"/>
      <c r="M214" s="23"/>
      <c r="N214" s="23"/>
      <c r="O214" s="123"/>
      <c r="AA214" s="136"/>
      <c r="AB214" s="123"/>
    </row>
    <row r="215" spans="1:28" x14ac:dyDescent="0.2">
      <c r="A215" s="23"/>
      <c r="B215" s="30"/>
      <c r="C215" s="30"/>
      <c r="D215" s="147"/>
      <c r="E215" s="147"/>
      <c r="F215" s="30"/>
      <c r="G215" s="30"/>
      <c r="H215" s="30"/>
      <c r="I215" s="30"/>
      <c r="J215" s="30"/>
      <c r="K215" s="30"/>
      <c r="L215" s="30"/>
      <c r="M215" s="23"/>
      <c r="N215" s="23"/>
      <c r="O215" s="123"/>
      <c r="AA215" s="136"/>
      <c r="AB215" s="123"/>
    </row>
    <row r="216" spans="1:28" x14ac:dyDescent="0.2">
      <c r="A216" s="23"/>
      <c r="B216" s="30"/>
      <c r="C216" s="30"/>
      <c r="D216" s="147"/>
      <c r="E216" s="147"/>
      <c r="F216" s="30"/>
      <c r="G216" s="30"/>
      <c r="H216" s="30"/>
      <c r="I216" s="30"/>
      <c r="J216" s="30"/>
      <c r="K216" s="30"/>
      <c r="L216" s="30"/>
      <c r="M216" s="23"/>
      <c r="N216" s="23"/>
      <c r="O216" s="123"/>
      <c r="AA216" s="136"/>
      <c r="AB216" s="123"/>
    </row>
    <row r="217" spans="1:28" x14ac:dyDescent="0.2">
      <c r="A217" s="23"/>
      <c r="B217" s="30"/>
      <c r="C217" s="30"/>
      <c r="D217" s="147"/>
      <c r="E217" s="147"/>
      <c r="F217" s="30"/>
      <c r="G217" s="30"/>
      <c r="H217" s="30"/>
      <c r="I217" s="30"/>
      <c r="J217" s="30"/>
      <c r="K217" s="30"/>
      <c r="L217" s="30"/>
      <c r="M217" s="23"/>
      <c r="N217" s="23"/>
      <c r="O217" s="123"/>
      <c r="AA217" s="136"/>
      <c r="AB217" s="123"/>
    </row>
    <row r="218" spans="1:28" x14ac:dyDescent="0.2">
      <c r="A218" s="23"/>
      <c r="B218" s="30"/>
      <c r="C218" s="30"/>
      <c r="D218" s="147"/>
      <c r="E218" s="147"/>
      <c r="F218" s="30"/>
      <c r="G218" s="30"/>
      <c r="H218" s="30"/>
      <c r="I218" s="30"/>
      <c r="J218" s="30"/>
      <c r="K218" s="30"/>
      <c r="L218" s="30"/>
      <c r="M218" s="23"/>
      <c r="N218" s="23"/>
      <c r="O218" s="123"/>
      <c r="AA218" s="136"/>
      <c r="AB218" s="123"/>
    </row>
    <row r="219" spans="1:28" x14ac:dyDescent="0.2">
      <c r="A219" s="23"/>
      <c r="B219" s="30"/>
      <c r="C219" s="30"/>
      <c r="D219" s="147"/>
      <c r="E219" s="147"/>
      <c r="F219" s="30"/>
      <c r="G219" s="30"/>
      <c r="H219" s="30"/>
      <c r="I219" s="30"/>
      <c r="J219" s="30"/>
      <c r="K219" s="30"/>
      <c r="L219" s="30"/>
      <c r="M219" s="23"/>
      <c r="N219" s="23"/>
      <c r="O219" s="123"/>
      <c r="AA219" s="136"/>
      <c r="AB219" s="123"/>
    </row>
    <row r="220" spans="1:28" x14ac:dyDescent="0.2">
      <c r="A220" s="23"/>
      <c r="B220" s="30"/>
      <c r="C220" s="30"/>
      <c r="D220" s="147"/>
      <c r="E220" s="147"/>
      <c r="F220" s="30"/>
      <c r="G220" s="30"/>
      <c r="H220" s="30"/>
      <c r="I220" s="30"/>
      <c r="J220" s="30"/>
      <c r="K220" s="30"/>
      <c r="L220" s="30"/>
      <c r="M220" s="23"/>
      <c r="N220" s="23"/>
      <c r="O220" s="123"/>
      <c r="AA220" s="136"/>
      <c r="AB220" s="123"/>
    </row>
    <row r="221" spans="1:28" x14ac:dyDescent="0.2">
      <c r="A221" s="23"/>
      <c r="B221" s="30"/>
      <c r="C221" s="30"/>
      <c r="D221" s="147"/>
      <c r="E221" s="147"/>
      <c r="F221" s="30"/>
      <c r="G221" s="30"/>
      <c r="H221" s="30"/>
      <c r="I221" s="30"/>
      <c r="J221" s="30"/>
      <c r="K221" s="30"/>
      <c r="L221" s="30"/>
      <c r="M221" s="23"/>
      <c r="N221" s="23"/>
      <c r="O221" s="123"/>
      <c r="AA221" s="136"/>
      <c r="AB221" s="123"/>
    </row>
    <row r="222" spans="1:28" x14ac:dyDescent="0.2">
      <c r="A222" s="23"/>
      <c r="B222" s="30"/>
      <c r="C222" s="30"/>
      <c r="D222" s="147"/>
      <c r="E222" s="147"/>
      <c r="F222" s="30"/>
      <c r="G222" s="30"/>
      <c r="H222" s="30"/>
      <c r="I222" s="30"/>
      <c r="J222" s="30"/>
      <c r="K222" s="30"/>
      <c r="L222" s="30"/>
      <c r="M222" s="23"/>
      <c r="N222" s="23"/>
      <c r="O222" s="123"/>
      <c r="AA222" s="136"/>
      <c r="AB222" s="123"/>
    </row>
    <row r="223" spans="1:28" x14ac:dyDescent="0.2">
      <c r="A223" s="23"/>
      <c r="B223" s="30"/>
      <c r="C223" s="30"/>
      <c r="D223" s="147"/>
      <c r="E223" s="147"/>
      <c r="F223" s="30"/>
      <c r="G223" s="30"/>
      <c r="H223" s="30"/>
      <c r="I223" s="30"/>
      <c r="J223" s="30"/>
      <c r="K223" s="30"/>
      <c r="L223" s="30"/>
      <c r="M223" s="23"/>
      <c r="N223" s="23"/>
      <c r="O223" s="123"/>
      <c r="AA223" s="136"/>
      <c r="AB223" s="123"/>
    </row>
    <row r="224" spans="1:28" x14ac:dyDescent="0.2">
      <c r="A224" s="23"/>
      <c r="B224" s="30"/>
      <c r="C224" s="30"/>
      <c r="D224" s="147"/>
      <c r="E224" s="147"/>
      <c r="F224" s="30"/>
      <c r="G224" s="30"/>
      <c r="H224" s="30"/>
      <c r="I224" s="30"/>
      <c r="J224" s="30"/>
      <c r="K224" s="30"/>
      <c r="L224" s="30"/>
      <c r="M224" s="23"/>
      <c r="N224" s="23"/>
      <c r="O224" s="123"/>
      <c r="AA224" s="136"/>
      <c r="AB224" s="123"/>
    </row>
    <row r="225" spans="1:28" x14ac:dyDescent="0.2">
      <c r="A225" s="23"/>
      <c r="B225" s="30"/>
      <c r="C225" s="30"/>
      <c r="D225" s="147"/>
      <c r="E225" s="147"/>
      <c r="F225" s="30"/>
      <c r="G225" s="30"/>
      <c r="H225" s="30"/>
      <c r="I225" s="30"/>
      <c r="J225" s="30"/>
      <c r="K225" s="30"/>
      <c r="L225" s="30"/>
      <c r="M225" s="23"/>
      <c r="N225" s="23"/>
      <c r="O225" s="123"/>
      <c r="AA225" s="136"/>
      <c r="AB225" s="123"/>
    </row>
    <row r="226" spans="1:28" x14ac:dyDescent="0.2">
      <c r="A226" s="23"/>
      <c r="B226" s="30"/>
      <c r="C226" s="30"/>
      <c r="D226" s="147"/>
      <c r="E226" s="147"/>
      <c r="F226" s="30"/>
      <c r="G226" s="30"/>
      <c r="H226" s="30"/>
      <c r="I226" s="30"/>
      <c r="J226" s="30"/>
      <c r="K226" s="30"/>
      <c r="L226" s="30"/>
      <c r="M226" s="23"/>
      <c r="N226" s="23"/>
      <c r="O226" s="123"/>
      <c r="AA226" s="136"/>
      <c r="AB226" s="123"/>
    </row>
    <row r="227" spans="1:28" x14ac:dyDescent="0.2">
      <c r="A227" s="23"/>
      <c r="B227" s="30"/>
      <c r="C227" s="30"/>
      <c r="D227" s="147"/>
      <c r="E227" s="147"/>
      <c r="F227" s="30"/>
      <c r="G227" s="30"/>
      <c r="H227" s="30"/>
      <c r="I227" s="30"/>
      <c r="J227" s="30"/>
      <c r="K227" s="30"/>
      <c r="L227" s="30"/>
      <c r="M227" s="23"/>
      <c r="N227" s="23"/>
      <c r="O227" s="123"/>
      <c r="AA227" s="136"/>
      <c r="AB227" s="123"/>
    </row>
    <row r="228" spans="1:28" x14ac:dyDescent="0.2">
      <c r="A228" s="23"/>
      <c r="B228" s="30"/>
      <c r="C228" s="30"/>
      <c r="D228" s="147"/>
      <c r="E228" s="147"/>
      <c r="F228" s="30"/>
      <c r="G228" s="30"/>
      <c r="H228" s="30"/>
      <c r="I228" s="30"/>
      <c r="J228" s="30"/>
      <c r="K228" s="30"/>
      <c r="L228" s="30"/>
      <c r="M228" s="23"/>
      <c r="N228" s="23"/>
      <c r="O228" s="123"/>
      <c r="AA228" s="136"/>
      <c r="AB228" s="123"/>
    </row>
    <row r="229" spans="1:28" x14ac:dyDescent="0.2">
      <c r="A229" s="23"/>
      <c r="B229" s="30"/>
      <c r="C229" s="30"/>
      <c r="D229" s="147"/>
      <c r="E229" s="147"/>
      <c r="F229" s="30"/>
      <c r="G229" s="30"/>
      <c r="H229" s="30"/>
      <c r="I229" s="30"/>
      <c r="J229" s="30"/>
      <c r="K229" s="30"/>
      <c r="L229" s="30"/>
      <c r="M229" s="23"/>
      <c r="N229" s="23"/>
      <c r="O229" s="123"/>
      <c r="AA229" s="136"/>
      <c r="AB229" s="123"/>
    </row>
    <row r="230" spans="1:28" x14ac:dyDescent="0.2">
      <c r="A230" s="23"/>
      <c r="B230" s="30"/>
      <c r="C230" s="30"/>
      <c r="D230" s="147"/>
      <c r="E230" s="147"/>
      <c r="F230" s="30"/>
      <c r="G230" s="30"/>
      <c r="H230" s="30"/>
      <c r="I230" s="30"/>
      <c r="J230" s="30"/>
      <c r="K230" s="30"/>
      <c r="L230" s="30"/>
      <c r="M230" s="23"/>
      <c r="N230" s="23"/>
      <c r="O230" s="123"/>
      <c r="AA230" s="136"/>
      <c r="AB230" s="123"/>
    </row>
    <row r="231" spans="1:28" x14ac:dyDescent="0.2">
      <c r="A231" s="23"/>
      <c r="B231" s="30"/>
      <c r="C231" s="30"/>
      <c r="D231" s="147"/>
      <c r="E231" s="147"/>
      <c r="F231" s="30"/>
      <c r="G231" s="30"/>
      <c r="H231" s="30"/>
      <c r="I231" s="30"/>
      <c r="J231" s="30"/>
      <c r="K231" s="30"/>
      <c r="L231" s="30"/>
      <c r="M231" s="23"/>
      <c r="N231" s="23"/>
      <c r="O231" s="123"/>
      <c r="AA231" s="136"/>
      <c r="AB231" s="123"/>
    </row>
    <row r="232" spans="1:28" x14ac:dyDescent="0.2">
      <c r="A232" s="23"/>
      <c r="B232" s="30"/>
      <c r="C232" s="30"/>
      <c r="D232" s="147"/>
      <c r="E232" s="147"/>
      <c r="F232" s="30"/>
      <c r="G232" s="30"/>
      <c r="H232" s="30"/>
      <c r="I232" s="30"/>
      <c r="J232" s="30"/>
      <c r="K232" s="30"/>
      <c r="L232" s="30"/>
      <c r="M232" s="23"/>
      <c r="N232" s="23"/>
      <c r="O232" s="123"/>
      <c r="AA232" s="136"/>
      <c r="AB232" s="123"/>
    </row>
    <row r="233" spans="1:28" x14ac:dyDescent="0.2">
      <c r="A233" s="23"/>
      <c r="B233" s="30"/>
      <c r="C233" s="30"/>
      <c r="D233" s="147"/>
      <c r="E233" s="147"/>
      <c r="F233" s="30"/>
      <c r="G233" s="30"/>
      <c r="H233" s="30"/>
      <c r="I233" s="30"/>
      <c r="J233" s="30"/>
      <c r="K233" s="30"/>
      <c r="L233" s="30"/>
      <c r="M233" s="23"/>
      <c r="N233" s="23"/>
      <c r="O233" s="123"/>
      <c r="AA233" s="136"/>
      <c r="AB233" s="123"/>
    </row>
    <row r="234" spans="1:28" x14ac:dyDescent="0.2">
      <c r="A234" s="23"/>
      <c r="B234" s="30"/>
      <c r="C234" s="30"/>
      <c r="D234" s="147"/>
      <c r="E234" s="147"/>
      <c r="F234" s="30"/>
      <c r="G234" s="30"/>
      <c r="H234" s="30"/>
      <c r="I234" s="30"/>
      <c r="J234" s="30"/>
      <c r="K234" s="30"/>
      <c r="L234" s="30"/>
      <c r="M234" s="23"/>
      <c r="N234" s="23"/>
      <c r="O234" s="123"/>
      <c r="AA234" s="136"/>
      <c r="AB234" s="123"/>
    </row>
    <row r="235" spans="1:28" x14ac:dyDescent="0.2">
      <c r="A235" s="23"/>
      <c r="B235" s="30"/>
      <c r="C235" s="30"/>
      <c r="D235" s="147"/>
      <c r="E235" s="147"/>
      <c r="F235" s="30"/>
      <c r="G235" s="30"/>
      <c r="H235" s="30"/>
      <c r="I235" s="30"/>
      <c r="J235" s="30"/>
      <c r="K235" s="30"/>
      <c r="L235" s="30"/>
      <c r="M235" s="23"/>
      <c r="N235" s="23"/>
      <c r="O235" s="123"/>
      <c r="AA235" s="136"/>
      <c r="AB235" s="123"/>
    </row>
    <row r="236" spans="1:28" x14ac:dyDescent="0.2">
      <c r="A236" s="23"/>
      <c r="B236" s="30"/>
      <c r="C236" s="30"/>
      <c r="D236" s="147"/>
      <c r="E236" s="147"/>
      <c r="F236" s="30"/>
      <c r="G236" s="30"/>
      <c r="H236" s="30"/>
      <c r="I236" s="30"/>
      <c r="J236" s="30"/>
      <c r="K236" s="30"/>
      <c r="L236" s="30"/>
      <c r="M236" s="23"/>
      <c r="N236" s="23"/>
      <c r="O236" s="123"/>
      <c r="AA236" s="136"/>
      <c r="AB236" s="123"/>
    </row>
    <row r="237" spans="1:28" x14ac:dyDescent="0.2">
      <c r="A237" s="23"/>
      <c r="B237" s="30"/>
      <c r="C237" s="30"/>
      <c r="D237" s="147"/>
      <c r="E237" s="147"/>
      <c r="F237" s="30"/>
      <c r="G237" s="30"/>
      <c r="H237" s="30"/>
      <c r="I237" s="30"/>
      <c r="J237" s="30"/>
      <c r="K237" s="30"/>
      <c r="L237" s="30"/>
      <c r="M237" s="23"/>
      <c r="N237" s="23"/>
      <c r="O237" s="123"/>
      <c r="AA237" s="136"/>
      <c r="AB237" s="123"/>
    </row>
    <row r="238" spans="1:28" x14ac:dyDescent="0.2">
      <c r="A238" s="23"/>
      <c r="B238" s="30"/>
      <c r="C238" s="30"/>
      <c r="D238" s="147"/>
      <c r="E238" s="147"/>
      <c r="F238" s="30"/>
      <c r="G238" s="30"/>
      <c r="H238" s="30"/>
      <c r="I238" s="30"/>
      <c r="J238" s="30"/>
      <c r="K238" s="30"/>
      <c r="L238" s="30"/>
      <c r="M238" s="23"/>
      <c r="N238" s="23"/>
      <c r="O238" s="123"/>
      <c r="AA238" s="136"/>
      <c r="AB238" s="123"/>
    </row>
    <row r="239" spans="1:28" x14ac:dyDescent="0.2">
      <c r="A239" s="23"/>
      <c r="B239" s="30"/>
      <c r="C239" s="30"/>
      <c r="D239" s="147"/>
      <c r="E239" s="147"/>
      <c r="F239" s="30"/>
      <c r="G239" s="30"/>
      <c r="H239" s="30"/>
      <c r="I239" s="30"/>
      <c r="J239" s="30"/>
      <c r="K239" s="30"/>
      <c r="L239" s="30"/>
      <c r="M239" s="23"/>
      <c r="N239" s="23"/>
      <c r="O239" s="123"/>
      <c r="AA239" s="136"/>
      <c r="AB239" s="123"/>
    </row>
    <row r="240" spans="1:28" x14ac:dyDescent="0.2">
      <c r="A240" s="23"/>
      <c r="B240" s="30"/>
      <c r="C240" s="30"/>
      <c r="D240" s="147"/>
      <c r="E240" s="147"/>
      <c r="F240" s="30"/>
      <c r="G240" s="30"/>
      <c r="H240" s="30"/>
      <c r="I240" s="30"/>
      <c r="J240" s="30"/>
      <c r="K240" s="30"/>
      <c r="L240" s="30"/>
      <c r="M240" s="23"/>
      <c r="N240" s="23"/>
      <c r="O240" s="123"/>
      <c r="AA240" s="136"/>
      <c r="AB240" s="123"/>
    </row>
    <row r="241" spans="1:28" x14ac:dyDescent="0.2">
      <c r="A241" s="23"/>
      <c r="B241" s="30"/>
      <c r="C241" s="30"/>
      <c r="D241" s="147"/>
      <c r="E241" s="147"/>
      <c r="F241" s="30"/>
      <c r="G241" s="30"/>
      <c r="H241" s="30"/>
      <c r="I241" s="30"/>
      <c r="J241" s="30"/>
      <c r="K241" s="30"/>
      <c r="L241" s="30"/>
      <c r="M241" s="23"/>
      <c r="N241" s="23"/>
      <c r="O241" s="123"/>
      <c r="AA241" s="136"/>
      <c r="AB241" s="123"/>
    </row>
    <row r="242" spans="1:28" x14ac:dyDescent="0.2">
      <c r="A242" s="23"/>
      <c r="B242" s="30"/>
      <c r="C242" s="30"/>
      <c r="D242" s="147"/>
      <c r="E242" s="147"/>
      <c r="F242" s="30"/>
      <c r="G242" s="30"/>
      <c r="H242" s="30"/>
      <c r="I242" s="30"/>
      <c r="J242" s="30"/>
      <c r="K242" s="30"/>
      <c r="L242" s="30"/>
      <c r="M242" s="23"/>
      <c r="N242" s="23"/>
      <c r="O242" s="123"/>
      <c r="AA242" s="136"/>
      <c r="AB242" s="123"/>
    </row>
    <row r="243" spans="1:28" x14ac:dyDescent="0.2">
      <c r="A243" s="23"/>
      <c r="B243" s="30"/>
      <c r="C243" s="30"/>
      <c r="D243" s="147"/>
      <c r="E243" s="147"/>
      <c r="F243" s="30"/>
      <c r="G243" s="30"/>
      <c r="H243" s="30"/>
      <c r="I243" s="30"/>
      <c r="J243" s="30"/>
      <c r="K243" s="30"/>
      <c r="L243" s="30"/>
      <c r="M243" s="23"/>
      <c r="N243" s="23"/>
      <c r="O243" s="123"/>
      <c r="AA243" s="136"/>
      <c r="AB243" s="123"/>
    </row>
    <row r="244" spans="1:28" x14ac:dyDescent="0.2">
      <c r="A244" s="23"/>
      <c r="B244" s="30"/>
      <c r="C244" s="30"/>
      <c r="D244" s="147"/>
      <c r="E244" s="147"/>
      <c r="F244" s="30"/>
      <c r="G244" s="30"/>
      <c r="H244" s="30"/>
      <c r="I244" s="30"/>
      <c r="J244" s="30"/>
      <c r="K244" s="30"/>
      <c r="L244" s="30"/>
      <c r="M244" s="23"/>
      <c r="N244" s="23"/>
      <c r="O244" s="123"/>
      <c r="AA244" s="136"/>
      <c r="AB244" s="123"/>
    </row>
    <row r="245" spans="1:28" x14ac:dyDescent="0.2">
      <c r="A245" s="23"/>
      <c r="B245" s="30"/>
      <c r="C245" s="30"/>
      <c r="D245" s="147"/>
      <c r="E245" s="147"/>
      <c r="F245" s="30"/>
      <c r="G245" s="30"/>
      <c r="H245" s="30"/>
      <c r="I245" s="30"/>
      <c r="J245" s="30"/>
      <c r="K245" s="30"/>
      <c r="L245" s="30"/>
      <c r="M245" s="23"/>
      <c r="N245" s="23"/>
      <c r="O245" s="123"/>
      <c r="AA245" s="136"/>
      <c r="AB245" s="123"/>
    </row>
    <row r="246" spans="1:28" x14ac:dyDescent="0.2">
      <c r="A246" s="23"/>
      <c r="B246" s="30"/>
      <c r="C246" s="30"/>
      <c r="D246" s="147"/>
      <c r="E246" s="147"/>
      <c r="F246" s="30"/>
      <c r="G246" s="30"/>
      <c r="H246" s="30"/>
      <c r="I246" s="30"/>
      <c r="J246" s="30"/>
      <c r="K246" s="30"/>
      <c r="L246" s="30"/>
      <c r="M246" s="23"/>
      <c r="N246" s="23"/>
      <c r="O246" s="123"/>
      <c r="AA246" s="136"/>
      <c r="AB246" s="123"/>
    </row>
    <row r="247" spans="1:28" x14ac:dyDescent="0.2">
      <c r="A247" s="23"/>
      <c r="B247" s="30"/>
      <c r="C247" s="30"/>
      <c r="D247" s="147"/>
      <c r="E247" s="147"/>
      <c r="F247" s="30"/>
      <c r="G247" s="30"/>
      <c r="H247" s="30"/>
      <c r="I247" s="30"/>
      <c r="J247" s="30"/>
      <c r="K247" s="30"/>
      <c r="L247" s="30"/>
      <c r="M247" s="23"/>
      <c r="N247" s="23"/>
      <c r="O247" s="123"/>
      <c r="AA247" s="136"/>
      <c r="AB247" s="123"/>
    </row>
    <row r="248" spans="1:28" x14ac:dyDescent="0.2">
      <c r="A248" s="23"/>
      <c r="B248" s="30"/>
      <c r="C248" s="30"/>
      <c r="D248" s="147"/>
      <c r="E248" s="147"/>
      <c r="F248" s="30"/>
      <c r="G248" s="30"/>
      <c r="H248" s="30"/>
      <c r="I248" s="30"/>
      <c r="J248" s="30"/>
      <c r="K248" s="30"/>
      <c r="L248" s="30"/>
      <c r="M248" s="23"/>
      <c r="N248" s="23"/>
      <c r="O248" s="123"/>
      <c r="AA248" s="136"/>
      <c r="AB248" s="123"/>
    </row>
    <row r="249" spans="1:28" x14ac:dyDescent="0.2">
      <c r="A249" s="23"/>
      <c r="B249" s="30"/>
      <c r="C249" s="30"/>
      <c r="D249" s="147"/>
      <c r="E249" s="147"/>
      <c r="F249" s="30"/>
      <c r="G249" s="30"/>
      <c r="H249" s="30"/>
      <c r="I249" s="30"/>
      <c r="J249" s="30"/>
      <c r="K249" s="30"/>
      <c r="L249" s="30"/>
      <c r="M249" s="23"/>
      <c r="N249" s="23"/>
      <c r="O249" s="123"/>
      <c r="AA249" s="136"/>
      <c r="AB249" s="123"/>
    </row>
    <row r="250" spans="1:28" x14ac:dyDescent="0.2">
      <c r="A250" s="23"/>
      <c r="B250" s="30"/>
      <c r="C250" s="30"/>
      <c r="D250" s="147"/>
      <c r="E250" s="147"/>
      <c r="F250" s="30"/>
      <c r="G250" s="30"/>
      <c r="H250" s="30"/>
      <c r="I250" s="30"/>
      <c r="J250" s="30"/>
      <c r="K250" s="30"/>
      <c r="L250" s="30"/>
      <c r="M250" s="23"/>
      <c r="N250" s="23"/>
      <c r="O250" s="123"/>
      <c r="AA250" s="136"/>
      <c r="AB250" s="123"/>
    </row>
    <row r="251" spans="1:28" x14ac:dyDescent="0.2">
      <c r="A251" s="23"/>
      <c r="B251" s="30"/>
      <c r="C251" s="30"/>
      <c r="D251" s="147"/>
      <c r="E251" s="147"/>
      <c r="F251" s="30"/>
      <c r="G251" s="30"/>
      <c r="H251" s="30"/>
      <c r="I251" s="30"/>
      <c r="J251" s="30"/>
      <c r="K251" s="30"/>
      <c r="L251" s="30"/>
      <c r="M251" s="23"/>
      <c r="N251" s="23"/>
      <c r="O251" s="123"/>
      <c r="AA251" s="136"/>
      <c r="AB251" s="123"/>
    </row>
    <row r="252" spans="1:28" x14ac:dyDescent="0.2">
      <c r="A252" s="23"/>
      <c r="B252" s="30"/>
      <c r="C252" s="30"/>
      <c r="D252" s="147"/>
      <c r="E252" s="147"/>
      <c r="F252" s="30"/>
      <c r="G252" s="30"/>
      <c r="H252" s="30"/>
      <c r="I252" s="30"/>
      <c r="J252" s="30"/>
      <c r="K252" s="30"/>
      <c r="L252" s="30"/>
      <c r="M252" s="23"/>
      <c r="N252" s="23"/>
      <c r="O252" s="123"/>
      <c r="AA252" s="136"/>
      <c r="AB252" s="123"/>
    </row>
    <row r="253" spans="1:28" x14ac:dyDescent="0.2">
      <c r="A253" s="23"/>
      <c r="B253" s="30"/>
      <c r="C253" s="30"/>
      <c r="D253" s="147"/>
      <c r="E253" s="147"/>
      <c r="F253" s="30"/>
      <c r="G253" s="30"/>
      <c r="H253" s="30"/>
      <c r="I253" s="30"/>
      <c r="J253" s="30"/>
      <c r="K253" s="30"/>
      <c r="L253" s="30"/>
      <c r="M253" s="23"/>
      <c r="N253" s="23"/>
      <c r="O253" s="123"/>
      <c r="AA253" s="136"/>
      <c r="AB253" s="123"/>
    </row>
    <row r="254" spans="1:28" x14ac:dyDescent="0.2">
      <c r="A254" s="23"/>
      <c r="B254" s="30"/>
      <c r="C254" s="30"/>
      <c r="D254" s="147"/>
      <c r="E254" s="147"/>
      <c r="F254" s="30"/>
      <c r="G254" s="30"/>
      <c r="H254" s="30"/>
      <c r="I254" s="30"/>
      <c r="J254" s="30"/>
      <c r="K254" s="30"/>
      <c r="L254" s="30"/>
      <c r="M254" s="23"/>
      <c r="N254" s="23"/>
      <c r="O254" s="123"/>
      <c r="AA254" s="136"/>
      <c r="AB254" s="123"/>
    </row>
    <row r="255" spans="1:28" x14ac:dyDescent="0.2">
      <c r="A255" s="23"/>
      <c r="B255" s="30"/>
      <c r="C255" s="30"/>
      <c r="D255" s="147"/>
      <c r="E255" s="147"/>
      <c r="F255" s="30"/>
      <c r="G255" s="30"/>
      <c r="H255" s="30"/>
      <c r="I255" s="30"/>
      <c r="J255" s="30"/>
      <c r="K255" s="30"/>
      <c r="L255" s="30"/>
      <c r="M255" s="23"/>
      <c r="N255" s="23"/>
      <c r="O255" s="123"/>
      <c r="AA255" s="136"/>
      <c r="AB255" s="123"/>
    </row>
    <row r="256" spans="1:28" x14ac:dyDescent="0.2">
      <c r="A256" s="23"/>
      <c r="B256" s="30"/>
      <c r="C256" s="30"/>
      <c r="D256" s="147"/>
      <c r="E256" s="147"/>
      <c r="F256" s="30"/>
      <c r="G256" s="30"/>
      <c r="H256" s="30"/>
      <c r="I256" s="30"/>
      <c r="J256" s="30"/>
      <c r="K256" s="30"/>
      <c r="L256" s="30"/>
      <c r="M256" s="23"/>
      <c r="N256" s="23"/>
      <c r="O256" s="123"/>
      <c r="AA256" s="136"/>
      <c r="AB256" s="123"/>
    </row>
    <row r="257" spans="1:28" x14ac:dyDescent="0.2">
      <c r="A257" s="23"/>
      <c r="B257" s="30"/>
      <c r="C257" s="30"/>
      <c r="D257" s="147"/>
      <c r="E257" s="147"/>
      <c r="F257" s="30"/>
      <c r="G257" s="30"/>
      <c r="H257" s="30"/>
      <c r="I257" s="30"/>
      <c r="J257" s="30"/>
      <c r="K257" s="30"/>
      <c r="L257" s="30"/>
      <c r="M257" s="23"/>
      <c r="N257" s="23"/>
      <c r="O257" s="123"/>
      <c r="AA257" s="136"/>
      <c r="AB257" s="123"/>
    </row>
    <row r="258" spans="1:28" x14ac:dyDescent="0.2">
      <c r="A258" s="23"/>
      <c r="B258" s="30"/>
      <c r="C258" s="30"/>
      <c r="D258" s="147"/>
      <c r="E258" s="147"/>
      <c r="F258" s="30"/>
      <c r="G258" s="30"/>
      <c r="H258" s="30"/>
      <c r="I258" s="30"/>
      <c r="J258" s="30"/>
      <c r="K258" s="30"/>
      <c r="L258" s="30"/>
      <c r="M258" s="23"/>
      <c r="N258" s="23"/>
      <c r="O258" s="123"/>
      <c r="AA258" s="136"/>
      <c r="AB258" s="123"/>
    </row>
    <row r="259" spans="1:28" x14ac:dyDescent="0.2">
      <c r="A259" s="23"/>
      <c r="B259" s="30"/>
      <c r="C259" s="30"/>
      <c r="D259" s="147"/>
      <c r="E259" s="147"/>
      <c r="F259" s="30"/>
      <c r="G259" s="30"/>
      <c r="H259" s="30"/>
      <c r="I259" s="30"/>
      <c r="J259" s="30"/>
      <c r="K259" s="30"/>
      <c r="L259" s="30"/>
      <c r="M259" s="23"/>
      <c r="N259" s="23"/>
      <c r="O259" s="123"/>
      <c r="AA259" s="136"/>
      <c r="AB259" s="123"/>
    </row>
    <row r="260" spans="1:28" x14ac:dyDescent="0.2">
      <c r="A260" s="23"/>
      <c r="B260" s="30"/>
      <c r="C260" s="30"/>
      <c r="D260" s="147"/>
      <c r="E260" s="147"/>
      <c r="F260" s="30"/>
      <c r="G260" s="30"/>
      <c r="H260" s="30"/>
      <c r="I260" s="30"/>
      <c r="J260" s="30"/>
      <c r="K260" s="30"/>
      <c r="L260" s="30"/>
      <c r="M260" s="23"/>
      <c r="N260" s="23"/>
      <c r="O260" s="123"/>
      <c r="AA260" s="136"/>
      <c r="AB260" s="123"/>
    </row>
    <row r="261" spans="1:28" x14ac:dyDescent="0.2">
      <c r="A261" s="23"/>
      <c r="B261" s="30"/>
      <c r="C261" s="30"/>
      <c r="D261" s="147"/>
      <c r="E261" s="147"/>
      <c r="F261" s="30"/>
      <c r="G261" s="30"/>
      <c r="H261" s="30"/>
      <c r="I261" s="30"/>
      <c r="J261" s="30"/>
      <c r="K261" s="30"/>
      <c r="L261" s="30"/>
      <c r="M261" s="23"/>
      <c r="N261" s="23"/>
      <c r="O261" s="123"/>
      <c r="AA261" s="136"/>
      <c r="AB261" s="123"/>
    </row>
    <row r="262" spans="1:28" x14ac:dyDescent="0.2">
      <c r="A262" s="23"/>
      <c r="B262" s="30"/>
      <c r="C262" s="30"/>
      <c r="D262" s="147"/>
      <c r="E262" s="147"/>
      <c r="F262" s="30"/>
      <c r="G262" s="30"/>
      <c r="H262" s="30"/>
      <c r="I262" s="30"/>
      <c r="J262" s="30"/>
      <c r="K262" s="30"/>
      <c r="L262" s="30"/>
      <c r="M262" s="23"/>
      <c r="N262" s="23"/>
      <c r="O262" s="123"/>
      <c r="AA262" s="136"/>
      <c r="AB262" s="123"/>
    </row>
    <row r="263" spans="1:28" x14ac:dyDescent="0.2">
      <c r="A263" s="23"/>
      <c r="B263" s="30"/>
      <c r="C263" s="30"/>
      <c r="D263" s="147"/>
      <c r="E263" s="147"/>
      <c r="F263" s="30"/>
      <c r="G263" s="30"/>
      <c r="H263" s="30"/>
      <c r="I263" s="30"/>
      <c r="J263" s="30"/>
      <c r="K263" s="30"/>
      <c r="L263" s="30"/>
      <c r="M263" s="23"/>
      <c r="N263" s="23"/>
      <c r="O263" s="123"/>
      <c r="AA263" s="136"/>
      <c r="AB263" s="123"/>
    </row>
    <row r="264" spans="1:28" x14ac:dyDescent="0.2">
      <c r="A264" s="23"/>
      <c r="B264" s="30"/>
      <c r="C264" s="30"/>
      <c r="D264" s="147"/>
      <c r="E264" s="147"/>
      <c r="F264" s="30"/>
      <c r="G264" s="30"/>
      <c r="H264" s="30"/>
      <c r="I264" s="30"/>
      <c r="J264" s="30"/>
      <c r="K264" s="30"/>
      <c r="L264" s="30"/>
      <c r="M264" s="23"/>
      <c r="N264" s="23"/>
      <c r="O264" s="123"/>
      <c r="AA264" s="136"/>
      <c r="AB264" s="123"/>
    </row>
    <row r="265" spans="1:28" x14ac:dyDescent="0.2">
      <c r="A265" s="23"/>
      <c r="B265" s="30"/>
      <c r="C265" s="30"/>
      <c r="D265" s="147"/>
      <c r="E265" s="147"/>
      <c r="F265" s="30"/>
      <c r="G265" s="30"/>
      <c r="H265" s="30"/>
      <c r="I265" s="30"/>
      <c r="J265" s="30"/>
      <c r="K265" s="30"/>
      <c r="L265" s="30"/>
      <c r="M265" s="23"/>
      <c r="N265" s="23"/>
      <c r="O265" s="123"/>
      <c r="AA265" s="136"/>
      <c r="AB265" s="123"/>
    </row>
    <row r="266" spans="1:28" x14ac:dyDescent="0.2">
      <c r="A266" s="23"/>
      <c r="B266" s="30"/>
      <c r="C266" s="30"/>
      <c r="D266" s="147"/>
      <c r="E266" s="147"/>
      <c r="F266" s="30"/>
      <c r="G266" s="30"/>
      <c r="H266" s="30"/>
      <c r="I266" s="30"/>
      <c r="J266" s="30"/>
      <c r="K266" s="30"/>
      <c r="L266" s="30"/>
      <c r="M266" s="23"/>
      <c r="N266" s="23"/>
      <c r="O266" s="123"/>
      <c r="AA266" s="136"/>
      <c r="AB266" s="123"/>
    </row>
    <row r="267" spans="1:28" x14ac:dyDescent="0.2">
      <c r="A267" s="23"/>
      <c r="B267" s="30"/>
      <c r="C267" s="30"/>
      <c r="D267" s="147"/>
      <c r="E267" s="147"/>
      <c r="F267" s="30"/>
      <c r="G267" s="30"/>
      <c r="H267" s="30"/>
      <c r="I267" s="30"/>
      <c r="J267" s="30"/>
      <c r="K267" s="30"/>
      <c r="L267" s="30"/>
      <c r="M267" s="23"/>
      <c r="N267" s="23"/>
      <c r="O267" s="123"/>
      <c r="AA267" s="136"/>
      <c r="AB267" s="123"/>
    </row>
    <row r="268" spans="1:28" x14ac:dyDescent="0.2">
      <c r="A268" s="23"/>
      <c r="B268" s="30"/>
      <c r="C268" s="30"/>
      <c r="D268" s="147"/>
      <c r="E268" s="147"/>
      <c r="F268" s="30"/>
      <c r="G268" s="30"/>
      <c r="H268" s="30"/>
      <c r="I268" s="30"/>
      <c r="J268" s="30"/>
      <c r="K268" s="30"/>
      <c r="L268" s="30"/>
      <c r="M268" s="23"/>
      <c r="N268" s="23"/>
      <c r="O268" s="123"/>
      <c r="AA268" s="136"/>
      <c r="AB268" s="123"/>
    </row>
    <row r="269" spans="1:28" x14ac:dyDescent="0.2">
      <c r="A269" s="23"/>
      <c r="B269" s="30"/>
      <c r="C269" s="30"/>
      <c r="D269" s="147"/>
      <c r="E269" s="147"/>
      <c r="F269" s="30"/>
      <c r="G269" s="30"/>
      <c r="H269" s="30"/>
      <c r="I269" s="30"/>
      <c r="J269" s="30"/>
      <c r="K269" s="30"/>
      <c r="L269" s="30"/>
      <c r="M269" s="23"/>
      <c r="N269" s="23"/>
      <c r="O269" s="123"/>
      <c r="AA269" s="136"/>
      <c r="AB269" s="123"/>
    </row>
    <row r="270" spans="1:28" x14ac:dyDescent="0.2">
      <c r="A270" s="23"/>
      <c r="B270" s="30"/>
      <c r="C270" s="30"/>
      <c r="D270" s="147"/>
      <c r="E270" s="147"/>
      <c r="F270" s="30"/>
      <c r="G270" s="30"/>
      <c r="H270" s="30"/>
      <c r="I270" s="30"/>
      <c r="J270" s="30"/>
      <c r="K270" s="30"/>
      <c r="L270" s="30"/>
      <c r="M270" s="23"/>
      <c r="N270" s="23"/>
      <c r="O270" s="123"/>
      <c r="AA270" s="136"/>
      <c r="AB270" s="123"/>
    </row>
    <row r="271" spans="1:28" x14ac:dyDescent="0.2">
      <c r="A271" s="23"/>
      <c r="B271" s="30"/>
      <c r="C271" s="30"/>
      <c r="D271" s="147"/>
      <c r="E271" s="147"/>
      <c r="F271" s="30"/>
      <c r="G271" s="30"/>
      <c r="H271" s="30"/>
      <c r="I271" s="30"/>
      <c r="J271" s="30"/>
      <c r="K271" s="30"/>
      <c r="L271" s="30"/>
      <c r="M271" s="23"/>
      <c r="N271" s="23"/>
      <c r="O271" s="123"/>
      <c r="AA271" s="136"/>
      <c r="AB271" s="123"/>
    </row>
    <row r="272" spans="1:28" x14ac:dyDescent="0.2">
      <c r="A272" s="23"/>
      <c r="B272" s="30"/>
      <c r="C272" s="30"/>
      <c r="D272" s="147"/>
      <c r="E272" s="147"/>
      <c r="F272" s="30"/>
      <c r="G272" s="30"/>
      <c r="H272" s="30"/>
      <c r="I272" s="30"/>
      <c r="J272" s="30"/>
      <c r="K272" s="30"/>
      <c r="L272" s="30"/>
      <c r="M272" s="23"/>
      <c r="N272" s="23"/>
      <c r="O272" s="123"/>
      <c r="AA272" s="136"/>
      <c r="AB272" s="123"/>
    </row>
    <row r="273" spans="1:28" x14ac:dyDescent="0.2">
      <c r="A273" s="23"/>
      <c r="B273" s="30"/>
      <c r="C273" s="30"/>
      <c r="D273" s="147"/>
      <c r="E273" s="147"/>
      <c r="F273" s="30"/>
      <c r="G273" s="30"/>
      <c r="H273" s="30"/>
      <c r="I273" s="30"/>
      <c r="J273" s="30"/>
      <c r="K273" s="30"/>
      <c r="L273" s="30"/>
      <c r="M273" s="23"/>
      <c r="N273" s="23"/>
      <c r="O273" s="123"/>
      <c r="AA273" s="136"/>
      <c r="AB273" s="123"/>
    </row>
    <row r="274" spans="1:28" x14ac:dyDescent="0.2">
      <c r="A274" s="23"/>
      <c r="B274" s="30"/>
      <c r="C274" s="30"/>
      <c r="D274" s="147"/>
      <c r="E274" s="147"/>
      <c r="F274" s="30"/>
      <c r="G274" s="30"/>
      <c r="H274" s="30"/>
      <c r="I274" s="30"/>
      <c r="J274" s="30"/>
      <c r="K274" s="30"/>
      <c r="L274" s="30"/>
      <c r="M274" s="23"/>
      <c r="N274" s="23"/>
      <c r="O274" s="123"/>
      <c r="AA274" s="136"/>
      <c r="AB274" s="123"/>
    </row>
    <row r="275" spans="1:28" x14ac:dyDescent="0.2">
      <c r="A275" s="23"/>
      <c r="B275" s="30"/>
      <c r="C275" s="30"/>
      <c r="D275" s="147"/>
      <c r="E275" s="147"/>
      <c r="F275" s="30"/>
      <c r="G275" s="30"/>
      <c r="H275" s="30"/>
      <c r="I275" s="30"/>
      <c r="J275" s="30"/>
      <c r="K275" s="30"/>
      <c r="L275" s="30"/>
      <c r="M275" s="23"/>
      <c r="N275" s="23"/>
      <c r="O275" s="123"/>
      <c r="AA275" s="136"/>
      <c r="AB275" s="123"/>
    </row>
    <row r="276" spans="1:28" x14ac:dyDescent="0.2">
      <c r="A276" s="23"/>
      <c r="B276" s="30"/>
      <c r="C276" s="30"/>
      <c r="D276" s="147"/>
      <c r="E276" s="147"/>
      <c r="F276" s="30"/>
      <c r="G276" s="30"/>
      <c r="H276" s="30"/>
      <c r="I276" s="30"/>
      <c r="J276" s="30"/>
      <c r="K276" s="30"/>
      <c r="L276" s="30"/>
      <c r="M276" s="23"/>
      <c r="N276" s="23"/>
      <c r="O276" s="123"/>
      <c r="AA276" s="136"/>
      <c r="AB276" s="123"/>
    </row>
    <row r="277" spans="1:28" x14ac:dyDescent="0.2">
      <c r="A277" s="23"/>
      <c r="B277" s="30"/>
      <c r="C277" s="30"/>
      <c r="D277" s="147"/>
      <c r="E277" s="147"/>
      <c r="F277" s="30"/>
      <c r="G277" s="30"/>
      <c r="H277" s="30"/>
      <c r="I277" s="30"/>
      <c r="J277" s="30"/>
      <c r="K277" s="30"/>
      <c r="L277" s="30"/>
      <c r="M277" s="23"/>
      <c r="N277" s="23"/>
      <c r="O277" s="123"/>
      <c r="AA277" s="136"/>
      <c r="AB277" s="123"/>
    </row>
    <row r="278" spans="1:28" x14ac:dyDescent="0.2">
      <c r="A278" s="23"/>
      <c r="B278" s="30"/>
      <c r="C278" s="30"/>
      <c r="D278" s="147"/>
      <c r="E278" s="147"/>
      <c r="F278" s="30"/>
      <c r="G278" s="30"/>
      <c r="H278" s="30"/>
      <c r="I278" s="30"/>
      <c r="J278" s="30"/>
      <c r="K278" s="30"/>
      <c r="L278" s="30"/>
      <c r="M278" s="23"/>
      <c r="N278" s="23"/>
      <c r="O278" s="123"/>
      <c r="AA278" s="136"/>
      <c r="AB278" s="123"/>
    </row>
    <row r="279" spans="1:28" x14ac:dyDescent="0.2">
      <c r="A279" s="23"/>
      <c r="B279" s="30"/>
      <c r="C279" s="30"/>
      <c r="D279" s="147"/>
      <c r="E279" s="147"/>
      <c r="F279" s="30"/>
      <c r="G279" s="30"/>
      <c r="H279" s="30"/>
      <c r="I279" s="30"/>
      <c r="J279" s="30"/>
      <c r="K279" s="30"/>
      <c r="L279" s="30"/>
      <c r="M279" s="23"/>
      <c r="N279" s="23"/>
      <c r="O279" s="123"/>
      <c r="AA279" s="136"/>
      <c r="AB279" s="123"/>
    </row>
    <row r="280" spans="1:28" x14ac:dyDescent="0.2">
      <c r="A280" s="23"/>
      <c r="B280" s="30"/>
      <c r="C280" s="30"/>
      <c r="D280" s="147"/>
      <c r="E280" s="147"/>
      <c r="F280" s="30"/>
      <c r="G280" s="30"/>
      <c r="H280" s="30"/>
      <c r="I280" s="30"/>
      <c r="J280" s="30"/>
      <c r="K280" s="30"/>
      <c r="L280" s="30"/>
      <c r="M280" s="23"/>
      <c r="N280" s="23"/>
      <c r="O280" s="123"/>
      <c r="AA280" s="136"/>
      <c r="AB280" s="123"/>
    </row>
    <row r="281" spans="1:28" x14ac:dyDescent="0.2">
      <c r="A281" s="23"/>
      <c r="B281" s="30"/>
      <c r="C281" s="30"/>
      <c r="D281" s="147"/>
      <c r="E281" s="147"/>
      <c r="F281" s="30"/>
      <c r="G281" s="30"/>
      <c r="H281" s="30"/>
      <c r="I281" s="30"/>
      <c r="J281" s="30"/>
      <c r="K281" s="30"/>
      <c r="L281" s="30"/>
      <c r="M281" s="23"/>
      <c r="N281" s="23"/>
      <c r="O281" s="123"/>
      <c r="AA281" s="136"/>
      <c r="AB281" s="123"/>
    </row>
    <row r="282" spans="1:28" x14ac:dyDescent="0.2">
      <c r="A282" s="23"/>
      <c r="B282" s="30"/>
      <c r="C282" s="30"/>
      <c r="D282" s="147"/>
      <c r="E282" s="147"/>
      <c r="F282" s="30"/>
      <c r="G282" s="30"/>
      <c r="H282" s="30"/>
      <c r="I282" s="30"/>
      <c r="J282" s="30"/>
      <c r="K282" s="30"/>
      <c r="L282" s="30"/>
      <c r="M282" s="23"/>
      <c r="N282" s="23"/>
      <c r="O282" s="123"/>
      <c r="AA282" s="136"/>
      <c r="AB282" s="123"/>
    </row>
    <row r="283" spans="1:28" x14ac:dyDescent="0.2">
      <c r="A283" s="23"/>
      <c r="B283" s="30"/>
      <c r="C283" s="30"/>
      <c r="D283" s="147"/>
      <c r="E283" s="147"/>
      <c r="F283" s="30"/>
      <c r="G283" s="30"/>
      <c r="H283" s="30"/>
      <c r="I283" s="30"/>
      <c r="J283" s="30"/>
      <c r="K283" s="30"/>
      <c r="L283" s="30"/>
      <c r="M283" s="23"/>
      <c r="N283" s="23"/>
      <c r="O283" s="123"/>
      <c r="AA283" s="136"/>
      <c r="AB283" s="123"/>
    </row>
    <row r="284" spans="1:28" x14ac:dyDescent="0.2">
      <c r="A284" s="23"/>
      <c r="B284" s="30"/>
      <c r="C284" s="30"/>
      <c r="D284" s="147"/>
      <c r="E284" s="147"/>
      <c r="F284" s="30"/>
      <c r="G284" s="30"/>
      <c r="H284" s="30"/>
      <c r="I284" s="30"/>
      <c r="J284" s="30"/>
      <c r="K284" s="30"/>
      <c r="L284" s="30"/>
      <c r="M284" s="23"/>
      <c r="N284" s="23"/>
      <c r="O284" s="123"/>
      <c r="AA284" s="136"/>
      <c r="AB284" s="123"/>
    </row>
    <row r="285" spans="1:28" x14ac:dyDescent="0.2">
      <c r="A285" s="23"/>
      <c r="B285" s="30"/>
      <c r="C285" s="30"/>
      <c r="D285" s="147"/>
      <c r="E285" s="147"/>
      <c r="F285" s="30"/>
      <c r="G285" s="30"/>
      <c r="H285" s="30"/>
      <c r="I285" s="30"/>
      <c r="J285" s="30"/>
      <c r="K285" s="30"/>
      <c r="L285" s="30"/>
      <c r="M285" s="23"/>
      <c r="N285" s="23"/>
      <c r="O285" s="123"/>
      <c r="AA285" s="136"/>
      <c r="AB285" s="123"/>
    </row>
    <row r="286" spans="1:28" x14ac:dyDescent="0.2">
      <c r="A286" s="23"/>
      <c r="B286" s="30"/>
      <c r="C286" s="30"/>
      <c r="D286" s="147"/>
      <c r="E286" s="147"/>
      <c r="F286" s="30"/>
      <c r="G286" s="30"/>
      <c r="H286" s="30"/>
      <c r="I286" s="30"/>
      <c r="J286" s="30"/>
      <c r="K286" s="30"/>
      <c r="L286" s="30"/>
      <c r="M286" s="23"/>
      <c r="N286" s="23"/>
      <c r="O286" s="123"/>
      <c r="AA286" s="136"/>
      <c r="AB286" s="123"/>
    </row>
    <row r="287" spans="1:28" x14ac:dyDescent="0.2">
      <c r="A287" s="23"/>
      <c r="B287" s="30"/>
      <c r="C287" s="30"/>
      <c r="D287" s="147"/>
      <c r="E287" s="147"/>
      <c r="F287" s="30"/>
      <c r="G287" s="30"/>
      <c r="H287" s="30"/>
      <c r="I287" s="30"/>
      <c r="J287" s="30"/>
      <c r="K287" s="30"/>
      <c r="L287" s="30"/>
      <c r="M287" s="23"/>
      <c r="N287" s="23"/>
      <c r="O287" s="123"/>
      <c r="AA287" s="136"/>
      <c r="AB287" s="123"/>
    </row>
    <row r="288" spans="1:28" x14ac:dyDescent="0.2">
      <c r="A288" s="23"/>
      <c r="B288" s="30"/>
      <c r="C288" s="30"/>
      <c r="D288" s="147"/>
      <c r="E288" s="147"/>
      <c r="F288" s="30"/>
      <c r="G288" s="30"/>
      <c r="H288" s="30"/>
      <c r="I288" s="30"/>
      <c r="J288" s="30"/>
      <c r="K288" s="30"/>
      <c r="L288" s="30"/>
      <c r="M288" s="23"/>
      <c r="N288" s="23"/>
      <c r="O288" s="123"/>
      <c r="AA288" s="136"/>
      <c r="AB288" s="123"/>
    </row>
    <row r="289" spans="1:28" x14ac:dyDescent="0.2">
      <c r="A289" s="23"/>
      <c r="B289" s="30"/>
      <c r="C289" s="30"/>
      <c r="D289" s="147"/>
      <c r="E289" s="147"/>
      <c r="F289" s="30"/>
      <c r="G289" s="30"/>
      <c r="H289" s="30"/>
      <c r="I289" s="30"/>
      <c r="J289" s="30"/>
      <c r="K289" s="30"/>
      <c r="L289" s="30"/>
      <c r="M289" s="23"/>
      <c r="N289" s="23"/>
      <c r="O289" s="123"/>
      <c r="AA289" s="136"/>
      <c r="AB289" s="123"/>
    </row>
    <row r="290" spans="1:28" x14ac:dyDescent="0.2">
      <c r="A290" s="23"/>
      <c r="B290" s="30"/>
      <c r="C290" s="30"/>
      <c r="D290" s="147"/>
      <c r="E290" s="147"/>
      <c r="F290" s="30"/>
      <c r="G290" s="30"/>
      <c r="H290" s="30"/>
      <c r="I290" s="30"/>
      <c r="J290" s="30"/>
      <c r="K290" s="30"/>
      <c r="L290" s="30"/>
      <c r="M290" s="23"/>
      <c r="N290" s="23"/>
      <c r="O290" s="123"/>
      <c r="AA290" s="136"/>
      <c r="AB290" s="123"/>
    </row>
    <row r="291" spans="1:28" x14ac:dyDescent="0.2">
      <c r="A291" s="23"/>
      <c r="B291" s="30"/>
      <c r="C291" s="30"/>
      <c r="D291" s="147"/>
      <c r="E291" s="147"/>
      <c r="F291" s="30"/>
      <c r="G291" s="30"/>
      <c r="H291" s="30"/>
      <c r="I291" s="30"/>
      <c r="J291" s="30"/>
      <c r="K291" s="30"/>
      <c r="L291" s="30"/>
      <c r="M291" s="23"/>
      <c r="N291" s="23"/>
      <c r="O291" s="123"/>
      <c r="AA291" s="136"/>
      <c r="AB291" s="123"/>
    </row>
    <row r="292" spans="1:28" x14ac:dyDescent="0.2">
      <c r="A292" s="23"/>
      <c r="B292" s="30"/>
      <c r="C292" s="30"/>
      <c r="D292" s="147"/>
      <c r="E292" s="147"/>
      <c r="F292" s="30"/>
      <c r="G292" s="30"/>
      <c r="H292" s="30"/>
      <c r="I292" s="30"/>
      <c r="J292" s="30"/>
      <c r="K292" s="30"/>
      <c r="L292" s="30"/>
      <c r="M292" s="23"/>
      <c r="N292" s="23"/>
      <c r="O292" s="123"/>
      <c r="AA292" s="136"/>
      <c r="AB292" s="123"/>
    </row>
    <row r="293" spans="1:28" x14ac:dyDescent="0.2">
      <c r="A293" s="23"/>
      <c r="B293" s="30"/>
      <c r="C293" s="30"/>
      <c r="D293" s="147"/>
      <c r="E293" s="147"/>
      <c r="F293" s="30"/>
      <c r="G293" s="30"/>
      <c r="H293" s="30"/>
      <c r="I293" s="30"/>
      <c r="J293" s="30"/>
      <c r="K293" s="30"/>
      <c r="L293" s="30"/>
      <c r="M293" s="23"/>
      <c r="N293" s="23"/>
      <c r="O293" s="123"/>
      <c r="AA293" s="136"/>
      <c r="AB293" s="123"/>
    </row>
    <row r="294" spans="1:28" x14ac:dyDescent="0.2">
      <c r="A294" s="23"/>
      <c r="B294" s="30"/>
      <c r="C294" s="30"/>
      <c r="D294" s="147"/>
      <c r="E294" s="147"/>
      <c r="F294" s="30"/>
      <c r="G294" s="30"/>
      <c r="H294" s="30"/>
      <c r="I294" s="30"/>
      <c r="J294" s="30"/>
      <c r="K294" s="30"/>
      <c r="L294" s="30"/>
      <c r="M294" s="23"/>
      <c r="N294" s="23"/>
      <c r="O294" s="123"/>
      <c r="AA294" s="136"/>
      <c r="AB294" s="123"/>
    </row>
    <row r="295" spans="1:28" x14ac:dyDescent="0.2">
      <c r="A295" s="23"/>
      <c r="B295" s="30"/>
      <c r="C295" s="30"/>
      <c r="D295" s="147"/>
      <c r="E295" s="147"/>
      <c r="F295" s="30"/>
      <c r="G295" s="30"/>
      <c r="H295" s="30"/>
      <c r="I295" s="30"/>
      <c r="J295" s="30"/>
      <c r="K295" s="30"/>
      <c r="L295" s="30"/>
      <c r="M295" s="23"/>
      <c r="N295" s="23"/>
      <c r="O295" s="123"/>
      <c r="AA295" s="136"/>
      <c r="AB295" s="123"/>
    </row>
    <row r="296" spans="1:28" x14ac:dyDescent="0.2">
      <c r="A296" s="23"/>
      <c r="B296" s="30"/>
      <c r="C296" s="30"/>
      <c r="D296" s="147"/>
      <c r="E296" s="147"/>
      <c r="F296" s="30"/>
      <c r="G296" s="30"/>
      <c r="H296" s="30"/>
      <c r="I296" s="30"/>
      <c r="J296" s="30"/>
      <c r="K296" s="30"/>
      <c r="L296" s="30"/>
      <c r="M296" s="23"/>
      <c r="N296" s="23"/>
      <c r="O296" s="123"/>
      <c r="AA296" s="136"/>
      <c r="AB296" s="123"/>
    </row>
    <row r="297" spans="1:28" x14ac:dyDescent="0.2">
      <c r="A297" s="23"/>
      <c r="B297" s="30"/>
      <c r="C297" s="30"/>
      <c r="D297" s="147"/>
      <c r="E297" s="147"/>
      <c r="F297" s="30"/>
      <c r="G297" s="30"/>
      <c r="H297" s="30"/>
      <c r="I297" s="30"/>
      <c r="J297" s="30"/>
      <c r="K297" s="30"/>
      <c r="L297" s="30"/>
      <c r="M297" s="23"/>
      <c r="N297" s="23"/>
      <c r="O297" s="123"/>
      <c r="AA297" s="136"/>
      <c r="AB297" s="123"/>
    </row>
    <row r="298" spans="1:28" x14ac:dyDescent="0.2">
      <c r="A298" s="23"/>
      <c r="B298" s="30"/>
      <c r="C298" s="30"/>
      <c r="D298" s="147"/>
      <c r="E298" s="147"/>
      <c r="F298" s="30"/>
      <c r="G298" s="30"/>
      <c r="H298" s="30"/>
      <c r="I298" s="30"/>
      <c r="J298" s="30"/>
      <c r="K298" s="30"/>
      <c r="L298" s="30"/>
      <c r="M298" s="23"/>
      <c r="N298" s="23"/>
      <c r="O298" s="123"/>
      <c r="AA298" s="136"/>
      <c r="AB298" s="123"/>
    </row>
    <row r="299" spans="1:28" x14ac:dyDescent="0.2">
      <c r="A299" s="23"/>
      <c r="B299" s="30"/>
      <c r="C299" s="30"/>
      <c r="D299" s="147"/>
      <c r="E299" s="147"/>
      <c r="F299" s="30"/>
      <c r="G299" s="30"/>
      <c r="H299" s="30"/>
      <c r="I299" s="30"/>
      <c r="J299" s="30"/>
      <c r="K299" s="30"/>
      <c r="L299" s="30"/>
      <c r="M299" s="23"/>
      <c r="N299" s="23"/>
      <c r="O299" s="123"/>
      <c r="AA299" s="136"/>
      <c r="AB299" s="123"/>
    </row>
    <row r="300" spans="1:28" x14ac:dyDescent="0.2">
      <c r="A300" s="23"/>
      <c r="B300" s="30"/>
      <c r="C300" s="30"/>
      <c r="D300" s="147"/>
      <c r="E300" s="147"/>
      <c r="F300" s="30"/>
      <c r="G300" s="30"/>
      <c r="H300" s="30"/>
      <c r="I300" s="30"/>
      <c r="J300" s="30"/>
      <c r="K300" s="30"/>
      <c r="L300" s="30"/>
      <c r="M300" s="23"/>
      <c r="N300" s="23"/>
      <c r="O300" s="123"/>
      <c r="AA300" s="136"/>
      <c r="AB300" s="123"/>
    </row>
    <row r="301" spans="1:28" x14ac:dyDescent="0.2">
      <c r="A301" s="23"/>
      <c r="B301" s="30"/>
      <c r="C301" s="30"/>
      <c r="D301" s="147"/>
      <c r="E301" s="147"/>
      <c r="F301" s="30"/>
      <c r="G301" s="30"/>
      <c r="H301" s="30"/>
      <c r="I301" s="30"/>
      <c r="J301" s="30"/>
      <c r="K301" s="30"/>
      <c r="L301" s="30"/>
      <c r="M301" s="23"/>
      <c r="N301" s="23"/>
      <c r="O301" s="123"/>
      <c r="AA301" s="136"/>
      <c r="AB301" s="123"/>
    </row>
    <row r="302" spans="1:28" x14ac:dyDescent="0.2">
      <c r="A302" s="23"/>
      <c r="B302" s="30"/>
      <c r="C302" s="30"/>
      <c r="D302" s="147"/>
      <c r="E302" s="147"/>
      <c r="F302" s="30"/>
      <c r="G302" s="30"/>
      <c r="H302" s="30"/>
      <c r="I302" s="30"/>
      <c r="J302" s="30"/>
      <c r="K302" s="30"/>
      <c r="L302" s="30"/>
      <c r="M302" s="23"/>
      <c r="N302" s="23"/>
      <c r="O302" s="123"/>
      <c r="AA302" s="136"/>
      <c r="AB302" s="123"/>
    </row>
    <row r="303" spans="1:28" x14ac:dyDescent="0.2">
      <c r="A303" s="23"/>
      <c r="B303" s="30"/>
      <c r="C303" s="30"/>
      <c r="D303" s="147"/>
      <c r="E303" s="147"/>
      <c r="F303" s="30"/>
      <c r="G303" s="30"/>
      <c r="H303" s="30"/>
      <c r="I303" s="30"/>
      <c r="J303" s="30"/>
      <c r="K303" s="30"/>
      <c r="L303" s="30"/>
      <c r="M303" s="23"/>
      <c r="N303" s="23"/>
      <c r="O303" s="123"/>
      <c r="AA303" s="136"/>
      <c r="AB303" s="123"/>
    </row>
    <row r="304" spans="1:28" x14ac:dyDescent="0.2">
      <c r="A304" s="23"/>
      <c r="B304" s="30"/>
      <c r="C304" s="30"/>
      <c r="D304" s="147"/>
      <c r="E304" s="147"/>
      <c r="F304" s="30"/>
      <c r="G304" s="30"/>
      <c r="H304" s="30"/>
      <c r="I304" s="30"/>
      <c r="J304" s="30"/>
      <c r="K304" s="30"/>
      <c r="L304" s="30"/>
      <c r="M304" s="23"/>
      <c r="N304" s="23"/>
      <c r="O304" s="123"/>
      <c r="AA304" s="136"/>
      <c r="AB304" s="123"/>
    </row>
    <row r="305" spans="1:28" x14ac:dyDescent="0.2">
      <c r="A305" s="23"/>
      <c r="B305" s="30"/>
      <c r="C305" s="30"/>
      <c r="D305" s="147"/>
      <c r="E305" s="147"/>
      <c r="F305" s="30"/>
      <c r="G305" s="30"/>
      <c r="H305" s="30"/>
      <c r="I305" s="30"/>
      <c r="J305" s="30"/>
      <c r="K305" s="30"/>
      <c r="L305" s="30"/>
      <c r="M305" s="23"/>
      <c r="N305" s="23"/>
      <c r="O305" s="123"/>
      <c r="AA305" s="136"/>
      <c r="AB305" s="123"/>
    </row>
    <row r="306" spans="1:28" x14ac:dyDescent="0.2">
      <c r="A306" s="23"/>
      <c r="B306" s="30"/>
      <c r="C306" s="30"/>
      <c r="D306" s="147"/>
      <c r="E306" s="147"/>
      <c r="F306" s="30"/>
      <c r="G306" s="30"/>
      <c r="H306" s="30"/>
      <c r="I306" s="30"/>
      <c r="J306" s="30"/>
      <c r="K306" s="30"/>
      <c r="L306" s="30"/>
      <c r="M306" s="23"/>
      <c r="N306" s="23"/>
      <c r="O306" s="123"/>
      <c r="AA306" s="136"/>
      <c r="AB306" s="123"/>
    </row>
    <row r="307" spans="1:28" x14ac:dyDescent="0.2">
      <c r="A307" s="23"/>
      <c r="B307" s="30"/>
      <c r="C307" s="30"/>
      <c r="D307" s="147"/>
      <c r="E307" s="147"/>
      <c r="F307" s="30"/>
      <c r="G307" s="30"/>
      <c r="H307" s="30"/>
      <c r="I307" s="30"/>
      <c r="J307" s="30"/>
      <c r="K307" s="30"/>
      <c r="L307" s="30"/>
      <c r="M307" s="23"/>
      <c r="N307" s="23"/>
      <c r="O307" s="123"/>
      <c r="AA307" s="136"/>
      <c r="AB307" s="123"/>
    </row>
    <row r="308" spans="1:28" x14ac:dyDescent="0.2">
      <c r="A308" s="23"/>
      <c r="B308" s="30"/>
      <c r="C308" s="30"/>
      <c r="D308" s="147"/>
      <c r="E308" s="147"/>
      <c r="F308" s="30"/>
      <c r="G308" s="30"/>
      <c r="H308" s="30"/>
      <c r="I308" s="30"/>
      <c r="J308" s="30"/>
      <c r="K308" s="30"/>
      <c r="L308" s="30"/>
      <c r="M308" s="23"/>
      <c r="N308" s="23"/>
      <c r="O308" s="123"/>
      <c r="AA308" s="136"/>
      <c r="AB308" s="123"/>
    </row>
    <row r="309" spans="1:28" x14ac:dyDescent="0.2">
      <c r="A309" s="23"/>
      <c r="B309" s="30"/>
      <c r="C309" s="30"/>
      <c r="D309" s="147"/>
      <c r="E309" s="147"/>
      <c r="F309" s="30"/>
      <c r="G309" s="30"/>
      <c r="H309" s="30"/>
      <c r="I309" s="30"/>
      <c r="J309" s="30"/>
      <c r="K309" s="30"/>
      <c r="L309" s="30"/>
      <c r="M309" s="23"/>
      <c r="N309" s="23"/>
      <c r="O309" s="123"/>
      <c r="AA309" s="136"/>
      <c r="AB309" s="123"/>
    </row>
    <row r="310" spans="1:28" x14ac:dyDescent="0.2">
      <c r="A310" s="23"/>
      <c r="B310" s="30"/>
      <c r="C310" s="30"/>
      <c r="D310" s="147"/>
      <c r="E310" s="147"/>
      <c r="F310" s="30"/>
      <c r="G310" s="30"/>
      <c r="H310" s="30"/>
      <c r="I310" s="30"/>
      <c r="J310" s="30"/>
      <c r="K310" s="30"/>
      <c r="L310" s="30"/>
      <c r="M310" s="23"/>
      <c r="N310" s="23"/>
      <c r="O310" s="123"/>
      <c r="AA310" s="136"/>
      <c r="AB310" s="123"/>
    </row>
    <row r="311" spans="1:28" x14ac:dyDescent="0.2">
      <c r="A311" s="23"/>
      <c r="B311" s="30"/>
      <c r="C311" s="30"/>
      <c r="D311" s="147"/>
      <c r="E311" s="147"/>
      <c r="F311" s="30"/>
      <c r="G311" s="30"/>
      <c r="H311" s="30"/>
      <c r="I311" s="30"/>
      <c r="J311" s="30"/>
      <c r="K311" s="30"/>
      <c r="L311" s="30"/>
      <c r="M311" s="23"/>
      <c r="N311" s="23"/>
      <c r="O311" s="123"/>
      <c r="AA311" s="136"/>
      <c r="AB311" s="123"/>
    </row>
    <row r="312" spans="1:28" x14ac:dyDescent="0.2">
      <c r="A312" s="23"/>
      <c r="B312" s="30"/>
      <c r="C312" s="30"/>
      <c r="D312" s="147"/>
      <c r="E312" s="147"/>
      <c r="F312" s="30"/>
      <c r="G312" s="30"/>
      <c r="H312" s="30"/>
      <c r="I312" s="30"/>
      <c r="J312" s="30"/>
      <c r="K312" s="30"/>
      <c r="L312" s="30"/>
      <c r="M312" s="23"/>
      <c r="N312" s="23"/>
      <c r="O312" s="123"/>
      <c r="AA312" s="136"/>
      <c r="AB312" s="123"/>
    </row>
    <row r="313" spans="1:28" x14ac:dyDescent="0.2">
      <c r="A313" s="23"/>
      <c r="B313" s="30"/>
      <c r="C313" s="30"/>
      <c r="D313" s="147"/>
      <c r="E313" s="147"/>
      <c r="F313" s="30"/>
      <c r="G313" s="30"/>
      <c r="H313" s="30"/>
      <c r="I313" s="30"/>
      <c r="J313" s="30"/>
      <c r="K313" s="30"/>
      <c r="L313" s="30"/>
      <c r="M313" s="23"/>
      <c r="N313" s="23"/>
      <c r="O313" s="123"/>
      <c r="AA313" s="136"/>
      <c r="AB313" s="123"/>
    </row>
    <row r="314" spans="1:28" x14ac:dyDescent="0.2">
      <c r="A314" s="23"/>
      <c r="B314" s="30"/>
      <c r="C314" s="30"/>
      <c r="D314" s="147"/>
      <c r="E314" s="147"/>
      <c r="F314" s="30"/>
      <c r="G314" s="30"/>
      <c r="H314" s="30"/>
      <c r="I314" s="30"/>
      <c r="J314" s="30"/>
      <c r="K314" s="30"/>
      <c r="L314" s="30"/>
      <c r="M314" s="23"/>
      <c r="N314" s="23"/>
      <c r="O314" s="123"/>
      <c r="AA314" s="136"/>
      <c r="AB314" s="123"/>
    </row>
    <row r="315" spans="1:28" x14ac:dyDescent="0.2">
      <c r="A315" s="23"/>
      <c r="B315" s="30"/>
      <c r="C315" s="30"/>
      <c r="D315" s="147"/>
      <c r="E315" s="147"/>
      <c r="F315" s="30"/>
      <c r="G315" s="30"/>
      <c r="H315" s="30"/>
      <c r="I315" s="30"/>
      <c r="J315" s="30"/>
      <c r="K315" s="30"/>
      <c r="L315" s="30"/>
      <c r="M315" s="23"/>
      <c r="N315" s="23"/>
      <c r="O315" s="123"/>
      <c r="AA315" s="136"/>
      <c r="AB315" s="123"/>
    </row>
    <row r="316" spans="1:28" x14ac:dyDescent="0.2">
      <c r="A316" s="23"/>
      <c r="B316" s="30"/>
      <c r="C316" s="30"/>
      <c r="D316" s="147"/>
      <c r="E316" s="147"/>
      <c r="F316" s="30"/>
      <c r="G316" s="30"/>
      <c r="H316" s="30"/>
      <c r="I316" s="30"/>
      <c r="J316" s="30"/>
      <c r="K316" s="30"/>
      <c r="L316" s="30"/>
      <c r="M316" s="23"/>
      <c r="N316" s="23"/>
      <c r="O316" s="123"/>
      <c r="AA316" s="136"/>
      <c r="AB316" s="123"/>
    </row>
    <row r="317" spans="1:28" x14ac:dyDescent="0.2">
      <c r="A317" s="23"/>
      <c r="B317" s="30"/>
      <c r="C317" s="30"/>
      <c r="D317" s="147"/>
      <c r="E317" s="147"/>
      <c r="F317" s="30"/>
      <c r="G317" s="30"/>
      <c r="H317" s="30"/>
      <c r="I317" s="30"/>
      <c r="J317" s="30"/>
      <c r="K317" s="30"/>
      <c r="L317" s="30"/>
      <c r="M317" s="23"/>
      <c r="N317" s="23"/>
      <c r="O317" s="123"/>
      <c r="AA317" s="136"/>
      <c r="AB317" s="123"/>
    </row>
    <row r="318" spans="1:28" x14ac:dyDescent="0.2">
      <c r="A318" s="23"/>
      <c r="B318" s="30"/>
      <c r="C318" s="30"/>
      <c r="D318" s="147"/>
      <c r="E318" s="147"/>
      <c r="F318" s="30"/>
      <c r="G318" s="30"/>
      <c r="H318" s="30"/>
      <c r="I318" s="30"/>
      <c r="J318" s="30"/>
      <c r="K318" s="30"/>
      <c r="L318" s="30"/>
      <c r="M318" s="23"/>
      <c r="N318" s="23"/>
      <c r="O318" s="123"/>
      <c r="AA318" s="136"/>
      <c r="AB318" s="123"/>
    </row>
    <row r="319" spans="1:28" x14ac:dyDescent="0.2">
      <c r="A319" s="23"/>
      <c r="B319" s="30"/>
      <c r="C319" s="30"/>
      <c r="D319" s="147"/>
      <c r="E319" s="147"/>
      <c r="F319" s="30"/>
      <c r="G319" s="30"/>
      <c r="H319" s="30"/>
      <c r="I319" s="30"/>
      <c r="J319" s="30"/>
      <c r="K319" s="30"/>
      <c r="L319" s="30"/>
      <c r="M319" s="23"/>
      <c r="N319" s="23"/>
      <c r="O319" s="123"/>
      <c r="AA319" s="136"/>
      <c r="AB319" s="123"/>
    </row>
    <row r="320" spans="1:28" x14ac:dyDescent="0.2">
      <c r="A320" s="23"/>
      <c r="B320" s="30"/>
      <c r="C320" s="30"/>
      <c r="D320" s="147"/>
      <c r="E320" s="147"/>
      <c r="F320" s="30"/>
      <c r="G320" s="30"/>
      <c r="H320" s="30"/>
      <c r="I320" s="30"/>
      <c r="J320" s="30"/>
      <c r="K320" s="30"/>
      <c r="L320" s="30"/>
      <c r="M320" s="23"/>
      <c r="N320" s="23"/>
      <c r="O320" s="123"/>
      <c r="AA320" s="136"/>
      <c r="AB320" s="123"/>
    </row>
    <row r="321" spans="1:28" x14ac:dyDescent="0.2">
      <c r="A321" s="23"/>
      <c r="B321" s="30"/>
      <c r="C321" s="30"/>
      <c r="D321" s="147"/>
      <c r="E321" s="147"/>
      <c r="F321" s="30"/>
      <c r="G321" s="30"/>
      <c r="H321" s="30"/>
      <c r="I321" s="30"/>
      <c r="J321" s="30"/>
      <c r="K321" s="30"/>
      <c r="L321" s="30"/>
      <c r="M321" s="23"/>
      <c r="N321" s="23"/>
      <c r="O321" s="123"/>
      <c r="AA321" s="136"/>
      <c r="AB321" s="123"/>
    </row>
    <row r="322" spans="1:28" x14ac:dyDescent="0.2">
      <c r="A322" s="23"/>
      <c r="B322" s="30"/>
      <c r="C322" s="30"/>
      <c r="D322" s="147"/>
      <c r="E322" s="147"/>
      <c r="F322" s="30"/>
      <c r="G322" s="30"/>
      <c r="H322" s="30"/>
      <c r="I322" s="30"/>
      <c r="J322" s="30"/>
      <c r="K322" s="30"/>
      <c r="L322" s="30"/>
      <c r="M322" s="23"/>
      <c r="N322" s="23"/>
      <c r="O322" s="123"/>
      <c r="AA322" s="136"/>
      <c r="AB322" s="123"/>
    </row>
    <row r="323" spans="1:28" x14ac:dyDescent="0.2">
      <c r="A323" s="23"/>
      <c r="B323" s="30"/>
      <c r="C323" s="30"/>
      <c r="D323" s="147"/>
      <c r="E323" s="147"/>
      <c r="F323" s="30"/>
      <c r="G323" s="30"/>
      <c r="H323" s="30"/>
      <c r="I323" s="30"/>
      <c r="J323" s="30"/>
      <c r="K323" s="30"/>
      <c r="L323" s="30"/>
      <c r="M323" s="23"/>
      <c r="N323" s="23"/>
      <c r="O323" s="123"/>
      <c r="AA323" s="136"/>
      <c r="AB323" s="123"/>
    </row>
    <row r="324" spans="1:28" x14ac:dyDescent="0.2">
      <c r="A324" s="23"/>
      <c r="B324" s="30"/>
      <c r="C324" s="30"/>
      <c r="D324" s="147"/>
      <c r="E324" s="147"/>
      <c r="F324" s="30"/>
      <c r="G324" s="30"/>
      <c r="H324" s="30"/>
      <c r="I324" s="30"/>
      <c r="J324" s="30"/>
      <c r="K324" s="30"/>
      <c r="L324" s="30"/>
      <c r="M324" s="23"/>
      <c r="N324" s="23"/>
      <c r="O324" s="123"/>
      <c r="AA324" s="136"/>
      <c r="AB324" s="123"/>
    </row>
    <row r="325" spans="1:28" x14ac:dyDescent="0.2">
      <c r="A325" s="23"/>
      <c r="B325" s="30"/>
      <c r="C325" s="30"/>
      <c r="D325" s="147"/>
      <c r="E325" s="147"/>
      <c r="F325" s="30"/>
      <c r="G325" s="30"/>
      <c r="H325" s="30"/>
      <c r="I325" s="30"/>
      <c r="J325" s="30"/>
      <c r="K325" s="30"/>
      <c r="L325" s="30"/>
      <c r="M325" s="23"/>
      <c r="N325" s="23"/>
      <c r="O325" s="123"/>
      <c r="AA325" s="136"/>
      <c r="AB325" s="123"/>
    </row>
    <row r="326" spans="1:28" x14ac:dyDescent="0.2">
      <c r="A326" s="23"/>
      <c r="B326" s="30"/>
      <c r="C326" s="30"/>
      <c r="D326" s="147"/>
      <c r="E326" s="147"/>
      <c r="F326" s="30"/>
      <c r="G326" s="30"/>
      <c r="H326" s="30"/>
      <c r="I326" s="30"/>
      <c r="J326" s="30"/>
      <c r="K326" s="30"/>
      <c r="L326" s="30"/>
      <c r="M326" s="23"/>
      <c r="N326" s="23"/>
      <c r="O326" s="123"/>
      <c r="AA326" s="136"/>
      <c r="AB326" s="123"/>
    </row>
    <row r="327" spans="1:28" x14ac:dyDescent="0.2">
      <c r="A327" s="23"/>
      <c r="B327" s="30"/>
      <c r="C327" s="30"/>
      <c r="D327" s="147"/>
      <c r="E327" s="147"/>
      <c r="F327" s="30"/>
      <c r="G327" s="30"/>
      <c r="H327" s="30"/>
      <c r="I327" s="30"/>
      <c r="J327" s="30"/>
      <c r="K327" s="30"/>
      <c r="L327" s="30"/>
      <c r="M327" s="23"/>
      <c r="N327" s="23"/>
      <c r="O327" s="123"/>
      <c r="AA327" s="136"/>
      <c r="AB327" s="123"/>
    </row>
    <row r="328" spans="1:28" x14ac:dyDescent="0.2">
      <c r="A328" s="23"/>
      <c r="B328" s="30"/>
      <c r="C328" s="30"/>
      <c r="D328" s="147"/>
      <c r="E328" s="147"/>
      <c r="F328" s="30"/>
      <c r="G328" s="30"/>
      <c r="H328" s="30"/>
      <c r="I328" s="30"/>
      <c r="J328" s="30"/>
      <c r="K328" s="30"/>
      <c r="L328" s="30"/>
      <c r="M328" s="23"/>
      <c r="N328" s="23"/>
      <c r="O328" s="123"/>
      <c r="AA328" s="136"/>
      <c r="AB328" s="123"/>
    </row>
    <row r="329" spans="1:28" x14ac:dyDescent="0.2">
      <c r="A329" s="23"/>
      <c r="B329" s="30"/>
      <c r="C329" s="30"/>
      <c r="D329" s="147"/>
      <c r="E329" s="147"/>
      <c r="F329" s="30"/>
      <c r="G329" s="30"/>
      <c r="H329" s="30"/>
      <c r="I329" s="30"/>
      <c r="J329" s="30"/>
      <c r="K329" s="30"/>
      <c r="L329" s="30"/>
      <c r="M329" s="23"/>
      <c r="N329" s="23"/>
      <c r="O329" s="123"/>
      <c r="AA329" s="136"/>
      <c r="AB329" s="123"/>
    </row>
    <row r="330" spans="1:28" x14ac:dyDescent="0.2">
      <c r="A330" s="23"/>
      <c r="B330" s="30"/>
      <c r="C330" s="30"/>
      <c r="D330" s="147"/>
      <c r="E330" s="147"/>
      <c r="F330" s="30"/>
      <c r="G330" s="30"/>
      <c r="H330" s="30"/>
      <c r="I330" s="30"/>
      <c r="J330" s="30"/>
      <c r="K330" s="30"/>
      <c r="L330" s="30"/>
      <c r="M330" s="23"/>
      <c r="N330" s="23"/>
      <c r="O330" s="123"/>
      <c r="AA330" s="136"/>
      <c r="AB330" s="123"/>
    </row>
    <row r="331" spans="1:28" x14ac:dyDescent="0.2">
      <c r="A331" s="23"/>
      <c r="B331" s="30"/>
      <c r="C331" s="30"/>
      <c r="D331" s="147"/>
      <c r="E331" s="147"/>
      <c r="F331" s="30"/>
      <c r="G331" s="30"/>
      <c r="H331" s="30"/>
      <c r="I331" s="30"/>
      <c r="J331" s="30"/>
      <c r="K331" s="30"/>
      <c r="L331" s="30"/>
      <c r="M331" s="23"/>
      <c r="N331" s="23"/>
      <c r="O331" s="123"/>
      <c r="AA331" s="136"/>
      <c r="AB331" s="123"/>
    </row>
    <row r="332" spans="1:28" x14ac:dyDescent="0.2">
      <c r="A332" s="23"/>
      <c r="B332" s="30"/>
      <c r="C332" s="30"/>
      <c r="D332" s="147"/>
      <c r="E332" s="147"/>
      <c r="F332" s="30"/>
      <c r="G332" s="30"/>
      <c r="H332" s="30"/>
      <c r="I332" s="30"/>
      <c r="J332" s="30"/>
      <c r="K332" s="30"/>
      <c r="L332" s="30"/>
      <c r="M332" s="23"/>
      <c r="N332" s="23"/>
      <c r="O332" s="123"/>
      <c r="AA332" s="136"/>
      <c r="AB332" s="123"/>
    </row>
    <row r="333" spans="1:28" x14ac:dyDescent="0.2">
      <c r="A333" s="23"/>
      <c r="B333" s="30"/>
      <c r="C333" s="30"/>
      <c r="D333" s="147"/>
      <c r="E333" s="147"/>
      <c r="F333" s="30"/>
      <c r="G333" s="30"/>
      <c r="H333" s="30"/>
      <c r="I333" s="30"/>
      <c r="J333" s="30"/>
      <c r="K333" s="30"/>
      <c r="L333" s="30"/>
      <c r="M333" s="23"/>
      <c r="N333" s="23"/>
      <c r="O333" s="123"/>
      <c r="AA333" s="136"/>
      <c r="AB333" s="123"/>
    </row>
    <row r="334" spans="1:28" x14ac:dyDescent="0.2">
      <c r="A334" s="23"/>
      <c r="B334" s="30"/>
      <c r="C334" s="30"/>
      <c r="D334" s="147"/>
      <c r="E334" s="147"/>
      <c r="F334" s="30"/>
      <c r="G334" s="30"/>
      <c r="H334" s="30"/>
      <c r="I334" s="30"/>
      <c r="J334" s="30"/>
      <c r="K334" s="30"/>
      <c r="L334" s="30"/>
      <c r="M334" s="23"/>
      <c r="N334" s="23"/>
      <c r="O334" s="123"/>
      <c r="AA334" s="136"/>
      <c r="AB334" s="123"/>
    </row>
    <row r="335" spans="1:28" x14ac:dyDescent="0.2">
      <c r="A335" s="23"/>
      <c r="B335" s="30"/>
      <c r="C335" s="30"/>
      <c r="D335" s="147"/>
      <c r="E335" s="147"/>
      <c r="F335" s="30"/>
      <c r="G335" s="30"/>
      <c r="H335" s="30"/>
      <c r="I335" s="30"/>
      <c r="J335" s="30"/>
      <c r="K335" s="30"/>
      <c r="L335" s="30"/>
      <c r="M335" s="23"/>
      <c r="N335" s="23"/>
      <c r="O335" s="123"/>
      <c r="AA335" s="136"/>
      <c r="AB335" s="123"/>
    </row>
    <row r="336" spans="1:28" x14ac:dyDescent="0.2">
      <c r="A336" s="23"/>
      <c r="B336" s="30"/>
      <c r="C336" s="30"/>
      <c r="D336" s="147"/>
      <c r="E336" s="147"/>
      <c r="F336" s="30"/>
      <c r="G336" s="30"/>
      <c r="H336" s="30"/>
      <c r="I336" s="30"/>
      <c r="J336" s="30"/>
      <c r="K336" s="30"/>
      <c r="L336" s="30"/>
      <c r="M336" s="23"/>
      <c r="N336" s="23"/>
      <c r="O336" s="123"/>
      <c r="AA336" s="136"/>
      <c r="AB336" s="123"/>
    </row>
    <row r="337" spans="1:28" x14ac:dyDescent="0.2">
      <c r="A337" s="23"/>
      <c r="B337" s="30"/>
      <c r="C337" s="30"/>
      <c r="D337" s="147"/>
      <c r="E337" s="147"/>
      <c r="F337" s="30"/>
      <c r="G337" s="30"/>
      <c r="H337" s="30"/>
      <c r="I337" s="30"/>
      <c r="J337" s="30"/>
      <c r="K337" s="30"/>
      <c r="L337" s="30"/>
      <c r="M337" s="23"/>
      <c r="N337" s="23"/>
      <c r="O337" s="123"/>
      <c r="AA337" s="136"/>
      <c r="AB337" s="123"/>
    </row>
    <row r="338" spans="1:28" x14ac:dyDescent="0.2">
      <c r="A338" s="23"/>
      <c r="B338" s="30"/>
      <c r="C338" s="30"/>
      <c r="D338" s="147"/>
      <c r="E338" s="147"/>
      <c r="F338" s="30"/>
      <c r="G338" s="30"/>
      <c r="H338" s="30"/>
      <c r="I338" s="30"/>
      <c r="J338" s="30"/>
      <c r="K338" s="30"/>
      <c r="L338" s="30"/>
      <c r="M338" s="23"/>
      <c r="N338" s="23"/>
      <c r="O338" s="123"/>
      <c r="AA338" s="136"/>
      <c r="AB338" s="123"/>
    </row>
    <row r="339" spans="1:28" x14ac:dyDescent="0.2">
      <c r="A339" s="23"/>
      <c r="B339" s="30"/>
      <c r="C339" s="30"/>
      <c r="D339" s="147"/>
      <c r="E339" s="147"/>
      <c r="F339" s="30"/>
      <c r="G339" s="30"/>
      <c r="H339" s="30"/>
      <c r="I339" s="30"/>
      <c r="J339" s="30"/>
      <c r="K339" s="30"/>
      <c r="L339" s="30"/>
      <c r="M339" s="23"/>
      <c r="N339" s="23"/>
      <c r="O339" s="123"/>
      <c r="AA339" s="136"/>
      <c r="AB339" s="123"/>
    </row>
    <row r="340" spans="1:28" x14ac:dyDescent="0.2">
      <c r="A340" s="23"/>
      <c r="B340" s="30"/>
      <c r="C340" s="30"/>
      <c r="D340" s="147"/>
      <c r="E340" s="147"/>
      <c r="F340" s="30"/>
      <c r="G340" s="30"/>
      <c r="H340" s="30"/>
      <c r="I340" s="30"/>
      <c r="J340" s="30"/>
      <c r="K340" s="30"/>
      <c r="L340" s="30"/>
      <c r="M340" s="23"/>
      <c r="N340" s="23"/>
      <c r="O340" s="123"/>
      <c r="AA340" s="136"/>
      <c r="AB340" s="123"/>
    </row>
    <row r="341" spans="1:28" x14ac:dyDescent="0.2">
      <c r="A341" s="23"/>
      <c r="B341" s="30"/>
      <c r="C341" s="30"/>
      <c r="D341" s="147"/>
      <c r="E341" s="147"/>
      <c r="F341" s="30"/>
      <c r="G341" s="30"/>
      <c r="H341" s="30"/>
      <c r="I341" s="30"/>
      <c r="J341" s="30"/>
      <c r="K341" s="30"/>
      <c r="L341" s="30"/>
      <c r="M341" s="23"/>
      <c r="N341" s="23"/>
      <c r="O341" s="123"/>
      <c r="AA341" s="136"/>
      <c r="AB341" s="123"/>
    </row>
    <row r="342" spans="1:28" x14ac:dyDescent="0.2">
      <c r="A342" s="23"/>
      <c r="B342" s="30"/>
      <c r="C342" s="30"/>
      <c r="D342" s="147"/>
      <c r="E342" s="147"/>
      <c r="F342" s="30"/>
      <c r="G342" s="30"/>
      <c r="H342" s="30"/>
      <c r="I342" s="30"/>
      <c r="J342" s="30"/>
      <c r="K342" s="30"/>
      <c r="L342" s="30"/>
      <c r="M342" s="23"/>
      <c r="N342" s="23"/>
      <c r="O342" s="123"/>
      <c r="AA342" s="136"/>
      <c r="AB342" s="123"/>
    </row>
    <row r="343" spans="1:28" x14ac:dyDescent="0.2">
      <c r="A343" s="23"/>
      <c r="B343" s="30"/>
      <c r="C343" s="30"/>
      <c r="D343" s="147"/>
      <c r="E343" s="147"/>
      <c r="F343" s="30"/>
      <c r="G343" s="30"/>
      <c r="H343" s="30"/>
      <c r="I343" s="30"/>
      <c r="J343" s="30"/>
      <c r="K343" s="30"/>
      <c r="L343" s="30"/>
      <c r="M343" s="23"/>
      <c r="N343" s="23"/>
      <c r="O343" s="123"/>
      <c r="AA343" s="136"/>
      <c r="AB343" s="123"/>
    </row>
    <row r="344" spans="1:28" x14ac:dyDescent="0.2">
      <c r="A344" s="23"/>
      <c r="B344" s="30"/>
      <c r="C344" s="30"/>
      <c r="D344" s="147"/>
      <c r="E344" s="147"/>
      <c r="F344" s="30"/>
      <c r="G344" s="30"/>
      <c r="H344" s="30"/>
      <c r="I344" s="30"/>
      <c r="J344" s="30"/>
      <c r="K344" s="30"/>
      <c r="L344" s="30"/>
      <c r="M344" s="23"/>
      <c r="N344" s="23"/>
      <c r="O344" s="123"/>
      <c r="AA344" s="136"/>
      <c r="AB344" s="123"/>
    </row>
    <row r="345" spans="1:28" x14ac:dyDescent="0.2">
      <c r="A345" s="23"/>
      <c r="B345" s="30"/>
      <c r="C345" s="30"/>
      <c r="D345" s="147"/>
      <c r="E345" s="147"/>
      <c r="F345" s="30"/>
      <c r="G345" s="30"/>
      <c r="H345" s="30"/>
      <c r="I345" s="30"/>
      <c r="J345" s="30"/>
      <c r="K345" s="30"/>
      <c r="L345" s="30"/>
      <c r="M345" s="23"/>
      <c r="N345" s="23"/>
      <c r="O345" s="123"/>
      <c r="AA345" s="136"/>
      <c r="AB345" s="123"/>
    </row>
    <row r="346" spans="1:28" x14ac:dyDescent="0.2">
      <c r="A346" s="23"/>
      <c r="B346" s="30"/>
      <c r="C346" s="30"/>
      <c r="D346" s="147"/>
      <c r="E346" s="147"/>
      <c r="F346" s="30"/>
      <c r="G346" s="30"/>
      <c r="H346" s="30"/>
      <c r="I346" s="30"/>
      <c r="J346" s="30"/>
      <c r="K346" s="30"/>
      <c r="L346" s="30"/>
      <c r="M346" s="23"/>
      <c r="N346" s="23"/>
      <c r="O346" s="123"/>
      <c r="AA346" s="136"/>
      <c r="AB346" s="123"/>
    </row>
    <row r="347" spans="1:28" x14ac:dyDescent="0.2">
      <c r="A347" s="23"/>
      <c r="B347" s="30"/>
      <c r="C347" s="30"/>
      <c r="D347" s="147"/>
      <c r="E347" s="147"/>
      <c r="F347" s="30"/>
      <c r="G347" s="30"/>
      <c r="H347" s="30"/>
      <c r="I347" s="30"/>
      <c r="J347" s="30"/>
      <c r="K347" s="30"/>
      <c r="L347" s="30"/>
      <c r="M347" s="23"/>
      <c r="N347" s="23"/>
      <c r="O347" s="123"/>
      <c r="AA347" s="136"/>
      <c r="AB347" s="123"/>
    </row>
    <row r="348" spans="1:28" x14ac:dyDescent="0.2">
      <c r="A348" s="23"/>
      <c r="B348" s="30"/>
      <c r="C348" s="30"/>
      <c r="D348" s="147"/>
      <c r="E348" s="147"/>
      <c r="F348" s="30"/>
      <c r="G348" s="30"/>
      <c r="H348" s="30"/>
      <c r="I348" s="30"/>
      <c r="J348" s="30"/>
      <c r="K348" s="30"/>
      <c r="L348" s="30"/>
      <c r="M348" s="23"/>
      <c r="N348" s="23"/>
      <c r="O348" s="123"/>
      <c r="AA348" s="136"/>
      <c r="AB348" s="123"/>
    </row>
    <row r="349" spans="1:28" x14ac:dyDescent="0.2">
      <c r="A349" s="23"/>
      <c r="B349" s="30"/>
      <c r="C349" s="30"/>
      <c r="D349" s="147"/>
      <c r="E349" s="147"/>
      <c r="F349" s="30"/>
      <c r="G349" s="30"/>
      <c r="H349" s="30"/>
      <c r="I349" s="30"/>
      <c r="J349" s="30"/>
      <c r="K349" s="30"/>
      <c r="L349" s="30"/>
      <c r="M349" s="23"/>
      <c r="N349" s="23"/>
      <c r="O349" s="123"/>
      <c r="AA349" s="136"/>
      <c r="AB349" s="123"/>
    </row>
    <row r="350" spans="1:28" x14ac:dyDescent="0.2">
      <c r="A350" s="23"/>
      <c r="B350" s="30"/>
      <c r="C350" s="30"/>
      <c r="D350" s="147"/>
      <c r="E350" s="147"/>
      <c r="F350" s="30"/>
      <c r="G350" s="30"/>
      <c r="H350" s="30"/>
      <c r="I350" s="30"/>
      <c r="J350" s="30"/>
      <c r="K350" s="30"/>
      <c r="L350" s="30"/>
      <c r="M350" s="23"/>
      <c r="N350" s="23"/>
      <c r="O350" s="123"/>
      <c r="AA350" s="136"/>
      <c r="AB350" s="123"/>
    </row>
    <row r="351" spans="1:28" x14ac:dyDescent="0.2">
      <c r="A351" s="23"/>
      <c r="B351" s="30"/>
      <c r="C351" s="30"/>
      <c r="D351" s="147"/>
      <c r="E351" s="147"/>
      <c r="F351" s="30"/>
      <c r="G351" s="30"/>
      <c r="H351" s="30"/>
      <c r="I351" s="30"/>
      <c r="J351" s="30"/>
      <c r="K351" s="30"/>
      <c r="L351" s="30"/>
      <c r="M351" s="23"/>
      <c r="N351" s="23"/>
      <c r="O351" s="123"/>
      <c r="AA351" s="136"/>
      <c r="AB351" s="123"/>
    </row>
    <row r="352" spans="1:28" x14ac:dyDescent="0.2">
      <c r="A352" s="23"/>
      <c r="B352" s="30"/>
      <c r="C352" s="30"/>
      <c r="D352" s="147"/>
      <c r="E352" s="147"/>
      <c r="F352" s="30"/>
      <c r="G352" s="30"/>
      <c r="H352" s="30"/>
      <c r="I352" s="30"/>
      <c r="J352" s="30"/>
      <c r="K352" s="30"/>
      <c r="L352" s="30"/>
      <c r="M352" s="23"/>
      <c r="N352" s="23"/>
      <c r="O352" s="123"/>
      <c r="AA352" s="136"/>
      <c r="AB352" s="123"/>
    </row>
    <row r="353" spans="1:28" x14ac:dyDescent="0.2">
      <c r="A353" s="23"/>
      <c r="B353" s="30"/>
      <c r="C353" s="30"/>
      <c r="D353" s="147"/>
      <c r="E353" s="147"/>
      <c r="F353" s="30"/>
      <c r="G353" s="30"/>
      <c r="H353" s="30"/>
      <c r="I353" s="30"/>
      <c r="J353" s="30"/>
      <c r="K353" s="30"/>
      <c r="L353" s="30"/>
      <c r="M353" s="23"/>
      <c r="N353" s="23"/>
      <c r="O353" s="123"/>
      <c r="AA353" s="136"/>
      <c r="AB353" s="123"/>
    </row>
    <row r="354" spans="1:28" x14ac:dyDescent="0.2">
      <c r="A354" s="23"/>
      <c r="B354" s="30"/>
      <c r="C354" s="30"/>
      <c r="D354" s="147"/>
      <c r="E354" s="147"/>
      <c r="F354" s="30"/>
      <c r="G354" s="30"/>
      <c r="H354" s="30"/>
      <c r="I354" s="30"/>
      <c r="J354" s="30"/>
      <c r="K354" s="30"/>
      <c r="L354" s="30"/>
      <c r="M354" s="23"/>
      <c r="N354" s="23"/>
      <c r="O354" s="123"/>
      <c r="AA354" s="136"/>
      <c r="AB354" s="123"/>
    </row>
    <row r="355" spans="1:28" x14ac:dyDescent="0.2">
      <c r="A355" s="23"/>
      <c r="B355" s="30"/>
      <c r="C355" s="30"/>
      <c r="D355" s="147"/>
      <c r="E355" s="147"/>
      <c r="F355" s="30"/>
      <c r="G355" s="30"/>
      <c r="H355" s="30"/>
      <c r="I355" s="30"/>
      <c r="J355" s="30"/>
      <c r="K355" s="30"/>
      <c r="L355" s="30"/>
      <c r="M355" s="23"/>
      <c r="N355" s="23"/>
      <c r="O355" s="123"/>
      <c r="AA355" s="136"/>
      <c r="AB355" s="123"/>
    </row>
    <row r="356" spans="1:28" x14ac:dyDescent="0.2">
      <c r="A356" s="23"/>
      <c r="B356" s="30"/>
      <c r="C356" s="30"/>
      <c r="D356" s="147"/>
      <c r="E356" s="147"/>
      <c r="F356" s="30"/>
      <c r="G356" s="30"/>
      <c r="H356" s="30"/>
      <c r="I356" s="30"/>
      <c r="J356" s="30"/>
      <c r="K356" s="30"/>
      <c r="L356" s="30"/>
      <c r="M356" s="23"/>
      <c r="N356" s="23"/>
      <c r="O356" s="123"/>
      <c r="AA356" s="136"/>
      <c r="AB356" s="123"/>
    </row>
    <row r="357" spans="1:28" x14ac:dyDescent="0.2">
      <c r="A357" s="23"/>
      <c r="B357" s="30"/>
      <c r="C357" s="30"/>
      <c r="D357" s="147"/>
      <c r="E357" s="147"/>
      <c r="F357" s="30"/>
      <c r="G357" s="30"/>
      <c r="H357" s="30"/>
      <c r="I357" s="30"/>
      <c r="J357" s="30"/>
      <c r="K357" s="30"/>
      <c r="L357" s="30"/>
      <c r="M357" s="23"/>
      <c r="N357" s="23"/>
      <c r="O357" s="123"/>
      <c r="AA357" s="136"/>
      <c r="AB357" s="123"/>
    </row>
    <row r="358" spans="1:28" x14ac:dyDescent="0.2">
      <c r="A358" s="23"/>
      <c r="B358" s="30"/>
      <c r="C358" s="30"/>
      <c r="D358" s="147"/>
      <c r="E358" s="147"/>
      <c r="F358" s="30"/>
      <c r="G358" s="30"/>
      <c r="H358" s="30"/>
      <c r="I358" s="30"/>
      <c r="J358" s="30"/>
      <c r="K358" s="30"/>
      <c r="L358" s="30"/>
      <c r="M358" s="23"/>
      <c r="N358" s="23"/>
      <c r="O358" s="123"/>
      <c r="AA358" s="136"/>
      <c r="AB358" s="123"/>
    </row>
    <row r="359" spans="1:28" x14ac:dyDescent="0.2">
      <c r="A359" s="23"/>
      <c r="B359" s="30"/>
      <c r="C359" s="30"/>
      <c r="D359" s="147"/>
      <c r="E359" s="147"/>
      <c r="F359" s="30"/>
      <c r="G359" s="30"/>
      <c r="H359" s="30"/>
      <c r="I359" s="30"/>
      <c r="J359" s="30"/>
      <c r="K359" s="30"/>
      <c r="L359" s="30"/>
      <c r="M359" s="23"/>
      <c r="N359" s="23"/>
      <c r="O359" s="123"/>
      <c r="AA359" s="136"/>
      <c r="AB359" s="123"/>
    </row>
    <row r="360" spans="1:28" x14ac:dyDescent="0.2">
      <c r="A360" s="23"/>
      <c r="B360" s="30"/>
      <c r="C360" s="30"/>
      <c r="D360" s="147"/>
      <c r="E360" s="147"/>
      <c r="F360" s="30"/>
      <c r="G360" s="30"/>
      <c r="H360" s="30"/>
      <c r="I360" s="30"/>
      <c r="J360" s="30"/>
      <c r="K360" s="30"/>
      <c r="L360" s="30"/>
      <c r="M360" s="23"/>
      <c r="N360" s="23"/>
      <c r="O360" s="123"/>
      <c r="AA360" s="136"/>
      <c r="AB360" s="123"/>
    </row>
    <row r="361" spans="1:28" x14ac:dyDescent="0.2">
      <c r="A361" s="23"/>
      <c r="B361" s="30"/>
      <c r="C361" s="30"/>
      <c r="D361" s="147"/>
      <c r="E361" s="147"/>
      <c r="F361" s="30"/>
      <c r="G361" s="30"/>
      <c r="H361" s="30"/>
      <c r="I361" s="30"/>
      <c r="J361" s="30"/>
      <c r="K361" s="30"/>
      <c r="L361" s="30"/>
      <c r="M361" s="23"/>
      <c r="N361" s="23"/>
      <c r="O361" s="123"/>
      <c r="AA361" s="136"/>
      <c r="AB361" s="123"/>
    </row>
    <row r="362" spans="1:28" x14ac:dyDescent="0.2">
      <c r="A362" s="23"/>
      <c r="B362" s="30"/>
      <c r="C362" s="30"/>
      <c r="D362" s="147"/>
      <c r="E362" s="147"/>
      <c r="F362" s="30"/>
      <c r="G362" s="30"/>
      <c r="H362" s="30"/>
      <c r="I362" s="30"/>
      <c r="J362" s="30"/>
      <c r="K362" s="30"/>
      <c r="L362" s="30"/>
      <c r="M362" s="23"/>
      <c r="N362" s="23"/>
      <c r="O362" s="123"/>
      <c r="AA362" s="136"/>
      <c r="AB362" s="123"/>
    </row>
    <row r="363" spans="1:28" x14ac:dyDescent="0.2">
      <c r="A363" s="23"/>
      <c r="B363" s="30"/>
      <c r="C363" s="30"/>
      <c r="D363" s="147"/>
      <c r="E363" s="147"/>
      <c r="F363" s="30"/>
      <c r="G363" s="30"/>
      <c r="H363" s="30"/>
      <c r="I363" s="30"/>
      <c r="J363" s="30"/>
      <c r="K363" s="30"/>
      <c r="L363" s="30"/>
      <c r="M363" s="23"/>
      <c r="N363" s="23"/>
      <c r="O363" s="123"/>
      <c r="AA363" s="136"/>
      <c r="AB363" s="123"/>
    </row>
    <row r="364" spans="1:28" x14ac:dyDescent="0.2">
      <c r="A364" s="23"/>
      <c r="B364" s="30"/>
      <c r="C364" s="30"/>
      <c r="D364" s="147"/>
      <c r="E364" s="147"/>
      <c r="F364" s="30"/>
      <c r="G364" s="30"/>
      <c r="H364" s="30"/>
      <c r="I364" s="30"/>
      <c r="J364" s="30"/>
      <c r="K364" s="30"/>
      <c r="L364" s="30"/>
      <c r="M364" s="23"/>
      <c r="N364" s="23"/>
      <c r="O364" s="123"/>
      <c r="AA364" s="136"/>
      <c r="AB364" s="123"/>
    </row>
    <row r="365" spans="1:28" x14ac:dyDescent="0.2">
      <c r="A365" s="23"/>
      <c r="B365" s="30"/>
      <c r="C365" s="30"/>
      <c r="D365" s="147"/>
      <c r="E365" s="147"/>
      <c r="F365" s="30"/>
      <c r="G365" s="30"/>
      <c r="H365" s="30"/>
      <c r="I365" s="30"/>
      <c r="J365" s="30"/>
      <c r="K365" s="30"/>
      <c r="L365" s="30"/>
      <c r="M365" s="23"/>
      <c r="N365" s="23"/>
      <c r="O365" s="123"/>
      <c r="AA365" s="136"/>
      <c r="AB365" s="123"/>
    </row>
    <row r="366" spans="1:28" x14ac:dyDescent="0.2">
      <c r="A366" s="23"/>
      <c r="B366" s="30"/>
      <c r="C366" s="30"/>
      <c r="D366" s="147"/>
      <c r="E366" s="147"/>
      <c r="F366" s="30"/>
      <c r="G366" s="30"/>
      <c r="H366" s="30"/>
      <c r="I366" s="30"/>
      <c r="J366" s="30"/>
      <c r="K366" s="30"/>
      <c r="L366" s="30"/>
      <c r="M366" s="23"/>
      <c r="N366" s="23"/>
      <c r="O366" s="123"/>
      <c r="AA366" s="136"/>
      <c r="AB366" s="123"/>
    </row>
    <row r="367" spans="1:28" x14ac:dyDescent="0.2">
      <c r="A367" s="23"/>
      <c r="B367" s="30"/>
      <c r="C367" s="30"/>
      <c r="D367" s="147"/>
      <c r="E367" s="147"/>
      <c r="F367" s="30"/>
      <c r="G367" s="30"/>
      <c r="H367" s="30"/>
      <c r="I367" s="30"/>
      <c r="J367" s="30"/>
      <c r="K367" s="30"/>
      <c r="L367" s="30"/>
      <c r="M367" s="23"/>
      <c r="N367" s="23"/>
      <c r="O367" s="123"/>
      <c r="AA367" s="136"/>
      <c r="AB367" s="123"/>
    </row>
    <row r="368" spans="1:28" x14ac:dyDescent="0.2">
      <c r="A368" s="23"/>
      <c r="B368" s="30"/>
      <c r="C368" s="30"/>
      <c r="D368" s="147"/>
      <c r="E368" s="147"/>
      <c r="F368" s="30"/>
      <c r="G368" s="30"/>
      <c r="H368" s="30"/>
      <c r="I368" s="30"/>
      <c r="J368" s="30"/>
      <c r="K368" s="30"/>
      <c r="L368" s="30"/>
      <c r="M368" s="23"/>
      <c r="N368" s="23"/>
      <c r="O368" s="123"/>
      <c r="AA368" s="136"/>
      <c r="AB368" s="123"/>
    </row>
    <row r="369" spans="1:28" x14ac:dyDescent="0.2">
      <c r="A369" s="23"/>
      <c r="B369" s="30"/>
      <c r="C369" s="30"/>
      <c r="D369" s="147"/>
      <c r="E369" s="147"/>
      <c r="F369" s="30"/>
      <c r="G369" s="30"/>
      <c r="H369" s="30"/>
      <c r="I369" s="30"/>
      <c r="J369" s="30"/>
      <c r="K369" s="30"/>
      <c r="L369" s="30"/>
      <c r="M369" s="23"/>
      <c r="N369" s="23"/>
      <c r="O369" s="123"/>
      <c r="AA369" s="136"/>
      <c r="AB369" s="123"/>
    </row>
    <row r="370" spans="1:28" x14ac:dyDescent="0.2">
      <c r="A370" s="23"/>
      <c r="B370" s="30"/>
      <c r="C370" s="30"/>
      <c r="D370" s="147"/>
      <c r="E370" s="147"/>
      <c r="F370" s="30"/>
      <c r="G370" s="30"/>
      <c r="H370" s="30"/>
      <c r="I370" s="30"/>
      <c r="J370" s="30"/>
      <c r="K370" s="30"/>
      <c r="L370" s="30"/>
      <c r="M370" s="23"/>
      <c r="N370" s="23"/>
      <c r="O370" s="123"/>
      <c r="AA370" s="136"/>
      <c r="AB370" s="123"/>
    </row>
    <row r="371" spans="1:28" x14ac:dyDescent="0.2">
      <c r="A371" s="23"/>
      <c r="B371" s="30"/>
      <c r="C371" s="30"/>
      <c r="D371" s="147"/>
      <c r="E371" s="147"/>
      <c r="F371" s="30"/>
      <c r="G371" s="30"/>
      <c r="H371" s="30"/>
      <c r="I371" s="30"/>
      <c r="J371" s="30"/>
      <c r="K371" s="30"/>
      <c r="L371" s="30"/>
      <c r="M371" s="23"/>
      <c r="N371" s="23"/>
      <c r="O371" s="123"/>
      <c r="AA371" s="136"/>
      <c r="AB371" s="123"/>
    </row>
    <row r="372" spans="1:28" x14ac:dyDescent="0.2">
      <c r="A372" s="23"/>
      <c r="B372" s="30"/>
      <c r="C372" s="30"/>
      <c r="D372" s="147"/>
      <c r="E372" s="147"/>
      <c r="F372" s="30"/>
      <c r="G372" s="30"/>
      <c r="H372" s="30"/>
      <c r="I372" s="30"/>
      <c r="J372" s="30"/>
      <c r="K372" s="30"/>
      <c r="L372" s="30"/>
      <c r="M372" s="23"/>
      <c r="N372" s="23"/>
      <c r="O372" s="123"/>
      <c r="AA372" s="136"/>
      <c r="AB372" s="123"/>
    </row>
    <row r="373" spans="1:28" x14ac:dyDescent="0.2">
      <c r="A373" s="23"/>
      <c r="B373" s="30"/>
      <c r="C373" s="30"/>
      <c r="D373" s="147"/>
      <c r="E373" s="147"/>
      <c r="F373" s="30"/>
      <c r="G373" s="30"/>
      <c r="H373" s="30"/>
      <c r="I373" s="30"/>
      <c r="J373" s="30"/>
      <c r="K373" s="30"/>
      <c r="L373" s="30"/>
      <c r="M373" s="23"/>
      <c r="N373" s="23"/>
      <c r="O373" s="123"/>
      <c r="AA373" s="136"/>
      <c r="AB373" s="123"/>
    </row>
    <row r="374" spans="1:28" x14ac:dyDescent="0.2">
      <c r="A374" s="23"/>
      <c r="B374" s="30"/>
      <c r="C374" s="30"/>
      <c r="D374" s="147"/>
      <c r="E374" s="147"/>
      <c r="F374" s="30"/>
      <c r="G374" s="30"/>
      <c r="H374" s="30"/>
      <c r="I374" s="30"/>
      <c r="J374" s="30"/>
      <c r="K374" s="30"/>
      <c r="L374" s="30"/>
      <c r="M374" s="23"/>
      <c r="N374" s="23"/>
      <c r="O374" s="123"/>
      <c r="AA374" s="136"/>
      <c r="AB374" s="123"/>
    </row>
    <row r="375" spans="1:28" x14ac:dyDescent="0.2">
      <c r="A375" s="23"/>
      <c r="B375" s="30"/>
      <c r="C375" s="30"/>
      <c r="D375" s="147"/>
      <c r="E375" s="147"/>
      <c r="F375" s="30"/>
      <c r="G375" s="30"/>
      <c r="H375" s="30"/>
      <c r="I375" s="30"/>
      <c r="J375" s="30"/>
      <c r="K375" s="30"/>
      <c r="L375" s="30"/>
      <c r="M375" s="23"/>
      <c r="N375" s="23"/>
      <c r="O375" s="123"/>
      <c r="AA375" s="136"/>
      <c r="AB375" s="123"/>
    </row>
    <row r="376" spans="1:28" x14ac:dyDescent="0.2">
      <c r="A376" s="23"/>
      <c r="B376" s="30"/>
      <c r="C376" s="30"/>
      <c r="D376" s="147"/>
      <c r="E376" s="147"/>
      <c r="F376" s="30"/>
      <c r="G376" s="30"/>
      <c r="H376" s="30"/>
      <c r="I376" s="30"/>
      <c r="J376" s="30"/>
      <c r="K376" s="30"/>
      <c r="L376" s="30"/>
      <c r="M376" s="23"/>
      <c r="N376" s="23"/>
      <c r="O376" s="123"/>
      <c r="AA376" s="136"/>
      <c r="AB376" s="123"/>
    </row>
    <row r="377" spans="1:28" x14ac:dyDescent="0.2">
      <c r="A377" s="23"/>
      <c r="B377" s="30"/>
      <c r="C377" s="30"/>
      <c r="D377" s="147"/>
      <c r="E377" s="147"/>
      <c r="F377" s="30"/>
      <c r="G377" s="30"/>
      <c r="H377" s="30"/>
      <c r="I377" s="30"/>
      <c r="J377" s="30"/>
      <c r="K377" s="30"/>
      <c r="L377" s="30"/>
      <c r="M377" s="23"/>
      <c r="N377" s="23"/>
      <c r="O377" s="123"/>
      <c r="AA377" s="136"/>
      <c r="AB377" s="123"/>
    </row>
    <row r="378" spans="1:28" x14ac:dyDescent="0.2">
      <c r="A378" s="23"/>
      <c r="B378" s="30"/>
      <c r="C378" s="30"/>
      <c r="D378" s="147"/>
      <c r="E378" s="147"/>
      <c r="F378" s="30"/>
      <c r="G378" s="30"/>
      <c r="H378" s="30"/>
      <c r="I378" s="30"/>
      <c r="J378" s="30"/>
      <c r="K378" s="30"/>
      <c r="L378" s="30"/>
      <c r="M378" s="23"/>
      <c r="N378" s="23"/>
      <c r="O378" s="123"/>
      <c r="AA378" s="136"/>
      <c r="AB378" s="123"/>
    </row>
    <row r="379" spans="1:28" x14ac:dyDescent="0.2">
      <c r="A379" s="23"/>
      <c r="B379" s="30"/>
      <c r="C379" s="30"/>
      <c r="D379" s="147"/>
      <c r="E379" s="147"/>
      <c r="F379" s="30"/>
      <c r="G379" s="30"/>
      <c r="H379" s="30"/>
      <c r="I379" s="30"/>
      <c r="J379" s="30"/>
      <c r="K379" s="30"/>
      <c r="L379" s="30"/>
      <c r="M379" s="23"/>
      <c r="N379" s="23"/>
      <c r="O379" s="123"/>
      <c r="AA379" s="136"/>
      <c r="AB379" s="123"/>
    </row>
    <row r="380" spans="1:28" x14ac:dyDescent="0.2">
      <c r="A380" s="23"/>
      <c r="B380" s="30"/>
      <c r="C380" s="30"/>
      <c r="D380" s="147"/>
      <c r="E380" s="147"/>
      <c r="F380" s="30"/>
      <c r="G380" s="30"/>
      <c r="H380" s="30"/>
      <c r="I380" s="30"/>
      <c r="J380" s="30"/>
      <c r="K380" s="30"/>
      <c r="L380" s="30"/>
      <c r="M380" s="23"/>
      <c r="N380" s="23"/>
      <c r="O380" s="123"/>
      <c r="AA380" s="136"/>
      <c r="AB380" s="123"/>
    </row>
    <row r="381" spans="1:28" x14ac:dyDescent="0.2">
      <c r="A381" s="23"/>
      <c r="B381" s="30"/>
      <c r="C381" s="30"/>
      <c r="D381" s="147"/>
      <c r="E381" s="147"/>
      <c r="F381" s="30"/>
      <c r="G381" s="30"/>
      <c r="H381" s="30"/>
      <c r="I381" s="30"/>
      <c r="J381" s="30"/>
      <c r="K381" s="30"/>
      <c r="L381" s="30"/>
      <c r="M381" s="23"/>
      <c r="N381" s="23"/>
      <c r="O381" s="123"/>
      <c r="AA381" s="136"/>
      <c r="AB381" s="123"/>
    </row>
    <row r="382" spans="1:28" x14ac:dyDescent="0.2">
      <c r="A382" s="23"/>
      <c r="B382" s="30"/>
      <c r="C382" s="30"/>
      <c r="D382" s="147"/>
      <c r="E382" s="147"/>
      <c r="F382" s="30"/>
      <c r="G382" s="30"/>
      <c r="H382" s="30"/>
      <c r="I382" s="30"/>
      <c r="J382" s="30"/>
      <c r="K382" s="30"/>
      <c r="L382" s="30"/>
      <c r="M382" s="23"/>
      <c r="N382" s="23"/>
      <c r="O382" s="123"/>
      <c r="AA382" s="136"/>
      <c r="AB382" s="123"/>
    </row>
    <row r="383" spans="1:28" x14ac:dyDescent="0.2">
      <c r="A383" s="23"/>
      <c r="B383" s="30"/>
      <c r="C383" s="30"/>
      <c r="D383" s="147"/>
      <c r="E383" s="147"/>
      <c r="F383" s="30"/>
      <c r="G383" s="30"/>
      <c r="H383" s="30"/>
      <c r="I383" s="30"/>
      <c r="J383" s="30"/>
      <c r="K383" s="30"/>
      <c r="L383" s="30"/>
      <c r="M383" s="23"/>
      <c r="N383" s="23"/>
      <c r="O383" s="123"/>
      <c r="AA383" s="136"/>
      <c r="AB383" s="123"/>
    </row>
    <row r="384" spans="1:28" x14ac:dyDescent="0.2">
      <c r="A384" s="23"/>
      <c r="B384" s="30"/>
      <c r="C384" s="30"/>
      <c r="D384" s="147"/>
      <c r="E384" s="147"/>
      <c r="F384" s="30"/>
      <c r="G384" s="30"/>
      <c r="H384" s="30"/>
      <c r="I384" s="30"/>
      <c r="J384" s="30"/>
      <c r="K384" s="30"/>
      <c r="L384" s="30"/>
      <c r="M384" s="23"/>
      <c r="N384" s="23"/>
      <c r="O384" s="123"/>
      <c r="AA384" s="136"/>
      <c r="AB384" s="123"/>
    </row>
    <row r="385" spans="1:28" x14ac:dyDescent="0.2">
      <c r="A385" s="23"/>
      <c r="B385" s="30"/>
      <c r="C385" s="30"/>
      <c r="D385" s="147"/>
      <c r="E385" s="147"/>
      <c r="F385" s="30"/>
      <c r="G385" s="30"/>
      <c r="H385" s="30"/>
      <c r="I385" s="30"/>
      <c r="J385" s="30"/>
      <c r="K385" s="30"/>
      <c r="L385" s="30"/>
      <c r="M385" s="23"/>
      <c r="N385" s="23"/>
      <c r="O385" s="123"/>
      <c r="AA385" s="136"/>
      <c r="AB385" s="123"/>
    </row>
    <row r="386" spans="1:28" x14ac:dyDescent="0.2">
      <c r="A386" s="23"/>
      <c r="B386" s="30"/>
      <c r="C386" s="30"/>
      <c r="D386" s="147"/>
      <c r="E386" s="147"/>
      <c r="F386" s="30"/>
      <c r="G386" s="30"/>
      <c r="H386" s="30"/>
      <c r="I386" s="30"/>
      <c r="J386" s="30"/>
      <c r="K386" s="30"/>
      <c r="L386" s="30"/>
      <c r="M386" s="23"/>
      <c r="N386" s="23"/>
      <c r="O386" s="123"/>
      <c r="AA386" s="136"/>
      <c r="AB386" s="123"/>
    </row>
    <row r="387" spans="1:28" x14ac:dyDescent="0.2">
      <c r="A387" s="23"/>
      <c r="B387" s="30"/>
      <c r="C387" s="30"/>
      <c r="D387" s="147"/>
      <c r="E387" s="147"/>
      <c r="F387" s="30"/>
      <c r="G387" s="30"/>
      <c r="H387" s="30"/>
      <c r="I387" s="30"/>
      <c r="J387" s="30"/>
      <c r="K387" s="30"/>
      <c r="L387" s="30"/>
      <c r="M387" s="23"/>
      <c r="N387" s="23"/>
      <c r="O387" s="123"/>
      <c r="AA387" s="136"/>
      <c r="AB387" s="123"/>
    </row>
    <row r="388" spans="1:28" x14ac:dyDescent="0.2">
      <c r="A388" s="23"/>
      <c r="B388" s="30"/>
      <c r="C388" s="30"/>
      <c r="D388" s="147"/>
      <c r="E388" s="147"/>
      <c r="F388" s="30"/>
      <c r="G388" s="30"/>
      <c r="H388" s="30"/>
      <c r="I388" s="30"/>
      <c r="J388" s="30"/>
      <c r="K388" s="30"/>
      <c r="L388" s="30"/>
      <c r="M388" s="23"/>
      <c r="N388" s="23"/>
      <c r="O388" s="123"/>
      <c r="AA388" s="136"/>
      <c r="AB388" s="123"/>
    </row>
    <row r="389" spans="1:28" x14ac:dyDescent="0.2">
      <c r="A389" s="23"/>
      <c r="B389" s="30"/>
      <c r="C389" s="30"/>
      <c r="D389" s="147"/>
      <c r="E389" s="147"/>
      <c r="F389" s="30"/>
      <c r="G389" s="30"/>
      <c r="H389" s="30"/>
      <c r="I389" s="30"/>
      <c r="J389" s="30"/>
      <c r="K389" s="30"/>
      <c r="L389" s="30"/>
      <c r="M389" s="23"/>
      <c r="N389" s="23"/>
      <c r="O389" s="123"/>
      <c r="AA389" s="136"/>
      <c r="AB389" s="123"/>
    </row>
    <row r="390" spans="1:28" x14ac:dyDescent="0.2">
      <c r="A390" s="23"/>
      <c r="B390" s="30"/>
      <c r="C390" s="30"/>
      <c r="D390" s="147"/>
      <c r="E390" s="147"/>
      <c r="F390" s="30"/>
      <c r="G390" s="30"/>
      <c r="H390" s="30"/>
      <c r="I390" s="30"/>
      <c r="J390" s="30"/>
      <c r="K390" s="30"/>
      <c r="L390" s="30"/>
      <c r="M390" s="23"/>
      <c r="N390" s="23"/>
      <c r="O390" s="123"/>
      <c r="AA390" s="136"/>
      <c r="AB390" s="123"/>
    </row>
    <row r="391" spans="1:28" x14ac:dyDescent="0.2">
      <c r="A391" s="23"/>
      <c r="B391" s="30"/>
      <c r="C391" s="30"/>
      <c r="D391" s="147"/>
      <c r="E391" s="147"/>
      <c r="F391" s="30"/>
      <c r="G391" s="30"/>
      <c r="H391" s="30"/>
      <c r="I391" s="30"/>
      <c r="J391" s="30"/>
      <c r="K391" s="30"/>
      <c r="L391" s="30"/>
      <c r="M391" s="23"/>
      <c r="N391" s="23"/>
      <c r="O391" s="123"/>
      <c r="AA391" s="136"/>
      <c r="AB391" s="123"/>
    </row>
    <row r="392" spans="1:28" x14ac:dyDescent="0.2">
      <c r="A392" s="23"/>
      <c r="B392" s="30"/>
      <c r="C392" s="30"/>
      <c r="D392" s="147"/>
      <c r="E392" s="147"/>
      <c r="F392" s="30"/>
      <c r="G392" s="30"/>
      <c r="H392" s="30"/>
      <c r="I392" s="30"/>
      <c r="J392" s="30"/>
      <c r="K392" s="30"/>
      <c r="L392" s="30"/>
      <c r="M392" s="23"/>
      <c r="N392" s="23"/>
      <c r="O392" s="123"/>
      <c r="AA392" s="136"/>
      <c r="AB392" s="123"/>
    </row>
    <row r="393" spans="1:28" x14ac:dyDescent="0.2">
      <c r="A393" s="23"/>
      <c r="B393" s="30"/>
      <c r="C393" s="30"/>
      <c r="D393" s="147"/>
      <c r="E393" s="147"/>
      <c r="F393" s="30"/>
      <c r="G393" s="30"/>
      <c r="H393" s="30"/>
      <c r="I393" s="30"/>
      <c r="J393" s="30"/>
      <c r="K393" s="30"/>
      <c r="L393" s="30"/>
      <c r="M393" s="23"/>
      <c r="N393" s="23"/>
      <c r="O393" s="123"/>
      <c r="AA393" s="136"/>
      <c r="AB393" s="123"/>
    </row>
    <row r="394" spans="1:28" x14ac:dyDescent="0.2">
      <c r="A394" s="23"/>
      <c r="B394" s="30"/>
      <c r="C394" s="30"/>
      <c r="D394" s="147"/>
      <c r="E394" s="147"/>
      <c r="F394" s="30"/>
      <c r="G394" s="30"/>
      <c r="H394" s="30"/>
      <c r="I394" s="30"/>
      <c r="J394" s="30"/>
      <c r="K394" s="30"/>
      <c r="L394" s="30"/>
      <c r="M394" s="23"/>
      <c r="N394" s="23"/>
      <c r="O394" s="123"/>
      <c r="AA394" s="136"/>
      <c r="AB394" s="123"/>
    </row>
    <row r="395" spans="1:28" x14ac:dyDescent="0.2">
      <c r="A395" s="23"/>
      <c r="B395" s="30"/>
      <c r="C395" s="30"/>
      <c r="D395" s="147"/>
      <c r="E395" s="147"/>
      <c r="F395" s="30"/>
      <c r="G395" s="30"/>
      <c r="H395" s="30"/>
      <c r="I395" s="30"/>
      <c r="J395" s="30"/>
      <c r="K395" s="30"/>
      <c r="L395" s="30"/>
      <c r="M395" s="23"/>
      <c r="N395" s="23"/>
      <c r="O395" s="123"/>
      <c r="AA395" s="136"/>
      <c r="AB395" s="123"/>
    </row>
    <row r="396" spans="1:28" x14ac:dyDescent="0.2">
      <c r="A396" s="23"/>
      <c r="B396" s="30"/>
      <c r="C396" s="30"/>
      <c r="D396" s="147"/>
      <c r="E396" s="147"/>
      <c r="F396" s="30"/>
      <c r="G396" s="30"/>
      <c r="H396" s="30"/>
      <c r="I396" s="30"/>
      <c r="J396" s="30"/>
      <c r="K396" s="30"/>
      <c r="L396" s="30"/>
      <c r="M396" s="23"/>
      <c r="N396" s="23"/>
      <c r="O396" s="123"/>
      <c r="AA396" s="136"/>
      <c r="AB396" s="123"/>
    </row>
    <row r="397" spans="1:28" x14ac:dyDescent="0.2">
      <c r="A397" s="23"/>
      <c r="B397" s="30"/>
      <c r="C397" s="30"/>
      <c r="D397" s="147"/>
      <c r="E397" s="147"/>
      <c r="F397" s="30"/>
      <c r="G397" s="30"/>
      <c r="H397" s="30"/>
      <c r="I397" s="30"/>
      <c r="J397" s="30"/>
      <c r="K397" s="30"/>
      <c r="L397" s="30"/>
      <c r="M397" s="23"/>
      <c r="N397" s="23"/>
      <c r="O397" s="123"/>
      <c r="AA397" s="136"/>
      <c r="AB397" s="123"/>
    </row>
    <row r="398" spans="1:28" x14ac:dyDescent="0.2">
      <c r="A398" s="23"/>
      <c r="B398" s="30"/>
      <c r="C398" s="30"/>
      <c r="D398" s="147"/>
      <c r="E398" s="147"/>
      <c r="F398" s="30"/>
      <c r="G398" s="30"/>
      <c r="H398" s="30"/>
      <c r="I398" s="30"/>
      <c r="J398" s="30"/>
      <c r="K398" s="30"/>
      <c r="L398" s="30"/>
      <c r="M398" s="23"/>
      <c r="N398" s="23"/>
      <c r="O398" s="123"/>
      <c r="AA398" s="136"/>
      <c r="AB398" s="123"/>
    </row>
    <row r="399" spans="1:28" x14ac:dyDescent="0.2">
      <c r="A399" s="23"/>
      <c r="B399" s="30"/>
      <c r="C399" s="30"/>
      <c r="D399" s="147"/>
      <c r="E399" s="147"/>
      <c r="F399" s="30"/>
      <c r="G399" s="30"/>
      <c r="H399" s="30"/>
      <c r="I399" s="30"/>
      <c r="J399" s="30"/>
      <c r="K399" s="30"/>
      <c r="L399" s="30"/>
      <c r="M399" s="23"/>
      <c r="N399" s="23"/>
      <c r="O399" s="123"/>
      <c r="AA399" s="136"/>
      <c r="AB399" s="123"/>
    </row>
    <row r="400" spans="1:28" x14ac:dyDescent="0.2">
      <c r="A400" s="23"/>
      <c r="B400" s="30"/>
      <c r="C400" s="30"/>
      <c r="D400" s="147"/>
      <c r="E400" s="147"/>
      <c r="F400" s="30"/>
      <c r="G400" s="30"/>
      <c r="H400" s="30"/>
      <c r="I400" s="30"/>
      <c r="J400" s="30"/>
      <c r="K400" s="30"/>
      <c r="L400" s="30"/>
      <c r="M400" s="23"/>
      <c r="N400" s="23"/>
      <c r="O400" s="123"/>
      <c r="AA400" s="136"/>
      <c r="AB400" s="123"/>
    </row>
    <row r="401" spans="1:28" x14ac:dyDescent="0.2">
      <c r="A401" s="23"/>
      <c r="B401" s="30"/>
      <c r="C401" s="30"/>
      <c r="D401" s="147"/>
      <c r="E401" s="147"/>
      <c r="F401" s="30"/>
      <c r="G401" s="30"/>
      <c r="H401" s="30"/>
      <c r="I401" s="30"/>
      <c r="J401" s="30"/>
      <c r="K401" s="30"/>
      <c r="L401" s="30"/>
      <c r="M401" s="23"/>
      <c r="N401" s="23"/>
      <c r="O401" s="123"/>
      <c r="AA401" s="136"/>
      <c r="AB401" s="123"/>
    </row>
    <row r="402" spans="1:28" x14ac:dyDescent="0.2">
      <c r="A402" s="23"/>
      <c r="B402" s="30"/>
      <c r="C402" s="30"/>
      <c r="D402" s="147"/>
      <c r="E402" s="147"/>
      <c r="F402" s="30"/>
      <c r="G402" s="30"/>
      <c r="H402" s="30"/>
      <c r="I402" s="30"/>
      <c r="J402" s="30"/>
      <c r="K402" s="30"/>
      <c r="L402" s="30"/>
      <c r="M402" s="23"/>
      <c r="N402" s="23"/>
      <c r="O402" s="123"/>
      <c r="AA402" s="136"/>
      <c r="AB402" s="123"/>
    </row>
    <row r="403" spans="1:28" x14ac:dyDescent="0.2">
      <c r="A403" s="23"/>
      <c r="B403" s="30"/>
      <c r="C403" s="30"/>
      <c r="D403" s="147"/>
      <c r="E403" s="147"/>
      <c r="F403" s="30"/>
      <c r="G403" s="30"/>
      <c r="H403" s="30"/>
      <c r="I403" s="30"/>
      <c r="J403" s="30"/>
      <c r="K403" s="30"/>
      <c r="L403" s="30"/>
      <c r="M403" s="23"/>
      <c r="N403" s="23"/>
      <c r="O403" s="123"/>
      <c r="AA403" s="136"/>
      <c r="AB403" s="123"/>
    </row>
    <row r="404" spans="1:28" x14ac:dyDescent="0.2">
      <c r="A404" s="23"/>
      <c r="B404" s="30"/>
      <c r="C404" s="30"/>
      <c r="D404" s="147"/>
      <c r="E404" s="147"/>
      <c r="F404" s="30"/>
      <c r="G404" s="30"/>
      <c r="H404" s="30"/>
      <c r="I404" s="30"/>
      <c r="J404" s="30"/>
      <c r="K404" s="30"/>
      <c r="L404" s="30"/>
      <c r="M404" s="23"/>
      <c r="N404" s="23"/>
      <c r="O404" s="123"/>
      <c r="AA404" s="136"/>
      <c r="AB404" s="123"/>
    </row>
    <row r="405" spans="1:28" x14ac:dyDescent="0.2">
      <c r="A405" s="23"/>
      <c r="B405" s="30"/>
      <c r="C405" s="30"/>
      <c r="D405" s="147"/>
      <c r="E405" s="147"/>
      <c r="F405" s="30"/>
      <c r="G405" s="30"/>
      <c r="H405" s="30"/>
      <c r="I405" s="30"/>
      <c r="J405" s="30"/>
      <c r="K405" s="30"/>
      <c r="L405" s="30"/>
      <c r="M405" s="23"/>
      <c r="N405" s="23"/>
      <c r="O405" s="123"/>
      <c r="AA405" s="136"/>
      <c r="AB405" s="123"/>
    </row>
    <row r="406" spans="1:28" x14ac:dyDescent="0.2">
      <c r="A406" s="23"/>
      <c r="B406" s="30"/>
      <c r="C406" s="30"/>
      <c r="D406" s="147"/>
      <c r="E406" s="147"/>
      <c r="F406" s="30"/>
      <c r="G406" s="30"/>
      <c r="H406" s="30"/>
      <c r="I406" s="30"/>
      <c r="J406" s="30"/>
      <c r="K406" s="30"/>
      <c r="L406" s="30"/>
      <c r="M406" s="23"/>
      <c r="N406" s="23"/>
      <c r="O406" s="123"/>
      <c r="AA406" s="136"/>
      <c r="AB406" s="123"/>
    </row>
    <row r="407" spans="1:28" x14ac:dyDescent="0.2">
      <c r="A407" s="23"/>
      <c r="B407" s="30"/>
      <c r="C407" s="30"/>
      <c r="D407" s="147"/>
      <c r="E407" s="147"/>
      <c r="F407" s="30"/>
      <c r="G407" s="30"/>
      <c r="H407" s="30"/>
      <c r="I407" s="30"/>
      <c r="J407" s="30"/>
      <c r="K407" s="30"/>
      <c r="L407" s="30"/>
      <c r="M407" s="23"/>
      <c r="N407" s="23"/>
      <c r="O407" s="123"/>
      <c r="AA407" s="136"/>
      <c r="AB407" s="123"/>
    </row>
    <row r="408" spans="1:28" x14ac:dyDescent="0.2">
      <c r="A408" s="23"/>
      <c r="B408" s="30"/>
      <c r="C408" s="30"/>
      <c r="D408" s="147"/>
      <c r="E408" s="147"/>
      <c r="F408" s="30"/>
      <c r="G408" s="30"/>
      <c r="H408" s="30"/>
      <c r="I408" s="30"/>
      <c r="J408" s="30"/>
      <c r="K408" s="30"/>
      <c r="L408" s="30"/>
      <c r="M408" s="23"/>
      <c r="N408" s="23"/>
      <c r="O408" s="123"/>
      <c r="AA408" s="136"/>
      <c r="AB408" s="123"/>
    </row>
    <row r="409" spans="1:28" x14ac:dyDescent="0.2">
      <c r="A409" s="23"/>
      <c r="B409" s="30"/>
      <c r="C409" s="30"/>
      <c r="D409" s="147"/>
      <c r="E409" s="147"/>
      <c r="F409" s="30"/>
      <c r="G409" s="30"/>
      <c r="H409" s="30"/>
      <c r="I409" s="30"/>
      <c r="J409" s="30"/>
      <c r="K409" s="30"/>
      <c r="L409" s="30"/>
      <c r="M409" s="23"/>
      <c r="N409" s="23"/>
      <c r="O409" s="123"/>
      <c r="AA409" s="136"/>
      <c r="AB409" s="123"/>
    </row>
    <row r="410" spans="1:28" x14ac:dyDescent="0.2">
      <c r="A410" s="23"/>
      <c r="B410" s="30"/>
      <c r="C410" s="30"/>
      <c r="D410" s="147"/>
      <c r="E410" s="147"/>
      <c r="F410" s="30"/>
      <c r="G410" s="30"/>
      <c r="H410" s="30"/>
      <c r="I410" s="30"/>
      <c r="J410" s="30"/>
      <c r="K410" s="30"/>
      <c r="L410" s="30"/>
      <c r="M410" s="23"/>
      <c r="N410" s="23"/>
      <c r="O410" s="123"/>
      <c r="AA410" s="136"/>
      <c r="AB410" s="123"/>
    </row>
    <row r="411" spans="1:28" x14ac:dyDescent="0.2">
      <c r="A411" s="23"/>
      <c r="B411" s="30"/>
      <c r="C411" s="30"/>
      <c r="D411" s="147"/>
      <c r="E411" s="147"/>
      <c r="F411" s="30"/>
      <c r="G411" s="30"/>
      <c r="H411" s="30"/>
      <c r="I411" s="30"/>
      <c r="J411" s="30"/>
      <c r="K411" s="30"/>
      <c r="L411" s="30"/>
      <c r="M411" s="23"/>
      <c r="N411" s="23"/>
      <c r="O411" s="123"/>
      <c r="AA411" s="136"/>
      <c r="AB411" s="123"/>
    </row>
    <row r="412" spans="1:28" x14ac:dyDescent="0.2">
      <c r="A412" s="23"/>
      <c r="B412" s="30"/>
      <c r="C412" s="30"/>
      <c r="D412" s="147"/>
      <c r="E412" s="147"/>
      <c r="F412" s="30"/>
      <c r="G412" s="30"/>
      <c r="H412" s="30"/>
      <c r="I412" s="30"/>
      <c r="J412" s="30"/>
      <c r="K412" s="30"/>
      <c r="L412" s="30"/>
      <c r="M412" s="23"/>
      <c r="N412" s="23"/>
      <c r="O412" s="123"/>
      <c r="AA412" s="136"/>
      <c r="AB412" s="123"/>
    </row>
    <row r="413" spans="1:28" x14ac:dyDescent="0.2">
      <c r="A413" s="23"/>
      <c r="B413" s="30"/>
      <c r="C413" s="30"/>
      <c r="D413" s="147"/>
      <c r="E413" s="147"/>
      <c r="F413" s="30"/>
      <c r="G413" s="30"/>
      <c r="H413" s="30"/>
      <c r="I413" s="30"/>
      <c r="J413" s="30"/>
      <c r="K413" s="30"/>
      <c r="L413" s="30"/>
      <c r="M413" s="23"/>
      <c r="N413" s="23"/>
      <c r="O413" s="123"/>
      <c r="AA413" s="136"/>
      <c r="AB413" s="123"/>
    </row>
    <row r="414" spans="1:28" x14ac:dyDescent="0.2">
      <c r="A414" s="23"/>
      <c r="B414" s="30"/>
      <c r="C414" s="30"/>
      <c r="D414" s="147"/>
      <c r="E414" s="147"/>
      <c r="F414" s="30"/>
      <c r="G414" s="30"/>
      <c r="H414" s="30"/>
      <c r="I414" s="30"/>
      <c r="J414" s="30"/>
      <c r="K414" s="30"/>
      <c r="L414" s="30"/>
      <c r="M414" s="23"/>
      <c r="N414" s="23"/>
      <c r="O414" s="123"/>
      <c r="AA414" s="136"/>
      <c r="AB414" s="123"/>
    </row>
    <row r="415" spans="1:28" x14ac:dyDescent="0.2">
      <c r="A415" s="23"/>
      <c r="B415" s="30"/>
      <c r="C415" s="30"/>
      <c r="D415" s="147"/>
      <c r="E415" s="147"/>
      <c r="F415" s="30"/>
      <c r="G415" s="30"/>
      <c r="H415" s="30"/>
      <c r="I415" s="30"/>
      <c r="J415" s="30"/>
      <c r="K415" s="30"/>
      <c r="L415" s="30"/>
      <c r="M415" s="23"/>
      <c r="N415" s="23"/>
      <c r="O415" s="123"/>
      <c r="AA415" s="136"/>
      <c r="AB415" s="123"/>
    </row>
    <row r="416" spans="1:28" x14ac:dyDescent="0.2">
      <c r="A416" s="23"/>
      <c r="B416" s="30"/>
      <c r="C416" s="30"/>
      <c r="D416" s="147"/>
      <c r="E416" s="147"/>
      <c r="F416" s="30"/>
      <c r="G416" s="30"/>
      <c r="H416" s="30"/>
      <c r="I416" s="30"/>
      <c r="J416" s="30"/>
      <c r="K416" s="30"/>
      <c r="L416" s="30"/>
      <c r="M416" s="23"/>
      <c r="N416" s="23"/>
      <c r="O416" s="123"/>
      <c r="AA416" s="136"/>
      <c r="AB416" s="123"/>
    </row>
    <row r="417" spans="1:28" x14ac:dyDescent="0.2">
      <c r="A417" s="23"/>
      <c r="B417" s="30"/>
      <c r="C417" s="30"/>
      <c r="D417" s="147"/>
      <c r="E417" s="147"/>
      <c r="F417" s="30"/>
      <c r="G417" s="30"/>
      <c r="H417" s="30"/>
      <c r="I417" s="30"/>
      <c r="J417" s="30"/>
      <c r="K417" s="30"/>
      <c r="L417" s="30"/>
      <c r="M417" s="23"/>
      <c r="N417" s="23"/>
      <c r="O417" s="123"/>
      <c r="AA417" s="136"/>
      <c r="AB417" s="123"/>
    </row>
    <row r="418" spans="1:28" x14ac:dyDescent="0.2">
      <c r="A418" s="23"/>
      <c r="B418" s="30"/>
      <c r="C418" s="30"/>
      <c r="D418" s="147"/>
      <c r="E418" s="147"/>
      <c r="F418" s="30"/>
      <c r="G418" s="30"/>
      <c r="H418" s="30"/>
      <c r="I418" s="30"/>
      <c r="J418" s="30"/>
      <c r="K418" s="30"/>
      <c r="L418" s="30"/>
      <c r="M418" s="23"/>
      <c r="N418" s="23"/>
      <c r="O418" s="123"/>
      <c r="AA418" s="136"/>
      <c r="AB418" s="123"/>
    </row>
    <row r="419" spans="1:28" x14ac:dyDescent="0.2">
      <c r="A419" s="23"/>
      <c r="B419" s="30"/>
      <c r="C419" s="30"/>
      <c r="D419" s="147"/>
      <c r="E419" s="147"/>
      <c r="F419" s="30"/>
      <c r="G419" s="30"/>
      <c r="H419" s="30"/>
      <c r="I419" s="30"/>
      <c r="J419" s="30"/>
      <c r="K419" s="30"/>
      <c r="L419" s="30"/>
      <c r="M419" s="23"/>
      <c r="N419" s="23"/>
      <c r="O419" s="123"/>
      <c r="AA419" s="136"/>
      <c r="AB419" s="123"/>
    </row>
    <row r="420" spans="1:28" x14ac:dyDescent="0.2">
      <c r="A420" s="23"/>
      <c r="B420" s="30"/>
      <c r="C420" s="30"/>
      <c r="D420" s="147"/>
      <c r="E420" s="147"/>
      <c r="F420" s="30"/>
      <c r="G420" s="30"/>
      <c r="H420" s="30"/>
      <c r="I420" s="30"/>
      <c r="J420" s="30"/>
      <c r="K420" s="30"/>
      <c r="L420" s="30"/>
      <c r="M420" s="23"/>
      <c r="N420" s="23"/>
      <c r="O420" s="123"/>
      <c r="AA420" s="136"/>
      <c r="AB420" s="123"/>
    </row>
    <row r="421" spans="1:28" x14ac:dyDescent="0.2">
      <c r="A421" s="23"/>
      <c r="B421" s="30"/>
      <c r="C421" s="30"/>
      <c r="D421" s="147"/>
      <c r="E421" s="147"/>
      <c r="F421" s="30"/>
      <c r="G421" s="30"/>
      <c r="H421" s="30"/>
      <c r="I421" s="30"/>
      <c r="J421" s="30"/>
      <c r="K421" s="30"/>
      <c r="L421" s="30"/>
      <c r="M421" s="23"/>
      <c r="N421" s="23"/>
      <c r="O421" s="123"/>
      <c r="AA421" s="136"/>
      <c r="AB421" s="123"/>
    </row>
    <row r="422" spans="1:28" x14ac:dyDescent="0.2">
      <c r="A422" s="23"/>
      <c r="B422" s="30"/>
      <c r="C422" s="30"/>
      <c r="D422" s="147"/>
      <c r="E422" s="147"/>
      <c r="F422" s="30"/>
      <c r="G422" s="30"/>
      <c r="H422" s="30"/>
      <c r="I422" s="30"/>
      <c r="J422" s="30"/>
      <c r="K422" s="30"/>
      <c r="L422" s="30"/>
      <c r="M422" s="23"/>
      <c r="N422" s="23"/>
      <c r="O422" s="123"/>
      <c r="AA422" s="136"/>
      <c r="AB422" s="123"/>
    </row>
    <row r="423" spans="1:28" x14ac:dyDescent="0.2">
      <c r="A423" s="23"/>
      <c r="B423" s="30"/>
      <c r="C423" s="30"/>
      <c r="D423" s="147"/>
      <c r="E423" s="147"/>
      <c r="F423" s="30"/>
      <c r="G423" s="30"/>
      <c r="H423" s="30"/>
      <c r="I423" s="30"/>
      <c r="J423" s="30"/>
      <c r="K423" s="30"/>
      <c r="L423" s="30"/>
      <c r="M423" s="23"/>
      <c r="N423" s="23"/>
      <c r="O423" s="123"/>
      <c r="AA423" s="136"/>
      <c r="AB423" s="123"/>
    </row>
    <row r="424" spans="1:28" x14ac:dyDescent="0.2">
      <c r="A424" s="23"/>
      <c r="B424" s="30"/>
      <c r="C424" s="30"/>
      <c r="D424" s="147"/>
      <c r="E424" s="147"/>
      <c r="F424" s="30"/>
      <c r="G424" s="30"/>
      <c r="H424" s="30"/>
      <c r="I424" s="30"/>
      <c r="J424" s="30"/>
      <c r="K424" s="30"/>
      <c r="L424" s="30"/>
      <c r="M424" s="23"/>
      <c r="N424" s="23"/>
      <c r="O424" s="123"/>
      <c r="AA424" s="136"/>
      <c r="AB424" s="123"/>
    </row>
    <row r="425" spans="1:28" x14ac:dyDescent="0.2">
      <c r="A425" s="23"/>
      <c r="B425" s="30"/>
      <c r="C425" s="30"/>
      <c r="D425" s="147"/>
      <c r="E425" s="147"/>
      <c r="F425" s="30"/>
      <c r="G425" s="30"/>
      <c r="H425" s="30"/>
      <c r="I425" s="30"/>
      <c r="J425" s="30"/>
      <c r="K425" s="30"/>
      <c r="L425" s="30"/>
      <c r="M425" s="23"/>
      <c r="N425" s="23"/>
      <c r="O425" s="123"/>
      <c r="AA425" s="136"/>
      <c r="AB425" s="123"/>
    </row>
    <row r="426" spans="1:28" x14ac:dyDescent="0.2">
      <c r="A426" s="23"/>
      <c r="B426" s="30"/>
      <c r="C426" s="30"/>
      <c r="D426" s="147"/>
      <c r="E426" s="147"/>
      <c r="F426" s="30"/>
      <c r="G426" s="30"/>
      <c r="H426" s="30"/>
      <c r="I426" s="30"/>
      <c r="J426" s="30"/>
      <c r="K426" s="30"/>
      <c r="L426" s="30"/>
      <c r="M426" s="23"/>
      <c r="N426" s="23"/>
      <c r="O426" s="123"/>
      <c r="AA426" s="136"/>
      <c r="AB426" s="123"/>
    </row>
    <row r="427" spans="1:28" x14ac:dyDescent="0.2">
      <c r="A427" s="23"/>
      <c r="B427" s="30"/>
      <c r="C427" s="30"/>
      <c r="D427" s="147"/>
      <c r="E427" s="147"/>
      <c r="F427" s="30"/>
      <c r="G427" s="30"/>
      <c r="H427" s="30"/>
      <c r="I427" s="30"/>
      <c r="J427" s="30"/>
      <c r="K427" s="30"/>
      <c r="L427" s="30"/>
      <c r="M427" s="23"/>
      <c r="N427" s="23"/>
      <c r="O427" s="123"/>
      <c r="AA427" s="136"/>
      <c r="AB427" s="123"/>
    </row>
    <row r="428" spans="1:28" x14ac:dyDescent="0.2">
      <c r="A428" s="23"/>
      <c r="B428" s="30"/>
      <c r="C428" s="30"/>
      <c r="D428" s="147"/>
      <c r="E428" s="147"/>
      <c r="F428" s="30"/>
      <c r="G428" s="30"/>
      <c r="H428" s="30"/>
      <c r="I428" s="30"/>
      <c r="J428" s="30"/>
      <c r="K428" s="30"/>
      <c r="L428" s="30"/>
      <c r="M428" s="23"/>
      <c r="N428" s="23"/>
      <c r="O428" s="123"/>
      <c r="AA428" s="136"/>
      <c r="AB428" s="123"/>
    </row>
    <row r="429" spans="1:28" x14ac:dyDescent="0.2">
      <c r="A429" s="23"/>
      <c r="B429" s="30"/>
      <c r="C429" s="30"/>
      <c r="D429" s="147"/>
      <c r="E429" s="147"/>
      <c r="F429" s="30"/>
      <c r="G429" s="30"/>
      <c r="H429" s="30"/>
      <c r="I429" s="30"/>
      <c r="J429" s="30"/>
      <c r="K429" s="30"/>
      <c r="L429" s="30"/>
      <c r="M429" s="23"/>
      <c r="N429" s="23"/>
      <c r="O429" s="123"/>
      <c r="AA429" s="136"/>
      <c r="AB429" s="123"/>
    </row>
    <row r="430" spans="1:28" x14ac:dyDescent="0.2">
      <c r="A430" s="23"/>
      <c r="B430" s="30"/>
      <c r="C430" s="30"/>
      <c r="D430" s="147"/>
      <c r="E430" s="147"/>
      <c r="F430" s="30"/>
      <c r="G430" s="30"/>
      <c r="H430" s="30"/>
      <c r="I430" s="30"/>
      <c r="J430" s="30"/>
      <c r="K430" s="30"/>
      <c r="L430" s="30"/>
      <c r="M430" s="23"/>
      <c r="N430" s="23"/>
      <c r="O430" s="123"/>
      <c r="AA430" s="136"/>
      <c r="AB430" s="123"/>
    </row>
    <row r="431" spans="1:28" x14ac:dyDescent="0.2">
      <c r="A431" s="23"/>
      <c r="B431" s="30"/>
      <c r="C431" s="30"/>
      <c r="D431" s="147"/>
      <c r="E431" s="147"/>
      <c r="F431" s="30"/>
      <c r="G431" s="30"/>
      <c r="H431" s="30"/>
      <c r="I431" s="30"/>
      <c r="J431" s="30"/>
      <c r="K431" s="30"/>
      <c r="L431" s="30"/>
      <c r="M431" s="23"/>
      <c r="N431" s="23"/>
      <c r="O431" s="123"/>
      <c r="AA431" s="136"/>
      <c r="AB431" s="123"/>
    </row>
    <row r="432" spans="1:28" x14ac:dyDescent="0.2">
      <c r="A432" s="23"/>
      <c r="B432" s="30"/>
      <c r="C432" s="30"/>
      <c r="D432" s="147"/>
      <c r="E432" s="147"/>
      <c r="F432" s="30"/>
      <c r="G432" s="30"/>
      <c r="H432" s="30"/>
      <c r="I432" s="30"/>
      <c r="J432" s="30"/>
      <c r="K432" s="30"/>
      <c r="L432" s="30"/>
      <c r="M432" s="23"/>
      <c r="N432" s="23"/>
      <c r="O432" s="123"/>
      <c r="AA432" s="136"/>
      <c r="AB432" s="123"/>
    </row>
    <row r="433" spans="1:28" x14ac:dyDescent="0.2">
      <c r="A433" s="23"/>
      <c r="B433" s="30"/>
      <c r="C433" s="30"/>
      <c r="D433" s="147"/>
      <c r="E433" s="147"/>
      <c r="F433" s="30"/>
      <c r="G433" s="30"/>
      <c r="H433" s="30"/>
      <c r="I433" s="30"/>
      <c r="J433" s="30"/>
      <c r="K433" s="30"/>
      <c r="L433" s="30"/>
      <c r="M433" s="23"/>
      <c r="N433" s="23"/>
      <c r="O433" s="123"/>
      <c r="AA433" s="136"/>
      <c r="AB433" s="123"/>
    </row>
    <row r="434" spans="1:28" x14ac:dyDescent="0.2">
      <c r="A434" s="23"/>
      <c r="B434" s="30"/>
      <c r="C434" s="30"/>
      <c r="D434" s="147"/>
      <c r="E434" s="147"/>
      <c r="F434" s="30"/>
      <c r="G434" s="30"/>
      <c r="H434" s="30"/>
      <c r="I434" s="30"/>
      <c r="J434" s="30"/>
      <c r="K434" s="30"/>
      <c r="L434" s="30"/>
      <c r="M434" s="23"/>
      <c r="N434" s="23"/>
      <c r="O434" s="123"/>
      <c r="AA434" s="136"/>
      <c r="AB434" s="123"/>
    </row>
    <row r="435" spans="1:28" x14ac:dyDescent="0.2">
      <c r="A435" s="23"/>
      <c r="B435" s="30"/>
      <c r="C435" s="30"/>
      <c r="D435" s="147"/>
      <c r="E435" s="147"/>
      <c r="F435" s="30"/>
      <c r="G435" s="30"/>
      <c r="H435" s="30"/>
      <c r="I435" s="30"/>
      <c r="J435" s="30"/>
      <c r="K435" s="30"/>
      <c r="L435" s="30"/>
      <c r="M435" s="23"/>
      <c r="N435" s="23"/>
      <c r="O435" s="123"/>
      <c r="AA435" s="136"/>
      <c r="AB435" s="123"/>
    </row>
    <row r="436" spans="1:28" x14ac:dyDescent="0.2">
      <c r="A436" s="23"/>
      <c r="B436" s="30"/>
      <c r="C436" s="30"/>
      <c r="D436" s="147"/>
      <c r="E436" s="147"/>
      <c r="F436" s="30"/>
      <c r="G436" s="30"/>
      <c r="H436" s="30"/>
      <c r="I436" s="30"/>
      <c r="J436" s="30"/>
      <c r="K436" s="30"/>
      <c r="L436" s="30"/>
      <c r="M436" s="23"/>
      <c r="N436" s="23"/>
      <c r="O436" s="123"/>
      <c r="AA436" s="136"/>
      <c r="AB436" s="123"/>
    </row>
    <row r="437" spans="1:28" x14ac:dyDescent="0.2">
      <c r="A437" s="23"/>
      <c r="B437" s="30"/>
      <c r="C437" s="30"/>
      <c r="D437" s="147"/>
      <c r="E437" s="147"/>
      <c r="F437" s="30"/>
      <c r="G437" s="30"/>
      <c r="H437" s="30"/>
      <c r="I437" s="30"/>
      <c r="J437" s="30"/>
      <c r="K437" s="30"/>
      <c r="L437" s="30"/>
      <c r="M437" s="23"/>
      <c r="N437" s="23"/>
      <c r="O437" s="123"/>
      <c r="AA437" s="136"/>
      <c r="AB437" s="123"/>
    </row>
    <row r="438" spans="1:28" x14ac:dyDescent="0.2">
      <c r="A438" s="23"/>
      <c r="B438" s="30"/>
      <c r="C438" s="30"/>
      <c r="D438" s="147"/>
      <c r="E438" s="147"/>
      <c r="F438" s="30"/>
      <c r="G438" s="30"/>
      <c r="H438" s="30"/>
      <c r="I438" s="30"/>
      <c r="J438" s="30"/>
      <c r="K438" s="30"/>
      <c r="L438" s="30"/>
      <c r="M438" s="23"/>
      <c r="N438" s="23"/>
      <c r="O438" s="123"/>
      <c r="AA438" s="136"/>
      <c r="AB438" s="123"/>
    </row>
    <row r="439" spans="1:28" x14ac:dyDescent="0.2">
      <c r="A439" s="23"/>
      <c r="B439" s="30"/>
      <c r="C439" s="30"/>
      <c r="D439" s="147"/>
      <c r="E439" s="147"/>
      <c r="F439" s="30"/>
      <c r="G439" s="30"/>
      <c r="H439" s="30"/>
      <c r="I439" s="30"/>
      <c r="J439" s="30"/>
      <c r="K439" s="30"/>
      <c r="L439" s="30"/>
      <c r="M439" s="23"/>
      <c r="N439" s="23"/>
      <c r="O439" s="123"/>
      <c r="AA439" s="136"/>
      <c r="AB439" s="123"/>
    </row>
    <row r="440" spans="1:28" x14ac:dyDescent="0.2">
      <c r="A440" s="23"/>
      <c r="B440" s="30"/>
      <c r="C440" s="30"/>
      <c r="D440" s="147"/>
      <c r="E440" s="147"/>
      <c r="F440" s="30"/>
      <c r="G440" s="30"/>
      <c r="H440" s="30"/>
      <c r="I440" s="30"/>
      <c r="J440" s="30"/>
      <c r="K440" s="30"/>
      <c r="L440" s="30"/>
      <c r="M440" s="23"/>
      <c r="N440" s="23"/>
      <c r="O440" s="123"/>
      <c r="AA440" s="136"/>
      <c r="AB440" s="123"/>
    </row>
    <row r="441" spans="1:28" x14ac:dyDescent="0.2">
      <c r="A441" s="23"/>
      <c r="B441" s="30"/>
      <c r="C441" s="30"/>
      <c r="D441" s="147"/>
      <c r="E441" s="147"/>
      <c r="F441" s="30"/>
      <c r="G441" s="30"/>
      <c r="H441" s="30"/>
      <c r="I441" s="30"/>
      <c r="J441" s="30"/>
      <c r="K441" s="30"/>
      <c r="L441" s="30"/>
      <c r="M441" s="23"/>
      <c r="N441" s="23"/>
      <c r="O441" s="123"/>
      <c r="AA441" s="136"/>
      <c r="AB441" s="123"/>
    </row>
    <row r="442" spans="1:28" x14ac:dyDescent="0.2">
      <c r="A442" s="23"/>
      <c r="B442" s="30"/>
      <c r="C442" s="30"/>
      <c r="D442" s="147"/>
      <c r="E442" s="147"/>
      <c r="F442" s="30"/>
      <c r="G442" s="30"/>
      <c r="H442" s="30"/>
      <c r="I442" s="30"/>
      <c r="J442" s="30"/>
      <c r="K442" s="30"/>
      <c r="L442" s="30"/>
      <c r="M442" s="23"/>
      <c r="N442" s="23"/>
      <c r="O442" s="123"/>
      <c r="AA442" s="136"/>
      <c r="AB442" s="123"/>
    </row>
    <row r="443" spans="1:28" x14ac:dyDescent="0.2">
      <c r="A443" s="23"/>
      <c r="B443" s="30"/>
      <c r="C443" s="30"/>
      <c r="D443" s="147"/>
      <c r="E443" s="147"/>
      <c r="F443" s="30"/>
      <c r="G443" s="30"/>
      <c r="H443" s="30"/>
      <c r="I443" s="30"/>
      <c r="J443" s="30"/>
      <c r="K443" s="30"/>
      <c r="L443" s="30"/>
      <c r="M443" s="23"/>
      <c r="N443" s="23"/>
      <c r="O443" s="123"/>
      <c r="AA443" s="136"/>
      <c r="AB443" s="123"/>
    </row>
    <row r="444" spans="1:28" x14ac:dyDescent="0.2">
      <c r="A444" s="23"/>
      <c r="B444" s="30"/>
      <c r="C444" s="30"/>
      <c r="D444" s="147"/>
      <c r="E444" s="147"/>
      <c r="F444" s="30"/>
      <c r="G444" s="30"/>
      <c r="H444" s="30"/>
      <c r="I444" s="30"/>
      <c r="J444" s="30"/>
      <c r="K444" s="30"/>
      <c r="L444" s="30"/>
      <c r="M444" s="23"/>
      <c r="N444" s="23"/>
      <c r="O444" s="123"/>
      <c r="AA444" s="136"/>
      <c r="AB444" s="123"/>
    </row>
    <row r="445" spans="1:28" x14ac:dyDescent="0.2">
      <c r="A445" s="23"/>
      <c r="B445" s="30"/>
      <c r="C445" s="30"/>
      <c r="D445" s="147"/>
      <c r="E445" s="147"/>
      <c r="F445" s="30"/>
      <c r="G445" s="30"/>
      <c r="H445" s="30"/>
      <c r="I445" s="30"/>
      <c r="J445" s="30"/>
      <c r="K445" s="30"/>
      <c r="L445" s="30"/>
      <c r="M445" s="23"/>
      <c r="N445" s="23"/>
      <c r="O445" s="123"/>
      <c r="AA445" s="136"/>
      <c r="AB445" s="123"/>
    </row>
    <row r="446" spans="1:28" x14ac:dyDescent="0.2">
      <c r="A446" s="23"/>
      <c r="B446" s="30"/>
      <c r="C446" s="30"/>
      <c r="D446" s="147"/>
      <c r="E446" s="147"/>
      <c r="F446" s="30"/>
      <c r="G446" s="30"/>
      <c r="H446" s="30"/>
      <c r="I446" s="30"/>
      <c r="J446" s="30"/>
      <c r="K446" s="30"/>
      <c r="L446" s="30"/>
      <c r="M446" s="23"/>
      <c r="N446" s="23"/>
      <c r="O446" s="123"/>
      <c r="AA446" s="136"/>
      <c r="AB446" s="123"/>
    </row>
    <row r="447" spans="1:28" x14ac:dyDescent="0.2">
      <c r="A447" s="23"/>
      <c r="B447" s="30"/>
      <c r="C447" s="30"/>
      <c r="D447" s="147"/>
      <c r="E447" s="147"/>
      <c r="F447" s="30"/>
      <c r="G447" s="30"/>
      <c r="H447" s="30"/>
      <c r="I447" s="30"/>
      <c r="J447" s="30"/>
      <c r="K447" s="30"/>
      <c r="L447" s="30"/>
      <c r="M447" s="23"/>
      <c r="N447" s="23"/>
      <c r="O447" s="123"/>
      <c r="AA447" s="136"/>
      <c r="AB447" s="123"/>
    </row>
    <row r="448" spans="1:28" x14ac:dyDescent="0.2">
      <c r="A448" s="23"/>
      <c r="B448" s="30"/>
      <c r="C448" s="30"/>
      <c r="D448" s="147"/>
      <c r="E448" s="147"/>
      <c r="F448" s="30"/>
      <c r="G448" s="30"/>
      <c r="H448" s="30"/>
      <c r="I448" s="30"/>
      <c r="J448" s="30"/>
      <c r="K448" s="30"/>
      <c r="L448" s="30"/>
      <c r="M448" s="23"/>
      <c r="N448" s="23"/>
      <c r="O448" s="123"/>
      <c r="AA448" s="136"/>
      <c r="AB448" s="123"/>
    </row>
    <row r="449" spans="1:28" x14ac:dyDescent="0.2">
      <c r="A449" s="23"/>
      <c r="B449" s="30"/>
      <c r="C449" s="30"/>
      <c r="D449" s="147"/>
      <c r="E449" s="147"/>
      <c r="F449" s="30"/>
      <c r="G449" s="30"/>
      <c r="H449" s="30"/>
      <c r="I449" s="30"/>
      <c r="J449" s="30"/>
      <c r="K449" s="30"/>
      <c r="L449" s="30"/>
      <c r="M449" s="23"/>
      <c r="N449" s="23"/>
      <c r="O449" s="123"/>
      <c r="AA449" s="136"/>
      <c r="AB449" s="123"/>
    </row>
    <row r="450" spans="1:28" x14ac:dyDescent="0.2">
      <c r="A450" s="23"/>
      <c r="B450" s="30"/>
      <c r="C450" s="30"/>
      <c r="D450" s="147"/>
      <c r="E450" s="147"/>
      <c r="F450" s="30"/>
      <c r="G450" s="30"/>
      <c r="H450" s="30"/>
      <c r="I450" s="30"/>
      <c r="J450" s="30"/>
      <c r="K450" s="30"/>
      <c r="L450" s="30"/>
      <c r="M450" s="23"/>
      <c r="N450" s="23"/>
      <c r="O450" s="123"/>
      <c r="AA450" s="136"/>
      <c r="AB450" s="123"/>
    </row>
    <row r="451" spans="1:28" x14ac:dyDescent="0.2">
      <c r="A451" s="23"/>
      <c r="B451" s="30"/>
      <c r="C451" s="30"/>
      <c r="D451" s="147"/>
      <c r="E451" s="147"/>
      <c r="F451" s="30"/>
      <c r="G451" s="30"/>
      <c r="H451" s="30"/>
      <c r="I451" s="30"/>
      <c r="J451" s="30"/>
      <c r="K451" s="30"/>
      <c r="L451" s="30"/>
      <c r="M451" s="23"/>
      <c r="N451" s="23"/>
      <c r="O451" s="123"/>
      <c r="AA451" s="136"/>
      <c r="AB451" s="123"/>
    </row>
    <row r="452" spans="1:28" x14ac:dyDescent="0.2">
      <c r="A452" s="23"/>
      <c r="B452" s="30"/>
      <c r="C452" s="30"/>
      <c r="D452" s="147"/>
      <c r="E452" s="147"/>
      <c r="F452" s="30"/>
      <c r="G452" s="30"/>
      <c r="H452" s="30"/>
      <c r="I452" s="30"/>
      <c r="J452" s="30"/>
      <c r="K452" s="30"/>
      <c r="L452" s="30"/>
      <c r="M452" s="23"/>
      <c r="N452" s="23"/>
      <c r="O452" s="123"/>
      <c r="AA452" s="136"/>
      <c r="AB452" s="123"/>
    </row>
    <row r="453" spans="1:28" x14ac:dyDescent="0.2">
      <c r="A453" s="23"/>
      <c r="B453" s="30"/>
      <c r="C453" s="30"/>
      <c r="D453" s="147"/>
      <c r="E453" s="147"/>
      <c r="F453" s="30"/>
      <c r="G453" s="30"/>
      <c r="H453" s="30"/>
      <c r="I453" s="30"/>
      <c r="J453" s="30"/>
      <c r="K453" s="30"/>
      <c r="L453" s="30"/>
      <c r="M453" s="23"/>
      <c r="N453" s="23"/>
      <c r="O453" s="123"/>
      <c r="AA453" s="136"/>
      <c r="AB453" s="123"/>
    </row>
    <row r="454" spans="1:28" x14ac:dyDescent="0.2">
      <c r="A454" s="23"/>
      <c r="B454" s="30"/>
      <c r="C454" s="30"/>
      <c r="D454" s="147"/>
      <c r="E454" s="147"/>
      <c r="F454" s="30"/>
      <c r="G454" s="30"/>
      <c r="H454" s="30"/>
      <c r="I454" s="30"/>
      <c r="J454" s="30"/>
      <c r="K454" s="30"/>
      <c r="L454" s="30"/>
      <c r="M454" s="23"/>
      <c r="N454" s="23"/>
      <c r="O454" s="123"/>
      <c r="AA454" s="136"/>
      <c r="AB454" s="123"/>
    </row>
    <row r="455" spans="1:28" x14ac:dyDescent="0.2">
      <c r="A455" s="23"/>
      <c r="B455" s="30"/>
      <c r="C455" s="30"/>
      <c r="D455" s="147"/>
      <c r="E455" s="147"/>
      <c r="F455" s="30"/>
      <c r="G455" s="30"/>
      <c r="H455" s="30"/>
      <c r="I455" s="30"/>
      <c r="J455" s="30"/>
      <c r="K455" s="30"/>
      <c r="L455" s="30"/>
      <c r="M455" s="23"/>
      <c r="N455" s="23"/>
      <c r="O455" s="123"/>
      <c r="AA455" s="136"/>
      <c r="AB455" s="123"/>
    </row>
    <row r="456" spans="1:28" x14ac:dyDescent="0.2">
      <c r="A456" s="23"/>
      <c r="B456" s="30"/>
      <c r="C456" s="30"/>
      <c r="D456" s="147"/>
      <c r="E456" s="147"/>
      <c r="F456" s="30"/>
      <c r="G456" s="30"/>
      <c r="H456" s="30"/>
      <c r="I456" s="30"/>
      <c r="J456" s="30"/>
      <c r="K456" s="30"/>
      <c r="L456" s="30"/>
      <c r="M456" s="23"/>
      <c r="N456" s="23"/>
      <c r="O456" s="123"/>
      <c r="AA456" s="136"/>
      <c r="AB456" s="123"/>
    </row>
    <row r="457" spans="1:28" x14ac:dyDescent="0.2">
      <c r="A457" s="23"/>
      <c r="B457" s="30"/>
      <c r="C457" s="30"/>
      <c r="D457" s="147"/>
      <c r="E457" s="147"/>
      <c r="F457" s="30"/>
      <c r="G457" s="30"/>
      <c r="H457" s="30"/>
      <c r="I457" s="30"/>
      <c r="J457" s="30"/>
      <c r="K457" s="30"/>
      <c r="L457" s="30"/>
      <c r="M457" s="23"/>
      <c r="N457" s="23"/>
      <c r="O457" s="123"/>
      <c r="AA457" s="136"/>
      <c r="AB457" s="123"/>
    </row>
    <row r="458" spans="1:28" x14ac:dyDescent="0.2">
      <c r="A458" s="23"/>
      <c r="B458" s="30"/>
      <c r="C458" s="30"/>
      <c r="D458" s="147"/>
      <c r="E458" s="147"/>
      <c r="F458" s="30"/>
      <c r="G458" s="30"/>
      <c r="H458" s="30"/>
      <c r="I458" s="30"/>
      <c r="J458" s="30"/>
      <c r="K458" s="30"/>
      <c r="L458" s="30"/>
      <c r="M458" s="23"/>
      <c r="N458" s="23"/>
      <c r="O458" s="123"/>
      <c r="AA458" s="136"/>
      <c r="AB458" s="123"/>
    </row>
    <row r="459" spans="1:28" x14ac:dyDescent="0.2">
      <c r="A459" s="23"/>
      <c r="B459" s="30"/>
      <c r="C459" s="30"/>
      <c r="D459" s="147"/>
      <c r="E459" s="147"/>
      <c r="F459" s="30"/>
      <c r="G459" s="30"/>
      <c r="H459" s="30"/>
      <c r="I459" s="30"/>
      <c r="J459" s="30"/>
      <c r="K459" s="30"/>
      <c r="L459" s="30"/>
      <c r="M459" s="23"/>
      <c r="N459" s="23"/>
      <c r="O459" s="123"/>
      <c r="AA459" s="136"/>
      <c r="AB459" s="123"/>
    </row>
    <row r="460" spans="1:28" x14ac:dyDescent="0.2">
      <c r="A460" s="23"/>
      <c r="B460" s="30"/>
      <c r="C460" s="30"/>
      <c r="D460" s="147"/>
      <c r="E460" s="147"/>
      <c r="F460" s="30"/>
      <c r="G460" s="30"/>
      <c r="H460" s="30"/>
      <c r="I460" s="30"/>
      <c r="J460" s="30"/>
      <c r="K460" s="30"/>
      <c r="L460" s="30"/>
      <c r="M460" s="23"/>
      <c r="N460" s="23"/>
      <c r="O460" s="123"/>
      <c r="AA460" s="136"/>
      <c r="AB460" s="123"/>
    </row>
    <row r="461" spans="1:28" x14ac:dyDescent="0.2">
      <c r="A461" s="23"/>
      <c r="B461" s="30"/>
      <c r="C461" s="30"/>
      <c r="D461" s="147"/>
      <c r="E461" s="147"/>
      <c r="F461" s="30"/>
      <c r="G461" s="30"/>
      <c r="H461" s="30"/>
      <c r="I461" s="30"/>
      <c r="J461" s="30"/>
      <c r="K461" s="30"/>
      <c r="L461" s="30"/>
      <c r="M461" s="23"/>
      <c r="N461" s="23"/>
      <c r="O461" s="123"/>
      <c r="AA461" s="136"/>
      <c r="AB461" s="123"/>
    </row>
    <row r="462" spans="1:28" x14ac:dyDescent="0.2">
      <c r="A462" s="23"/>
      <c r="B462" s="30"/>
      <c r="C462" s="30"/>
      <c r="D462" s="147"/>
      <c r="E462" s="147"/>
      <c r="F462" s="30"/>
      <c r="G462" s="30"/>
      <c r="H462" s="30"/>
      <c r="I462" s="30"/>
      <c r="J462" s="30"/>
      <c r="K462" s="30"/>
      <c r="L462" s="30"/>
      <c r="M462" s="23"/>
      <c r="N462" s="23"/>
      <c r="O462" s="123"/>
      <c r="AA462" s="136"/>
      <c r="AB462" s="123"/>
    </row>
    <row r="463" spans="1:28" x14ac:dyDescent="0.2">
      <c r="A463" s="23"/>
      <c r="B463" s="30"/>
      <c r="C463" s="30"/>
      <c r="D463" s="147"/>
      <c r="E463" s="147"/>
      <c r="F463" s="30"/>
      <c r="G463" s="30"/>
      <c r="H463" s="30"/>
      <c r="I463" s="30"/>
      <c r="J463" s="30"/>
      <c r="K463" s="30"/>
      <c r="L463" s="30"/>
      <c r="M463" s="23"/>
      <c r="N463" s="23"/>
      <c r="O463" s="123"/>
      <c r="AA463" s="136"/>
      <c r="AB463" s="123"/>
    </row>
    <row r="464" spans="1:28" x14ac:dyDescent="0.2">
      <c r="A464" s="23"/>
      <c r="B464" s="30"/>
      <c r="C464" s="30"/>
      <c r="D464" s="147"/>
      <c r="E464" s="147"/>
      <c r="F464" s="30"/>
      <c r="G464" s="30"/>
      <c r="H464" s="30"/>
      <c r="I464" s="30"/>
      <c r="J464" s="30"/>
      <c r="K464" s="30"/>
      <c r="L464" s="30"/>
      <c r="M464" s="23"/>
      <c r="N464" s="23"/>
      <c r="O464" s="123"/>
      <c r="AA464" s="136"/>
      <c r="AB464" s="123"/>
    </row>
    <row r="465" spans="1:28" x14ac:dyDescent="0.2">
      <c r="A465" s="23"/>
      <c r="B465" s="30"/>
      <c r="C465" s="30"/>
      <c r="D465" s="147"/>
      <c r="E465" s="147"/>
      <c r="F465" s="30"/>
      <c r="G465" s="30"/>
      <c r="H465" s="30"/>
      <c r="I465" s="30"/>
      <c r="J465" s="30"/>
      <c r="K465" s="30"/>
      <c r="L465" s="30"/>
      <c r="M465" s="23"/>
      <c r="N465" s="23"/>
      <c r="O465" s="123"/>
      <c r="AA465" s="136"/>
      <c r="AB465" s="123"/>
    </row>
    <row r="466" spans="1:28" x14ac:dyDescent="0.2">
      <c r="A466" s="23"/>
      <c r="B466" s="30"/>
      <c r="C466" s="30"/>
      <c r="D466" s="147"/>
      <c r="E466" s="147"/>
      <c r="F466" s="30"/>
      <c r="G466" s="30"/>
      <c r="H466" s="30"/>
      <c r="I466" s="30"/>
      <c r="J466" s="30"/>
      <c r="K466" s="30"/>
      <c r="L466" s="30"/>
      <c r="M466" s="23"/>
      <c r="N466" s="23"/>
      <c r="O466" s="123"/>
      <c r="AA466" s="136"/>
      <c r="AB466" s="123"/>
    </row>
    <row r="467" spans="1:28" x14ac:dyDescent="0.2">
      <c r="A467" s="23"/>
      <c r="B467" s="30"/>
      <c r="C467" s="30"/>
      <c r="D467" s="147"/>
      <c r="E467" s="147"/>
      <c r="F467" s="30"/>
      <c r="G467" s="30"/>
      <c r="H467" s="30"/>
      <c r="I467" s="30"/>
      <c r="J467" s="30"/>
      <c r="K467" s="30"/>
      <c r="L467" s="30"/>
      <c r="M467" s="23"/>
      <c r="N467" s="23"/>
      <c r="O467" s="123"/>
      <c r="AA467" s="136"/>
      <c r="AB467" s="123"/>
    </row>
    <row r="468" spans="1:28" x14ac:dyDescent="0.2">
      <c r="A468" s="23"/>
      <c r="B468" s="30"/>
      <c r="C468" s="30"/>
      <c r="D468" s="147"/>
      <c r="E468" s="147"/>
      <c r="F468" s="30"/>
      <c r="G468" s="30"/>
      <c r="H468" s="30"/>
      <c r="I468" s="30"/>
      <c r="J468" s="30"/>
      <c r="K468" s="30"/>
      <c r="L468" s="30"/>
      <c r="M468" s="23"/>
      <c r="N468" s="23"/>
      <c r="O468" s="123"/>
      <c r="AA468" s="136"/>
      <c r="AB468" s="123"/>
    </row>
    <row r="469" spans="1:28" x14ac:dyDescent="0.2">
      <c r="A469" s="23"/>
      <c r="B469" s="30"/>
      <c r="C469" s="30"/>
      <c r="D469" s="147"/>
      <c r="E469" s="147"/>
      <c r="F469" s="30"/>
      <c r="G469" s="30"/>
      <c r="H469" s="30"/>
      <c r="I469" s="30"/>
      <c r="J469" s="30"/>
      <c r="K469" s="30"/>
      <c r="L469" s="30"/>
      <c r="M469" s="23"/>
      <c r="N469" s="23"/>
      <c r="O469" s="123"/>
      <c r="AA469" s="136"/>
      <c r="AB469" s="123"/>
    </row>
    <row r="470" spans="1:28" x14ac:dyDescent="0.2">
      <c r="A470" s="23"/>
      <c r="B470" s="30"/>
      <c r="C470" s="30"/>
      <c r="D470" s="147"/>
      <c r="E470" s="147"/>
      <c r="F470" s="30"/>
      <c r="G470" s="30"/>
      <c r="H470" s="30"/>
      <c r="I470" s="30"/>
      <c r="J470" s="30"/>
      <c r="K470" s="30"/>
      <c r="L470" s="30"/>
      <c r="M470" s="23"/>
      <c r="N470" s="23"/>
      <c r="O470" s="123"/>
      <c r="AA470" s="136"/>
      <c r="AB470" s="123"/>
    </row>
    <row r="471" spans="1:28" x14ac:dyDescent="0.2">
      <c r="A471" s="23"/>
      <c r="B471" s="30"/>
      <c r="C471" s="30"/>
      <c r="D471" s="147"/>
      <c r="E471" s="147"/>
      <c r="F471" s="30"/>
      <c r="G471" s="30"/>
      <c r="H471" s="30"/>
      <c r="I471" s="30"/>
      <c r="J471" s="30"/>
      <c r="K471" s="30"/>
      <c r="L471" s="30"/>
      <c r="M471" s="23"/>
      <c r="N471" s="23"/>
      <c r="O471" s="123"/>
      <c r="AA471" s="136"/>
      <c r="AB471" s="123"/>
    </row>
    <row r="472" spans="1:28" x14ac:dyDescent="0.2">
      <c r="A472" s="23"/>
      <c r="B472" s="30"/>
      <c r="C472" s="30"/>
      <c r="D472" s="147"/>
      <c r="E472" s="147"/>
      <c r="F472" s="30"/>
      <c r="G472" s="30"/>
      <c r="H472" s="30"/>
      <c r="I472" s="30"/>
      <c r="J472" s="30"/>
      <c r="K472" s="30"/>
      <c r="L472" s="30"/>
      <c r="M472" s="23"/>
      <c r="N472" s="23"/>
      <c r="O472" s="123"/>
      <c r="AA472" s="136"/>
      <c r="AB472" s="123"/>
    </row>
    <row r="473" spans="1:28" x14ac:dyDescent="0.2">
      <c r="A473" s="23"/>
      <c r="B473" s="30"/>
      <c r="C473" s="30"/>
      <c r="D473" s="147"/>
      <c r="E473" s="147"/>
      <c r="F473" s="30"/>
      <c r="G473" s="30"/>
      <c r="H473" s="30"/>
      <c r="I473" s="30"/>
      <c r="J473" s="30"/>
      <c r="K473" s="30"/>
      <c r="L473" s="30"/>
      <c r="M473" s="23"/>
      <c r="N473" s="23"/>
      <c r="O473" s="123"/>
      <c r="AA473" s="136"/>
      <c r="AB473" s="123"/>
    </row>
    <row r="474" spans="1:28" x14ac:dyDescent="0.2">
      <c r="A474" s="23"/>
      <c r="B474" s="30"/>
      <c r="C474" s="30"/>
      <c r="D474" s="147"/>
      <c r="E474" s="147"/>
      <c r="F474" s="30"/>
      <c r="G474" s="30"/>
      <c r="H474" s="30"/>
      <c r="I474" s="30"/>
      <c r="J474" s="30"/>
      <c r="K474" s="30"/>
      <c r="L474" s="30"/>
      <c r="M474" s="23"/>
      <c r="N474" s="23"/>
      <c r="O474" s="123"/>
      <c r="AA474" s="136"/>
      <c r="AB474" s="123"/>
    </row>
    <row r="475" spans="1:28" x14ac:dyDescent="0.2">
      <c r="A475" s="23"/>
      <c r="B475" s="30"/>
      <c r="C475" s="30"/>
      <c r="D475" s="147"/>
      <c r="E475" s="147"/>
      <c r="F475" s="30"/>
      <c r="G475" s="30"/>
      <c r="H475" s="30"/>
      <c r="I475" s="30"/>
      <c r="J475" s="30"/>
      <c r="K475" s="30"/>
      <c r="L475" s="30"/>
      <c r="M475" s="23"/>
      <c r="N475" s="23"/>
      <c r="O475" s="123"/>
      <c r="AA475" s="136"/>
      <c r="AB475" s="123"/>
    </row>
    <row r="476" spans="1:28" x14ac:dyDescent="0.2">
      <c r="A476" s="23"/>
      <c r="B476" s="30"/>
      <c r="C476" s="30"/>
      <c r="D476" s="147"/>
      <c r="E476" s="147"/>
      <c r="F476" s="30"/>
      <c r="G476" s="30"/>
      <c r="H476" s="30"/>
      <c r="I476" s="30"/>
      <c r="J476" s="30"/>
      <c r="K476" s="30"/>
      <c r="L476" s="30"/>
      <c r="M476" s="23"/>
      <c r="N476" s="23"/>
      <c r="O476" s="123"/>
      <c r="AA476" s="136"/>
      <c r="AB476" s="123"/>
    </row>
    <row r="477" spans="1:28" x14ac:dyDescent="0.2">
      <c r="A477" s="23"/>
      <c r="B477" s="30"/>
      <c r="C477" s="30"/>
      <c r="D477" s="147"/>
      <c r="E477" s="147"/>
      <c r="F477" s="30"/>
      <c r="G477" s="30"/>
      <c r="H477" s="30"/>
      <c r="I477" s="30"/>
      <c r="J477" s="30"/>
      <c r="K477" s="30"/>
      <c r="L477" s="30"/>
      <c r="M477" s="23"/>
      <c r="N477" s="23"/>
      <c r="O477" s="123"/>
      <c r="AA477" s="136"/>
      <c r="AB477" s="123"/>
    </row>
    <row r="478" spans="1:28" x14ac:dyDescent="0.2">
      <c r="A478" s="23"/>
      <c r="B478" s="30"/>
      <c r="C478" s="30"/>
      <c r="D478" s="147"/>
      <c r="E478" s="147"/>
      <c r="F478" s="30"/>
      <c r="G478" s="30"/>
      <c r="H478" s="30"/>
      <c r="I478" s="30"/>
      <c r="J478" s="30"/>
      <c r="K478" s="30"/>
      <c r="L478" s="30"/>
      <c r="M478" s="23"/>
      <c r="N478" s="23"/>
      <c r="O478" s="123"/>
      <c r="AA478" s="136"/>
      <c r="AB478" s="123"/>
    </row>
    <row r="479" spans="1:28" x14ac:dyDescent="0.2">
      <c r="A479" s="23"/>
      <c r="B479" s="30"/>
      <c r="C479" s="30"/>
      <c r="D479" s="147"/>
      <c r="E479" s="147"/>
      <c r="F479" s="30"/>
      <c r="G479" s="30"/>
      <c r="H479" s="30"/>
      <c r="I479" s="30"/>
      <c r="J479" s="30"/>
      <c r="K479" s="30"/>
      <c r="L479" s="30"/>
      <c r="M479" s="23"/>
      <c r="N479" s="23"/>
      <c r="O479" s="123"/>
      <c r="AA479" s="136"/>
      <c r="AB479" s="123"/>
    </row>
    <row r="480" spans="1:28" x14ac:dyDescent="0.2">
      <c r="A480" s="23"/>
      <c r="B480" s="30"/>
      <c r="C480" s="30"/>
      <c r="D480" s="147"/>
      <c r="E480" s="147"/>
      <c r="F480" s="30"/>
      <c r="G480" s="30"/>
      <c r="H480" s="30"/>
      <c r="I480" s="30"/>
      <c r="J480" s="30"/>
      <c r="K480" s="30"/>
      <c r="L480" s="30"/>
      <c r="M480" s="23"/>
      <c r="N480" s="23"/>
      <c r="O480" s="123"/>
      <c r="AA480" s="136"/>
      <c r="AB480" s="123"/>
    </row>
    <row r="481" spans="1:28" x14ac:dyDescent="0.2">
      <c r="A481" s="23"/>
      <c r="B481" s="30"/>
      <c r="C481" s="30"/>
      <c r="D481" s="147"/>
      <c r="E481" s="147"/>
      <c r="F481" s="30"/>
      <c r="G481" s="30"/>
      <c r="H481" s="30"/>
      <c r="I481" s="30"/>
      <c r="J481" s="30"/>
      <c r="K481" s="30"/>
      <c r="L481" s="30"/>
      <c r="M481" s="23"/>
      <c r="N481" s="23"/>
      <c r="O481" s="123"/>
      <c r="AA481" s="136"/>
      <c r="AB481" s="123"/>
    </row>
    <row r="482" spans="1:28" x14ac:dyDescent="0.2">
      <c r="A482" s="23"/>
      <c r="B482" s="30"/>
      <c r="C482" s="30"/>
      <c r="D482" s="147"/>
      <c r="E482" s="147"/>
      <c r="F482" s="30"/>
      <c r="G482" s="30"/>
      <c r="H482" s="30"/>
      <c r="I482" s="30"/>
      <c r="J482" s="30"/>
      <c r="K482" s="30"/>
      <c r="L482" s="30"/>
      <c r="M482" s="23"/>
      <c r="N482" s="23"/>
      <c r="O482" s="123"/>
      <c r="AA482" s="136"/>
      <c r="AB482" s="123"/>
    </row>
    <row r="483" spans="1:28" x14ac:dyDescent="0.2">
      <c r="A483" s="23"/>
      <c r="B483" s="30"/>
      <c r="C483" s="30"/>
      <c r="D483" s="147"/>
      <c r="E483" s="147"/>
      <c r="F483" s="30"/>
      <c r="G483" s="30"/>
      <c r="H483" s="30"/>
      <c r="I483" s="30"/>
      <c r="J483" s="30"/>
      <c r="K483" s="30"/>
      <c r="L483" s="30"/>
      <c r="M483" s="23"/>
      <c r="N483" s="23"/>
      <c r="O483" s="123"/>
      <c r="AA483" s="136"/>
      <c r="AB483" s="123"/>
    </row>
    <row r="484" spans="1:28" x14ac:dyDescent="0.2">
      <c r="A484" s="23"/>
      <c r="B484" s="30"/>
      <c r="C484" s="30"/>
      <c r="D484" s="147"/>
      <c r="E484" s="147"/>
      <c r="F484" s="30"/>
      <c r="G484" s="30"/>
      <c r="H484" s="30"/>
      <c r="I484" s="30"/>
      <c r="J484" s="30"/>
      <c r="K484" s="30"/>
      <c r="L484" s="30"/>
      <c r="M484" s="23"/>
      <c r="N484" s="23"/>
      <c r="O484" s="123"/>
      <c r="AA484" s="136"/>
      <c r="AB484" s="123"/>
    </row>
    <row r="485" spans="1:28" x14ac:dyDescent="0.2">
      <c r="A485" s="23"/>
      <c r="B485" s="30"/>
      <c r="C485" s="30"/>
      <c r="D485" s="147"/>
      <c r="E485" s="147"/>
      <c r="F485" s="30"/>
      <c r="G485" s="30"/>
      <c r="H485" s="30"/>
      <c r="I485" s="30"/>
      <c r="J485" s="30"/>
      <c r="K485" s="30"/>
      <c r="L485" s="30"/>
      <c r="M485" s="23"/>
      <c r="N485" s="23"/>
      <c r="O485" s="123"/>
      <c r="AA485" s="136"/>
      <c r="AB485" s="123"/>
    </row>
    <row r="486" spans="1:28" x14ac:dyDescent="0.2">
      <c r="A486" s="23"/>
      <c r="B486" s="30"/>
      <c r="C486" s="30"/>
      <c r="D486" s="147"/>
      <c r="E486" s="147"/>
      <c r="F486" s="30"/>
      <c r="G486" s="30"/>
      <c r="H486" s="30"/>
      <c r="I486" s="30"/>
      <c r="J486" s="30"/>
      <c r="K486" s="30"/>
      <c r="L486" s="30"/>
      <c r="M486" s="23"/>
      <c r="N486" s="23"/>
      <c r="O486" s="123"/>
      <c r="AA486" s="136"/>
      <c r="AB486" s="123"/>
    </row>
    <row r="487" spans="1:28" x14ac:dyDescent="0.2">
      <c r="A487" s="23"/>
      <c r="B487" s="30"/>
      <c r="C487" s="30"/>
      <c r="D487" s="147"/>
      <c r="E487" s="147"/>
      <c r="F487" s="30"/>
      <c r="G487" s="30"/>
      <c r="H487" s="30"/>
      <c r="I487" s="30"/>
      <c r="J487" s="30"/>
      <c r="K487" s="30"/>
      <c r="L487" s="30"/>
      <c r="M487" s="23"/>
      <c r="N487" s="23"/>
      <c r="O487" s="123"/>
      <c r="AA487" s="136"/>
      <c r="AB487" s="123"/>
    </row>
    <row r="488" spans="1:28" x14ac:dyDescent="0.2">
      <c r="A488" s="23"/>
      <c r="B488" s="30"/>
      <c r="C488" s="30"/>
      <c r="D488" s="147"/>
      <c r="E488" s="147"/>
      <c r="F488" s="30"/>
      <c r="G488" s="30"/>
      <c r="H488" s="30"/>
      <c r="I488" s="30"/>
      <c r="J488" s="30"/>
      <c r="K488" s="30"/>
      <c r="L488" s="30"/>
      <c r="M488" s="23"/>
      <c r="N488" s="23"/>
      <c r="O488" s="123"/>
      <c r="AA488" s="136"/>
      <c r="AB488" s="123"/>
    </row>
    <row r="489" spans="1:28" x14ac:dyDescent="0.2">
      <c r="A489" s="23"/>
      <c r="B489" s="30"/>
      <c r="C489" s="30"/>
      <c r="D489" s="147"/>
      <c r="E489" s="147"/>
      <c r="F489" s="30"/>
      <c r="G489" s="30"/>
      <c r="H489" s="30"/>
      <c r="I489" s="30"/>
      <c r="J489" s="30"/>
      <c r="K489" s="30"/>
      <c r="L489" s="30"/>
      <c r="M489" s="23"/>
      <c r="N489" s="23"/>
      <c r="O489" s="123"/>
      <c r="AA489" s="136"/>
      <c r="AB489" s="123"/>
    </row>
    <row r="490" spans="1:28" x14ac:dyDescent="0.2">
      <c r="A490" s="23"/>
      <c r="B490" s="30"/>
      <c r="C490" s="30"/>
      <c r="D490" s="147"/>
      <c r="E490" s="147"/>
      <c r="F490" s="30"/>
      <c r="G490" s="30"/>
      <c r="H490" s="30"/>
      <c r="I490" s="30"/>
      <c r="J490" s="30"/>
      <c r="K490" s="30"/>
      <c r="L490" s="30"/>
      <c r="M490" s="23"/>
      <c r="N490" s="23"/>
      <c r="O490" s="123"/>
      <c r="AA490" s="136"/>
      <c r="AB490" s="123"/>
    </row>
    <row r="491" spans="1:28" x14ac:dyDescent="0.2">
      <c r="A491" s="23"/>
      <c r="B491" s="30"/>
      <c r="C491" s="30"/>
      <c r="D491" s="147"/>
      <c r="E491" s="147"/>
      <c r="F491" s="30"/>
      <c r="G491" s="30"/>
      <c r="H491" s="30"/>
      <c r="I491" s="30"/>
      <c r="J491" s="30"/>
      <c r="K491" s="30"/>
      <c r="L491" s="30"/>
      <c r="M491" s="23"/>
      <c r="N491" s="23"/>
      <c r="O491" s="123"/>
      <c r="AA491" s="136"/>
      <c r="AB491" s="123"/>
    </row>
    <row r="492" spans="1:28" x14ac:dyDescent="0.2">
      <c r="A492" s="23"/>
      <c r="B492" s="30"/>
      <c r="C492" s="30"/>
      <c r="D492" s="147"/>
      <c r="E492" s="147"/>
      <c r="F492" s="30"/>
      <c r="G492" s="30"/>
      <c r="H492" s="30"/>
      <c r="I492" s="30"/>
      <c r="J492" s="30"/>
      <c r="K492" s="30"/>
      <c r="L492" s="30"/>
      <c r="M492" s="23"/>
      <c r="N492" s="23"/>
      <c r="O492" s="123"/>
      <c r="AA492" s="136"/>
      <c r="AB492" s="123"/>
    </row>
    <row r="493" spans="1:28" x14ac:dyDescent="0.2">
      <c r="A493" s="23"/>
      <c r="B493" s="30"/>
      <c r="C493" s="30"/>
      <c r="D493" s="147"/>
      <c r="E493" s="147"/>
      <c r="F493" s="30"/>
      <c r="G493" s="30"/>
      <c r="H493" s="30"/>
      <c r="I493" s="30"/>
      <c r="J493" s="30"/>
      <c r="K493" s="30"/>
      <c r="L493" s="30"/>
      <c r="M493" s="23"/>
      <c r="N493" s="23"/>
      <c r="O493" s="123"/>
      <c r="AA493" s="136"/>
      <c r="AB493" s="123"/>
    </row>
    <row r="494" spans="1:28" x14ac:dyDescent="0.2">
      <c r="A494" s="23"/>
      <c r="B494" s="30"/>
      <c r="C494" s="30"/>
      <c r="D494" s="147"/>
      <c r="E494" s="147"/>
      <c r="F494" s="30"/>
      <c r="G494" s="30"/>
      <c r="H494" s="30"/>
      <c r="I494" s="30"/>
      <c r="J494" s="30"/>
      <c r="K494" s="30"/>
      <c r="L494" s="30"/>
      <c r="M494" s="23"/>
      <c r="N494" s="23"/>
      <c r="O494" s="123"/>
      <c r="AA494" s="136"/>
      <c r="AB494" s="123"/>
    </row>
    <row r="495" spans="1:28" x14ac:dyDescent="0.2">
      <c r="A495" s="23"/>
      <c r="B495" s="30"/>
      <c r="C495" s="30"/>
      <c r="D495" s="147"/>
      <c r="E495" s="147"/>
      <c r="F495" s="30"/>
      <c r="G495" s="30"/>
      <c r="H495" s="30"/>
      <c r="I495" s="30"/>
      <c r="J495" s="30"/>
      <c r="K495" s="30"/>
      <c r="L495" s="30"/>
      <c r="M495" s="23"/>
      <c r="N495" s="23"/>
      <c r="O495" s="123"/>
      <c r="AA495" s="136"/>
      <c r="AB495" s="123"/>
    </row>
    <row r="496" spans="1:28" x14ac:dyDescent="0.2">
      <c r="A496" s="23"/>
      <c r="B496" s="30"/>
      <c r="C496" s="30"/>
      <c r="D496" s="147"/>
      <c r="E496" s="147"/>
      <c r="F496" s="30"/>
      <c r="G496" s="30"/>
      <c r="H496" s="30"/>
      <c r="I496" s="30"/>
      <c r="J496" s="30"/>
      <c r="K496" s="30"/>
      <c r="L496" s="30"/>
      <c r="M496" s="23"/>
      <c r="N496" s="23"/>
      <c r="O496" s="123"/>
      <c r="AA496" s="136"/>
      <c r="AB496" s="123"/>
    </row>
    <row r="497" spans="1:28" x14ac:dyDescent="0.2">
      <c r="A497" s="23"/>
      <c r="B497" s="30"/>
      <c r="C497" s="30"/>
      <c r="D497" s="147"/>
      <c r="E497" s="147"/>
      <c r="F497" s="30"/>
      <c r="G497" s="30"/>
      <c r="H497" s="30"/>
      <c r="I497" s="30"/>
      <c r="J497" s="30"/>
      <c r="K497" s="30"/>
      <c r="L497" s="30"/>
      <c r="M497" s="23"/>
      <c r="N497" s="23"/>
      <c r="O497" s="123"/>
      <c r="AA497" s="136"/>
      <c r="AB497" s="123"/>
    </row>
    <row r="498" spans="1:28" x14ac:dyDescent="0.2">
      <c r="A498" s="23"/>
      <c r="B498" s="30"/>
      <c r="C498" s="30"/>
      <c r="D498" s="147"/>
      <c r="E498" s="147"/>
      <c r="F498" s="30"/>
      <c r="G498" s="30"/>
      <c r="H498" s="30"/>
      <c r="I498" s="30"/>
      <c r="J498" s="30"/>
      <c r="K498" s="30"/>
      <c r="L498" s="30"/>
      <c r="M498" s="23"/>
      <c r="N498" s="23"/>
      <c r="O498" s="123"/>
      <c r="AA498" s="136"/>
      <c r="AB498" s="123"/>
    </row>
    <row r="499" spans="1:28" x14ac:dyDescent="0.2">
      <c r="A499" s="23"/>
      <c r="B499" s="30"/>
      <c r="C499" s="30"/>
      <c r="D499" s="147"/>
      <c r="E499" s="147"/>
      <c r="F499" s="30"/>
      <c r="G499" s="30"/>
      <c r="H499" s="30"/>
      <c r="I499" s="30"/>
      <c r="J499" s="30"/>
      <c r="K499" s="30"/>
      <c r="L499" s="30"/>
      <c r="M499" s="23"/>
      <c r="N499" s="23"/>
      <c r="O499" s="123"/>
      <c r="AA499" s="136"/>
      <c r="AB499" s="123"/>
    </row>
    <row r="500" spans="1:28" x14ac:dyDescent="0.2">
      <c r="A500" s="23"/>
      <c r="B500" s="30"/>
      <c r="C500" s="30"/>
      <c r="D500" s="147"/>
      <c r="E500" s="147"/>
      <c r="F500" s="30"/>
      <c r="G500" s="30"/>
      <c r="H500" s="30"/>
      <c r="I500" s="30"/>
      <c r="J500" s="30"/>
      <c r="K500" s="30"/>
      <c r="L500" s="30"/>
      <c r="M500" s="23"/>
      <c r="N500" s="23"/>
      <c r="O500" s="123"/>
      <c r="AA500" s="136"/>
      <c r="AB500" s="123"/>
    </row>
    <row r="501" spans="1:28" x14ac:dyDescent="0.2">
      <c r="A501" s="23"/>
      <c r="B501" s="30"/>
      <c r="C501" s="30"/>
      <c r="D501" s="147"/>
      <c r="E501" s="147"/>
      <c r="F501" s="30"/>
      <c r="G501" s="30"/>
      <c r="H501" s="30"/>
      <c r="I501" s="30"/>
      <c r="J501" s="30"/>
      <c r="K501" s="30"/>
      <c r="L501" s="30"/>
      <c r="M501" s="23"/>
      <c r="N501" s="23"/>
      <c r="O501" s="123"/>
      <c r="AA501" s="136"/>
      <c r="AB501" s="123"/>
    </row>
    <row r="502" spans="1:28" x14ac:dyDescent="0.2">
      <c r="A502" s="23"/>
      <c r="B502" s="30"/>
      <c r="C502" s="30"/>
      <c r="D502" s="147"/>
      <c r="E502" s="147"/>
      <c r="F502" s="30"/>
      <c r="G502" s="30"/>
      <c r="H502" s="30"/>
      <c r="I502" s="30"/>
      <c r="J502" s="30"/>
      <c r="K502" s="30"/>
      <c r="L502" s="30"/>
      <c r="M502" s="23"/>
      <c r="N502" s="23"/>
      <c r="O502" s="123"/>
      <c r="AA502" s="136"/>
      <c r="AB502" s="123"/>
    </row>
    <row r="503" spans="1:28" x14ac:dyDescent="0.2">
      <c r="A503" s="23"/>
      <c r="B503" s="30"/>
      <c r="C503" s="30"/>
      <c r="D503" s="147"/>
      <c r="E503" s="147"/>
      <c r="F503" s="30"/>
      <c r="G503" s="30"/>
      <c r="H503" s="30"/>
      <c r="I503" s="30"/>
      <c r="J503" s="30"/>
      <c r="K503" s="30"/>
      <c r="L503" s="30"/>
      <c r="M503" s="23"/>
      <c r="N503" s="23"/>
      <c r="O503" s="123"/>
      <c r="AA503" s="136"/>
      <c r="AB503" s="123"/>
    </row>
    <row r="504" spans="1:28" x14ac:dyDescent="0.2">
      <c r="A504" s="23"/>
      <c r="B504" s="30"/>
      <c r="C504" s="30"/>
      <c r="D504" s="147"/>
      <c r="E504" s="147"/>
      <c r="F504" s="30"/>
      <c r="G504" s="30"/>
      <c r="H504" s="30"/>
      <c r="I504" s="30"/>
      <c r="J504" s="30"/>
      <c r="K504" s="30"/>
      <c r="L504" s="30"/>
      <c r="M504" s="23"/>
      <c r="N504" s="23"/>
      <c r="O504" s="123"/>
      <c r="AA504" s="136"/>
      <c r="AB504" s="123"/>
    </row>
    <row r="505" spans="1:28" x14ac:dyDescent="0.2">
      <c r="A505" s="23"/>
      <c r="B505" s="30"/>
      <c r="C505" s="30"/>
      <c r="D505" s="147"/>
      <c r="E505" s="147"/>
      <c r="F505" s="30"/>
      <c r="G505" s="30"/>
      <c r="H505" s="30"/>
      <c r="I505" s="30"/>
      <c r="J505" s="30"/>
      <c r="K505" s="30"/>
      <c r="L505" s="30"/>
      <c r="M505" s="23"/>
      <c r="N505" s="23"/>
      <c r="O505" s="123"/>
      <c r="AA505" s="136"/>
      <c r="AB505" s="123"/>
    </row>
    <row r="506" spans="1:28" x14ac:dyDescent="0.2">
      <c r="A506" s="23"/>
      <c r="B506" s="30"/>
      <c r="C506" s="30"/>
      <c r="D506" s="147"/>
      <c r="E506" s="147"/>
      <c r="F506" s="30"/>
      <c r="G506" s="30"/>
      <c r="H506" s="30"/>
      <c r="I506" s="30"/>
      <c r="J506" s="30"/>
      <c r="K506" s="30"/>
      <c r="L506" s="30"/>
      <c r="M506" s="23"/>
      <c r="N506" s="23"/>
      <c r="O506" s="123"/>
      <c r="AA506" s="136"/>
      <c r="AB506" s="123"/>
    </row>
    <row r="507" spans="1:28" x14ac:dyDescent="0.2">
      <c r="A507" s="23"/>
      <c r="B507" s="30"/>
      <c r="C507" s="30"/>
      <c r="D507" s="147"/>
      <c r="E507" s="147"/>
      <c r="F507" s="30"/>
      <c r="G507" s="30"/>
      <c r="H507" s="30"/>
      <c r="I507" s="30"/>
      <c r="J507" s="30"/>
      <c r="K507" s="30"/>
      <c r="L507" s="30"/>
      <c r="M507" s="23"/>
      <c r="N507" s="23"/>
      <c r="O507" s="123"/>
      <c r="AA507" s="136"/>
      <c r="AB507" s="123"/>
    </row>
    <row r="508" spans="1:28" x14ac:dyDescent="0.2">
      <c r="A508" s="23"/>
      <c r="B508" s="30"/>
      <c r="C508" s="30"/>
      <c r="D508" s="147"/>
      <c r="E508" s="147"/>
      <c r="F508" s="30"/>
      <c r="G508" s="30"/>
      <c r="H508" s="30"/>
      <c r="I508" s="30"/>
      <c r="J508" s="30"/>
      <c r="K508" s="30"/>
      <c r="L508" s="30"/>
      <c r="M508" s="23"/>
      <c r="N508" s="23"/>
      <c r="O508" s="123"/>
      <c r="AA508" s="136"/>
      <c r="AB508" s="123"/>
    </row>
    <row r="509" spans="1:28" x14ac:dyDescent="0.2">
      <c r="A509" s="23"/>
      <c r="B509" s="30"/>
      <c r="C509" s="30"/>
      <c r="D509" s="147"/>
      <c r="E509" s="147"/>
      <c r="F509" s="30"/>
      <c r="G509" s="30"/>
      <c r="H509" s="30"/>
      <c r="I509" s="30"/>
      <c r="J509" s="30"/>
      <c r="K509" s="30"/>
      <c r="L509" s="30"/>
      <c r="M509" s="23"/>
      <c r="N509" s="23"/>
      <c r="O509" s="123"/>
      <c r="AA509" s="136"/>
      <c r="AB509" s="123"/>
    </row>
    <row r="510" spans="1:28" x14ac:dyDescent="0.2">
      <c r="A510" s="23"/>
      <c r="B510" s="30"/>
      <c r="C510" s="30"/>
      <c r="D510" s="147"/>
      <c r="E510" s="147"/>
      <c r="F510" s="30"/>
      <c r="G510" s="30"/>
      <c r="H510" s="30"/>
      <c r="I510" s="30"/>
      <c r="J510" s="30"/>
      <c r="K510" s="30"/>
      <c r="L510" s="30"/>
      <c r="M510" s="23"/>
      <c r="N510" s="23"/>
      <c r="O510" s="123"/>
      <c r="AA510" s="136"/>
      <c r="AB510" s="123"/>
    </row>
    <row r="511" spans="1:28" x14ac:dyDescent="0.2">
      <c r="A511" s="23"/>
      <c r="B511" s="30"/>
      <c r="C511" s="30"/>
      <c r="D511" s="147"/>
      <c r="E511" s="147"/>
      <c r="F511" s="30"/>
      <c r="G511" s="30"/>
      <c r="H511" s="30"/>
      <c r="I511" s="30"/>
      <c r="J511" s="30"/>
      <c r="K511" s="30"/>
      <c r="L511" s="30"/>
      <c r="M511" s="23"/>
      <c r="N511" s="23"/>
      <c r="O511" s="123"/>
      <c r="AA511" s="136"/>
      <c r="AB511" s="123"/>
    </row>
    <row r="512" spans="1:28" x14ac:dyDescent="0.2">
      <c r="A512" s="23"/>
      <c r="B512" s="30"/>
      <c r="C512" s="30"/>
      <c r="D512" s="147"/>
      <c r="E512" s="147"/>
      <c r="F512" s="30"/>
      <c r="G512" s="30"/>
      <c r="H512" s="30"/>
      <c r="I512" s="30"/>
      <c r="J512" s="30"/>
      <c r="K512" s="30"/>
      <c r="L512" s="30"/>
      <c r="M512" s="23"/>
      <c r="N512" s="23"/>
      <c r="O512" s="123"/>
      <c r="AA512" s="136"/>
      <c r="AB512" s="123"/>
    </row>
    <row r="513" spans="1:28" x14ac:dyDescent="0.2">
      <c r="A513" s="23"/>
      <c r="B513" s="30"/>
      <c r="C513" s="30"/>
      <c r="D513" s="147"/>
      <c r="E513" s="147"/>
      <c r="F513" s="30"/>
      <c r="G513" s="30"/>
      <c r="H513" s="30"/>
      <c r="I513" s="30"/>
      <c r="J513" s="30"/>
      <c r="K513" s="30"/>
      <c r="L513" s="30"/>
      <c r="M513" s="23"/>
      <c r="N513" s="23"/>
      <c r="O513" s="123"/>
      <c r="AA513" s="136"/>
      <c r="AB513" s="123"/>
    </row>
    <row r="514" spans="1:28" x14ac:dyDescent="0.2">
      <c r="A514" s="23"/>
      <c r="B514" s="30"/>
      <c r="C514" s="30"/>
      <c r="D514" s="147"/>
      <c r="E514" s="147"/>
      <c r="F514" s="30"/>
      <c r="G514" s="30"/>
      <c r="H514" s="30"/>
      <c r="I514" s="30"/>
      <c r="J514" s="30"/>
      <c r="K514" s="30"/>
      <c r="L514" s="30"/>
      <c r="M514" s="23"/>
      <c r="N514" s="23"/>
      <c r="O514" s="123"/>
      <c r="AA514" s="136"/>
      <c r="AB514" s="123"/>
    </row>
    <row r="515" spans="1:28" x14ac:dyDescent="0.2">
      <c r="A515" s="23"/>
      <c r="B515" s="30"/>
      <c r="C515" s="30"/>
      <c r="D515" s="147"/>
      <c r="E515" s="147"/>
      <c r="F515" s="30"/>
      <c r="G515" s="30"/>
      <c r="H515" s="30"/>
      <c r="I515" s="30"/>
      <c r="J515" s="30"/>
      <c r="K515" s="30"/>
      <c r="L515" s="30"/>
      <c r="M515" s="23"/>
      <c r="N515" s="23"/>
      <c r="O515" s="123"/>
      <c r="AA515" s="136"/>
      <c r="AB515" s="123"/>
    </row>
    <row r="516" spans="1:28" x14ac:dyDescent="0.2">
      <c r="A516" s="23"/>
      <c r="B516" s="30"/>
      <c r="C516" s="30"/>
      <c r="D516" s="147"/>
      <c r="E516" s="147"/>
      <c r="F516" s="30"/>
      <c r="G516" s="30"/>
      <c r="H516" s="30"/>
      <c r="I516" s="30"/>
      <c r="J516" s="30"/>
      <c r="K516" s="30"/>
      <c r="L516" s="30"/>
      <c r="M516" s="23"/>
      <c r="N516" s="23"/>
      <c r="O516" s="123"/>
      <c r="AA516" s="136"/>
      <c r="AB516" s="123"/>
    </row>
    <row r="517" spans="1:28" x14ac:dyDescent="0.2">
      <c r="A517" s="23"/>
      <c r="B517" s="30"/>
      <c r="C517" s="30"/>
      <c r="D517" s="147"/>
      <c r="E517" s="147"/>
      <c r="F517" s="30"/>
      <c r="G517" s="30"/>
      <c r="H517" s="30"/>
      <c r="I517" s="30"/>
      <c r="J517" s="30"/>
      <c r="K517" s="30"/>
      <c r="L517" s="30"/>
      <c r="M517" s="23"/>
      <c r="N517" s="23"/>
      <c r="O517" s="123"/>
      <c r="AA517" s="136"/>
      <c r="AB517" s="123"/>
    </row>
    <row r="518" spans="1:28" x14ac:dyDescent="0.2">
      <c r="A518" s="23"/>
      <c r="B518" s="30"/>
      <c r="C518" s="30"/>
      <c r="D518" s="147"/>
      <c r="E518" s="147"/>
      <c r="F518" s="30"/>
      <c r="G518" s="30"/>
      <c r="H518" s="30"/>
      <c r="I518" s="30"/>
      <c r="J518" s="30"/>
      <c r="K518" s="30"/>
      <c r="L518" s="30"/>
      <c r="M518" s="23"/>
      <c r="N518" s="23"/>
      <c r="O518" s="123"/>
      <c r="AA518" s="136"/>
      <c r="AB518" s="123"/>
    </row>
    <row r="519" spans="1:28" x14ac:dyDescent="0.2">
      <c r="A519" s="23"/>
      <c r="B519" s="30"/>
      <c r="C519" s="30"/>
      <c r="D519" s="147"/>
      <c r="E519" s="147"/>
      <c r="F519" s="30"/>
      <c r="G519" s="30"/>
      <c r="H519" s="30"/>
      <c r="I519" s="30"/>
      <c r="J519" s="30"/>
      <c r="K519" s="30"/>
      <c r="L519" s="30"/>
      <c r="M519" s="23"/>
      <c r="N519" s="23"/>
      <c r="O519" s="123"/>
      <c r="AA519" s="136"/>
      <c r="AB519" s="123"/>
    </row>
    <row r="520" spans="1:28" x14ac:dyDescent="0.2">
      <c r="A520" s="23"/>
      <c r="B520" s="30"/>
      <c r="C520" s="30"/>
      <c r="D520" s="147"/>
      <c r="E520" s="147"/>
      <c r="F520" s="30"/>
      <c r="G520" s="30"/>
      <c r="H520" s="30"/>
      <c r="I520" s="30"/>
      <c r="J520" s="30"/>
      <c r="K520" s="30"/>
      <c r="L520" s="30"/>
      <c r="M520" s="23"/>
      <c r="N520" s="23"/>
      <c r="O520" s="123"/>
      <c r="AA520" s="136"/>
      <c r="AB520" s="123"/>
    </row>
    <row r="521" spans="1:28" x14ac:dyDescent="0.2">
      <c r="A521" s="23"/>
      <c r="B521" s="30"/>
      <c r="C521" s="30"/>
      <c r="D521" s="147"/>
      <c r="E521" s="147"/>
      <c r="F521" s="30"/>
      <c r="G521" s="30"/>
      <c r="H521" s="30"/>
      <c r="I521" s="30"/>
      <c r="J521" s="30"/>
      <c r="K521" s="30"/>
      <c r="L521" s="30"/>
      <c r="M521" s="23"/>
      <c r="N521" s="23"/>
      <c r="O521" s="123"/>
      <c r="AA521" s="136"/>
      <c r="AB521" s="123"/>
    </row>
    <row r="522" spans="1:28" x14ac:dyDescent="0.2">
      <c r="A522" s="23"/>
      <c r="B522" s="30"/>
      <c r="C522" s="30"/>
      <c r="D522" s="147"/>
      <c r="E522" s="147"/>
      <c r="F522" s="30"/>
      <c r="G522" s="30"/>
      <c r="H522" s="30"/>
      <c r="I522" s="30"/>
      <c r="J522" s="30"/>
      <c r="K522" s="30"/>
      <c r="L522" s="30"/>
      <c r="M522" s="23"/>
      <c r="N522" s="23"/>
      <c r="O522" s="123"/>
      <c r="AA522" s="136"/>
      <c r="AB522" s="123"/>
    </row>
    <row r="523" spans="1:28" x14ac:dyDescent="0.2">
      <c r="A523" s="23"/>
      <c r="B523" s="30"/>
      <c r="C523" s="30"/>
      <c r="D523" s="147"/>
      <c r="E523" s="147"/>
      <c r="F523" s="30"/>
      <c r="G523" s="30"/>
      <c r="H523" s="30"/>
      <c r="I523" s="30"/>
      <c r="J523" s="30"/>
      <c r="K523" s="30"/>
      <c r="L523" s="30"/>
      <c r="M523" s="23"/>
      <c r="N523" s="23"/>
      <c r="O523" s="123"/>
      <c r="AA523" s="136"/>
      <c r="AB523" s="123"/>
    </row>
    <row r="524" spans="1:28" x14ac:dyDescent="0.2">
      <c r="A524" s="23"/>
      <c r="B524" s="30"/>
      <c r="C524" s="30"/>
      <c r="D524" s="147"/>
      <c r="E524" s="147"/>
      <c r="F524" s="30"/>
      <c r="G524" s="30"/>
      <c r="H524" s="30"/>
      <c r="I524" s="30"/>
      <c r="J524" s="30"/>
      <c r="K524" s="30"/>
      <c r="L524" s="30"/>
      <c r="M524" s="23"/>
      <c r="N524" s="23"/>
      <c r="O524" s="123"/>
      <c r="AA524" s="136"/>
      <c r="AB524" s="123"/>
    </row>
    <row r="525" spans="1:28" x14ac:dyDescent="0.2">
      <c r="A525" s="23"/>
      <c r="B525" s="30"/>
      <c r="C525" s="30"/>
      <c r="D525" s="147"/>
      <c r="E525" s="147"/>
      <c r="F525" s="30"/>
      <c r="G525" s="30"/>
      <c r="H525" s="30"/>
      <c r="I525" s="30"/>
      <c r="J525" s="30"/>
      <c r="K525" s="30"/>
      <c r="L525" s="30"/>
      <c r="M525" s="23"/>
      <c r="N525" s="23"/>
      <c r="O525" s="123"/>
      <c r="AA525" s="136"/>
      <c r="AB525" s="123"/>
    </row>
    <row r="526" spans="1:28" x14ac:dyDescent="0.2">
      <c r="A526" s="23"/>
      <c r="B526" s="30"/>
      <c r="C526" s="30"/>
      <c r="D526" s="147"/>
      <c r="E526" s="147"/>
      <c r="F526" s="30"/>
      <c r="G526" s="30"/>
      <c r="H526" s="30"/>
      <c r="I526" s="30"/>
      <c r="J526" s="30"/>
      <c r="K526" s="30"/>
      <c r="L526" s="30"/>
      <c r="M526" s="23"/>
      <c r="N526" s="23"/>
      <c r="O526" s="123"/>
      <c r="AA526" s="136"/>
      <c r="AB526" s="123"/>
    </row>
    <row r="527" spans="1:28" x14ac:dyDescent="0.2">
      <c r="A527" s="23"/>
      <c r="B527" s="30"/>
      <c r="C527" s="30"/>
      <c r="D527" s="147"/>
      <c r="E527" s="147"/>
      <c r="F527" s="30"/>
      <c r="G527" s="30"/>
      <c r="H527" s="30"/>
      <c r="I527" s="30"/>
      <c r="J527" s="30"/>
      <c r="K527" s="30"/>
      <c r="L527" s="30"/>
      <c r="M527" s="23"/>
      <c r="N527" s="23"/>
      <c r="O527" s="123"/>
      <c r="AA527" s="136"/>
      <c r="AB527" s="123"/>
    </row>
    <row r="528" spans="1:28" x14ac:dyDescent="0.2">
      <c r="A528" s="23"/>
      <c r="B528" s="30"/>
      <c r="C528" s="30"/>
      <c r="D528" s="147"/>
      <c r="E528" s="147"/>
      <c r="F528" s="30"/>
      <c r="G528" s="30"/>
      <c r="H528" s="30"/>
      <c r="I528" s="30"/>
      <c r="J528" s="30"/>
      <c r="K528" s="30"/>
      <c r="L528" s="30"/>
      <c r="M528" s="23"/>
      <c r="N528" s="23"/>
      <c r="O528" s="123"/>
      <c r="AA528" s="136"/>
      <c r="AB528" s="123"/>
    </row>
    <row r="529" spans="1:28" x14ac:dyDescent="0.2">
      <c r="A529" s="23"/>
      <c r="B529" s="30"/>
      <c r="C529" s="30"/>
      <c r="D529" s="147"/>
      <c r="E529" s="147"/>
      <c r="F529" s="30"/>
      <c r="G529" s="30"/>
      <c r="H529" s="30"/>
      <c r="I529" s="30"/>
      <c r="J529" s="30"/>
      <c r="K529" s="30"/>
      <c r="L529" s="30"/>
      <c r="M529" s="23"/>
      <c r="N529" s="23"/>
      <c r="O529" s="123"/>
      <c r="AA529" s="136"/>
      <c r="AB529" s="123"/>
    </row>
    <row r="530" spans="1:28" x14ac:dyDescent="0.2">
      <c r="A530" s="23"/>
      <c r="B530" s="30"/>
      <c r="C530" s="30"/>
      <c r="D530" s="147"/>
      <c r="E530" s="147"/>
      <c r="F530" s="30"/>
      <c r="G530" s="30"/>
      <c r="H530" s="30"/>
      <c r="I530" s="30"/>
      <c r="J530" s="30"/>
      <c r="K530" s="30"/>
      <c r="L530" s="30"/>
      <c r="M530" s="23"/>
      <c r="N530" s="23"/>
      <c r="O530" s="123"/>
      <c r="AA530" s="136"/>
      <c r="AB530" s="123"/>
    </row>
    <row r="531" spans="1:28" x14ac:dyDescent="0.2">
      <c r="A531" s="23"/>
      <c r="B531" s="30"/>
      <c r="C531" s="30"/>
      <c r="D531" s="147"/>
      <c r="E531" s="147"/>
      <c r="F531" s="30"/>
      <c r="G531" s="30"/>
      <c r="H531" s="30"/>
      <c r="I531" s="30"/>
      <c r="J531" s="30"/>
      <c r="K531" s="30"/>
      <c r="L531" s="30"/>
      <c r="M531" s="23"/>
      <c r="N531" s="23"/>
      <c r="O531" s="123"/>
      <c r="AA531" s="136"/>
      <c r="AB531" s="123"/>
    </row>
    <row r="532" spans="1:28" x14ac:dyDescent="0.2">
      <c r="A532" s="23"/>
      <c r="B532" s="30"/>
      <c r="C532" s="30"/>
      <c r="D532" s="147"/>
      <c r="E532" s="147"/>
      <c r="F532" s="30"/>
      <c r="G532" s="30"/>
      <c r="H532" s="30"/>
      <c r="I532" s="30"/>
      <c r="J532" s="30"/>
      <c r="K532" s="30"/>
      <c r="L532" s="30"/>
      <c r="M532" s="23"/>
      <c r="N532" s="23"/>
      <c r="O532" s="123"/>
      <c r="AA532" s="136"/>
      <c r="AB532" s="123"/>
    </row>
    <row r="533" spans="1:28" x14ac:dyDescent="0.2">
      <c r="A533" s="23"/>
      <c r="B533" s="30"/>
      <c r="C533" s="30"/>
      <c r="D533" s="147"/>
      <c r="E533" s="147"/>
      <c r="F533" s="30"/>
      <c r="G533" s="30"/>
      <c r="H533" s="30"/>
      <c r="I533" s="30"/>
      <c r="J533" s="30"/>
      <c r="K533" s="30"/>
      <c r="L533" s="30"/>
      <c r="M533" s="23"/>
      <c r="N533" s="23"/>
      <c r="O533" s="123"/>
      <c r="AA533" s="136"/>
      <c r="AB533" s="123"/>
    </row>
    <row r="534" spans="1:28" x14ac:dyDescent="0.2">
      <c r="A534" s="23"/>
      <c r="B534" s="30"/>
      <c r="C534" s="30"/>
      <c r="D534" s="147"/>
      <c r="E534" s="147"/>
      <c r="F534" s="30"/>
      <c r="G534" s="30"/>
      <c r="H534" s="30"/>
      <c r="I534" s="30"/>
      <c r="J534" s="30"/>
      <c r="K534" s="30"/>
      <c r="L534" s="30"/>
      <c r="M534" s="23"/>
      <c r="N534" s="23"/>
      <c r="O534" s="123"/>
      <c r="AA534" s="136"/>
      <c r="AB534" s="123"/>
    </row>
    <row r="535" spans="1:28" x14ac:dyDescent="0.2">
      <c r="A535" s="23"/>
      <c r="B535" s="30"/>
      <c r="C535" s="30"/>
      <c r="D535" s="147"/>
      <c r="E535" s="147"/>
      <c r="F535" s="30"/>
      <c r="G535" s="30"/>
      <c r="H535" s="30"/>
      <c r="I535" s="30"/>
      <c r="J535" s="30"/>
      <c r="K535" s="30"/>
      <c r="L535" s="30"/>
      <c r="M535" s="23"/>
      <c r="N535" s="23"/>
      <c r="O535" s="123"/>
      <c r="AA535" s="136"/>
      <c r="AB535" s="123"/>
    </row>
    <row r="536" spans="1:28" x14ac:dyDescent="0.2">
      <c r="A536" s="23"/>
      <c r="B536" s="30"/>
      <c r="C536" s="30"/>
      <c r="D536" s="147"/>
      <c r="E536" s="147"/>
      <c r="F536" s="30"/>
      <c r="G536" s="30"/>
      <c r="H536" s="30"/>
      <c r="I536" s="30"/>
      <c r="J536" s="30"/>
      <c r="K536" s="30"/>
      <c r="L536" s="30"/>
      <c r="M536" s="23"/>
      <c r="N536" s="23"/>
      <c r="O536" s="123"/>
      <c r="AA536" s="136"/>
      <c r="AB536" s="123"/>
    </row>
    <row r="537" spans="1:28" x14ac:dyDescent="0.2">
      <c r="A537" s="23"/>
      <c r="B537" s="30"/>
      <c r="C537" s="30"/>
      <c r="D537" s="147"/>
      <c r="E537" s="147"/>
      <c r="F537" s="30"/>
      <c r="G537" s="30"/>
      <c r="H537" s="30"/>
      <c r="I537" s="30"/>
      <c r="J537" s="30"/>
      <c r="K537" s="30"/>
      <c r="L537" s="30"/>
      <c r="M537" s="23"/>
      <c r="N537" s="23"/>
      <c r="O537" s="123"/>
      <c r="AA537" s="136"/>
      <c r="AB537" s="123"/>
    </row>
    <row r="538" spans="1:28" x14ac:dyDescent="0.2">
      <c r="A538" s="23"/>
      <c r="B538" s="30"/>
      <c r="C538" s="30"/>
      <c r="D538" s="147"/>
      <c r="E538" s="147"/>
      <c r="F538" s="30"/>
      <c r="G538" s="30"/>
      <c r="H538" s="30"/>
      <c r="I538" s="30"/>
      <c r="J538" s="30"/>
      <c r="K538" s="30"/>
      <c r="L538" s="30"/>
      <c r="M538" s="23"/>
      <c r="N538" s="23"/>
      <c r="O538" s="123"/>
      <c r="AA538" s="136"/>
      <c r="AB538" s="123"/>
    </row>
    <row r="539" spans="1:28" x14ac:dyDescent="0.2">
      <c r="A539" s="23"/>
      <c r="B539" s="30"/>
      <c r="C539" s="30"/>
      <c r="D539" s="147"/>
      <c r="E539" s="147"/>
      <c r="F539" s="30"/>
      <c r="G539" s="30"/>
      <c r="H539" s="30"/>
      <c r="I539" s="30"/>
      <c r="J539" s="30"/>
      <c r="K539" s="30"/>
      <c r="L539" s="30"/>
      <c r="M539" s="23"/>
      <c r="N539" s="23"/>
      <c r="O539" s="123"/>
      <c r="AA539" s="136"/>
      <c r="AB539" s="123"/>
    </row>
    <row r="540" spans="1:28" x14ac:dyDescent="0.2">
      <c r="A540" s="23"/>
      <c r="B540" s="30"/>
      <c r="C540" s="30"/>
      <c r="D540" s="147"/>
      <c r="E540" s="147"/>
      <c r="F540" s="30"/>
      <c r="G540" s="30"/>
      <c r="H540" s="30"/>
      <c r="I540" s="30"/>
      <c r="J540" s="30"/>
      <c r="K540" s="30"/>
      <c r="L540" s="30"/>
      <c r="M540" s="23"/>
      <c r="N540" s="23"/>
      <c r="O540" s="123"/>
      <c r="AA540" s="136"/>
      <c r="AB540" s="123"/>
    </row>
    <row r="541" spans="1:28" x14ac:dyDescent="0.2">
      <c r="A541" s="23"/>
      <c r="B541" s="30"/>
      <c r="C541" s="30"/>
      <c r="D541" s="147"/>
      <c r="E541" s="147"/>
      <c r="F541" s="30"/>
      <c r="G541" s="30"/>
      <c r="H541" s="30"/>
      <c r="I541" s="30"/>
      <c r="J541" s="30"/>
      <c r="K541" s="30"/>
      <c r="L541" s="30"/>
      <c r="M541" s="23"/>
      <c r="N541" s="23"/>
      <c r="O541" s="123"/>
      <c r="AA541" s="136"/>
      <c r="AB541" s="123"/>
    </row>
    <row r="542" spans="1:28" x14ac:dyDescent="0.2">
      <c r="A542" s="23"/>
      <c r="B542" s="30"/>
      <c r="C542" s="30"/>
      <c r="D542" s="147"/>
      <c r="E542" s="147"/>
      <c r="F542" s="30"/>
      <c r="G542" s="30"/>
      <c r="H542" s="30"/>
      <c r="I542" s="30"/>
      <c r="J542" s="30"/>
      <c r="K542" s="30"/>
      <c r="L542" s="30"/>
      <c r="M542" s="23"/>
      <c r="N542" s="23"/>
      <c r="O542" s="123"/>
      <c r="AA542" s="136"/>
      <c r="AB542" s="123"/>
    </row>
    <row r="543" spans="1:28" x14ac:dyDescent="0.2">
      <c r="A543" s="23"/>
      <c r="B543" s="30"/>
      <c r="C543" s="30"/>
      <c r="D543" s="147"/>
      <c r="E543" s="147"/>
      <c r="F543" s="30"/>
      <c r="G543" s="30"/>
      <c r="H543" s="30"/>
      <c r="I543" s="30"/>
      <c r="J543" s="30"/>
      <c r="K543" s="30"/>
      <c r="L543" s="30"/>
      <c r="M543" s="23"/>
      <c r="N543" s="23"/>
      <c r="O543" s="123"/>
      <c r="AA543" s="136"/>
      <c r="AB543" s="123"/>
    </row>
    <row r="544" spans="1:28" x14ac:dyDescent="0.2">
      <c r="A544" s="23"/>
      <c r="B544" s="30"/>
      <c r="C544" s="30"/>
      <c r="D544" s="147"/>
      <c r="E544" s="147"/>
      <c r="F544" s="30"/>
      <c r="G544" s="30"/>
      <c r="H544" s="30"/>
      <c r="I544" s="30"/>
      <c r="J544" s="30"/>
      <c r="K544" s="30"/>
      <c r="L544" s="30"/>
      <c r="M544" s="23"/>
      <c r="N544" s="23"/>
      <c r="O544" s="123"/>
      <c r="AA544" s="136"/>
      <c r="AB544" s="123"/>
    </row>
    <row r="545" spans="1:28" x14ac:dyDescent="0.2">
      <c r="A545" s="23"/>
      <c r="B545" s="30"/>
      <c r="C545" s="30"/>
      <c r="D545" s="147"/>
      <c r="E545" s="147"/>
      <c r="F545" s="30"/>
      <c r="G545" s="30"/>
      <c r="H545" s="30"/>
      <c r="I545" s="30"/>
      <c r="J545" s="30"/>
      <c r="K545" s="30"/>
      <c r="L545" s="30"/>
      <c r="M545" s="23"/>
      <c r="N545" s="23"/>
      <c r="O545" s="123"/>
      <c r="AA545" s="136"/>
      <c r="AB545" s="123"/>
    </row>
    <row r="546" spans="1:28" x14ac:dyDescent="0.2">
      <c r="A546" s="23"/>
      <c r="B546" s="30"/>
      <c r="C546" s="30"/>
      <c r="D546" s="147"/>
      <c r="E546" s="147"/>
      <c r="F546" s="30"/>
      <c r="G546" s="30"/>
      <c r="H546" s="30"/>
      <c r="I546" s="30"/>
      <c r="J546" s="30"/>
      <c r="K546" s="30"/>
      <c r="L546" s="30"/>
      <c r="M546" s="23"/>
      <c r="N546" s="23"/>
      <c r="O546" s="123"/>
      <c r="AA546" s="136"/>
      <c r="AB546" s="123"/>
    </row>
    <row r="547" spans="1:28" x14ac:dyDescent="0.2">
      <c r="A547" s="23"/>
      <c r="B547" s="30"/>
      <c r="C547" s="30"/>
      <c r="D547" s="147"/>
      <c r="E547" s="147"/>
      <c r="F547" s="30"/>
      <c r="G547" s="30"/>
      <c r="H547" s="30"/>
      <c r="I547" s="30"/>
      <c r="J547" s="30"/>
      <c r="K547" s="30"/>
      <c r="L547" s="30"/>
      <c r="M547" s="23"/>
      <c r="N547" s="23"/>
      <c r="O547" s="123"/>
      <c r="AA547" s="136"/>
      <c r="AB547" s="123"/>
    </row>
    <row r="548" spans="1:28" x14ac:dyDescent="0.2">
      <c r="A548" s="23"/>
      <c r="B548" s="30"/>
      <c r="C548" s="30"/>
      <c r="D548" s="147"/>
      <c r="E548" s="147"/>
      <c r="F548" s="30"/>
      <c r="G548" s="30"/>
      <c r="H548" s="30"/>
      <c r="I548" s="30"/>
      <c r="J548" s="30"/>
      <c r="K548" s="30"/>
      <c r="L548" s="30"/>
      <c r="M548" s="23"/>
      <c r="N548" s="23"/>
      <c r="O548" s="123"/>
      <c r="AA548" s="136"/>
      <c r="AB548" s="123"/>
    </row>
    <row r="549" spans="1:28" x14ac:dyDescent="0.2">
      <c r="A549" s="23"/>
      <c r="B549" s="30"/>
      <c r="C549" s="30"/>
      <c r="D549" s="147"/>
      <c r="E549" s="147"/>
      <c r="F549" s="30"/>
      <c r="G549" s="30"/>
      <c r="H549" s="30"/>
      <c r="I549" s="30"/>
      <c r="J549" s="30"/>
      <c r="K549" s="30"/>
      <c r="L549" s="30"/>
      <c r="M549" s="23"/>
      <c r="N549" s="23"/>
      <c r="O549" s="123"/>
      <c r="AA549" s="136"/>
      <c r="AB549" s="123"/>
    </row>
    <row r="550" spans="1:28" x14ac:dyDescent="0.2">
      <c r="A550" s="23"/>
      <c r="B550" s="30"/>
      <c r="C550" s="30"/>
      <c r="D550" s="147"/>
      <c r="E550" s="147"/>
      <c r="F550" s="30"/>
      <c r="G550" s="30"/>
      <c r="H550" s="30"/>
      <c r="I550" s="30"/>
      <c r="J550" s="30"/>
      <c r="K550" s="30"/>
      <c r="L550" s="30"/>
      <c r="M550" s="23"/>
      <c r="N550" s="23"/>
      <c r="O550" s="123"/>
      <c r="AA550" s="136"/>
      <c r="AB550" s="123"/>
    </row>
    <row r="551" spans="1:28" x14ac:dyDescent="0.2">
      <c r="A551" s="23"/>
      <c r="B551" s="30"/>
      <c r="C551" s="30"/>
      <c r="D551" s="147"/>
      <c r="E551" s="147"/>
      <c r="F551" s="30"/>
      <c r="G551" s="30"/>
      <c r="H551" s="30"/>
      <c r="I551" s="30"/>
      <c r="J551" s="30"/>
      <c r="K551" s="30"/>
      <c r="L551" s="30"/>
      <c r="M551" s="23"/>
      <c r="N551" s="23"/>
      <c r="O551" s="123"/>
      <c r="AA551" s="136"/>
      <c r="AB551" s="123"/>
    </row>
    <row r="552" spans="1:28" x14ac:dyDescent="0.2">
      <c r="A552" s="23"/>
      <c r="B552" s="30"/>
      <c r="C552" s="30"/>
      <c r="D552" s="147"/>
      <c r="E552" s="147"/>
      <c r="F552" s="30"/>
      <c r="G552" s="30"/>
      <c r="H552" s="30"/>
      <c r="I552" s="30"/>
      <c r="J552" s="30"/>
      <c r="K552" s="30"/>
      <c r="L552" s="30"/>
      <c r="M552" s="23"/>
      <c r="N552" s="23"/>
      <c r="O552" s="123"/>
      <c r="AA552" s="136"/>
      <c r="AB552" s="123"/>
    </row>
    <row r="553" spans="1:28" x14ac:dyDescent="0.2">
      <c r="A553" s="23"/>
      <c r="B553" s="30"/>
      <c r="C553" s="30"/>
      <c r="D553" s="147"/>
      <c r="E553" s="147"/>
      <c r="F553" s="30"/>
      <c r="G553" s="30"/>
      <c r="H553" s="30"/>
      <c r="I553" s="30"/>
      <c r="J553" s="30"/>
      <c r="K553" s="30"/>
      <c r="L553" s="30"/>
      <c r="M553" s="23"/>
      <c r="N553" s="23"/>
      <c r="O553" s="123"/>
      <c r="AA553" s="136"/>
      <c r="AB553" s="123"/>
    </row>
    <row r="554" spans="1:28" x14ac:dyDescent="0.2">
      <c r="A554" s="23"/>
      <c r="B554" s="30"/>
      <c r="C554" s="30"/>
      <c r="D554" s="147"/>
      <c r="E554" s="147"/>
      <c r="F554" s="30"/>
      <c r="G554" s="30"/>
      <c r="H554" s="30"/>
      <c r="I554" s="30"/>
      <c r="J554" s="30"/>
      <c r="K554" s="30"/>
      <c r="L554" s="30"/>
      <c r="M554" s="23"/>
      <c r="N554" s="23"/>
      <c r="O554" s="123"/>
      <c r="AA554" s="136"/>
      <c r="AB554" s="123"/>
    </row>
    <row r="555" spans="1:28" x14ac:dyDescent="0.2">
      <c r="A555" s="23"/>
      <c r="B555" s="30"/>
      <c r="C555" s="30"/>
      <c r="D555" s="147"/>
      <c r="E555" s="147"/>
      <c r="F555" s="30"/>
      <c r="G555" s="30"/>
      <c r="H555" s="30"/>
      <c r="I555" s="30"/>
      <c r="J555" s="30"/>
      <c r="K555" s="30"/>
      <c r="L555" s="30"/>
      <c r="M555" s="23"/>
      <c r="N555" s="23"/>
      <c r="O555" s="123"/>
      <c r="AA555" s="136"/>
      <c r="AB555" s="123"/>
    </row>
    <row r="556" spans="1:28" x14ac:dyDescent="0.2">
      <c r="A556" s="23"/>
      <c r="B556" s="30"/>
      <c r="C556" s="30"/>
      <c r="D556" s="147"/>
      <c r="E556" s="147"/>
      <c r="F556" s="30"/>
      <c r="G556" s="30"/>
      <c r="H556" s="30"/>
      <c r="I556" s="30"/>
      <c r="J556" s="30"/>
      <c r="K556" s="30"/>
      <c r="L556" s="30"/>
      <c r="M556" s="23"/>
      <c r="N556" s="23"/>
      <c r="O556" s="123"/>
      <c r="AA556" s="136"/>
      <c r="AB556" s="123"/>
    </row>
    <row r="557" spans="1:28" x14ac:dyDescent="0.2">
      <c r="A557" s="23"/>
      <c r="B557" s="30"/>
      <c r="C557" s="30"/>
      <c r="D557" s="147"/>
      <c r="E557" s="147"/>
      <c r="F557" s="30"/>
      <c r="G557" s="30"/>
      <c r="H557" s="30"/>
      <c r="I557" s="30"/>
      <c r="J557" s="30"/>
      <c r="K557" s="30"/>
      <c r="L557" s="30"/>
      <c r="M557" s="23"/>
      <c r="N557" s="23"/>
      <c r="O557" s="123"/>
      <c r="AA557" s="136"/>
      <c r="AB557" s="123"/>
    </row>
    <row r="558" spans="1:28" x14ac:dyDescent="0.2">
      <c r="A558" s="23"/>
      <c r="B558" s="30"/>
      <c r="C558" s="30"/>
      <c r="D558" s="147"/>
      <c r="E558" s="147"/>
      <c r="F558" s="30"/>
      <c r="G558" s="30"/>
      <c r="H558" s="30"/>
      <c r="I558" s="30"/>
      <c r="J558" s="30"/>
      <c r="K558" s="30"/>
      <c r="L558" s="30"/>
      <c r="M558" s="23"/>
      <c r="N558" s="23"/>
      <c r="O558" s="123"/>
      <c r="AA558" s="136"/>
      <c r="AB558" s="123"/>
    </row>
    <row r="559" spans="1:28" x14ac:dyDescent="0.2">
      <c r="A559" s="23"/>
      <c r="B559" s="30"/>
      <c r="C559" s="30"/>
      <c r="D559" s="147"/>
      <c r="E559" s="147"/>
      <c r="F559" s="30"/>
      <c r="G559" s="30"/>
      <c r="H559" s="30"/>
      <c r="I559" s="30"/>
      <c r="J559" s="30"/>
      <c r="K559" s="30"/>
      <c r="L559" s="30"/>
      <c r="M559" s="23"/>
      <c r="N559" s="23"/>
      <c r="O559" s="123"/>
      <c r="AA559" s="136"/>
      <c r="AB559" s="123"/>
    </row>
    <row r="560" spans="1:28" x14ac:dyDescent="0.2">
      <c r="A560" s="23"/>
      <c r="B560" s="30"/>
      <c r="C560" s="30"/>
      <c r="D560" s="147"/>
      <c r="E560" s="147"/>
      <c r="F560" s="30"/>
      <c r="G560" s="30"/>
      <c r="H560" s="30"/>
      <c r="I560" s="30"/>
      <c r="J560" s="30"/>
      <c r="K560" s="30"/>
      <c r="L560" s="30"/>
      <c r="M560" s="23"/>
      <c r="N560" s="23"/>
      <c r="O560" s="123"/>
      <c r="AA560" s="136"/>
      <c r="AB560" s="123"/>
    </row>
    <row r="561" spans="1:28" x14ac:dyDescent="0.2">
      <c r="A561" s="23"/>
      <c r="B561" s="30"/>
      <c r="C561" s="30"/>
      <c r="D561" s="147"/>
      <c r="E561" s="147"/>
      <c r="F561" s="30"/>
      <c r="G561" s="30"/>
      <c r="H561" s="30"/>
      <c r="I561" s="30"/>
      <c r="J561" s="30"/>
      <c r="K561" s="30"/>
      <c r="L561" s="30"/>
      <c r="M561" s="23"/>
      <c r="N561" s="23"/>
      <c r="O561" s="123"/>
      <c r="AA561" s="136"/>
      <c r="AB561" s="123"/>
    </row>
    <row r="562" spans="1:28" x14ac:dyDescent="0.2">
      <c r="A562" s="23"/>
      <c r="B562" s="30"/>
      <c r="C562" s="30"/>
      <c r="D562" s="147"/>
      <c r="E562" s="147"/>
      <c r="F562" s="30"/>
      <c r="G562" s="30"/>
      <c r="H562" s="30"/>
      <c r="I562" s="30"/>
      <c r="J562" s="30"/>
      <c r="K562" s="30"/>
      <c r="L562" s="30"/>
      <c r="M562" s="23"/>
      <c r="N562" s="23"/>
      <c r="O562" s="123"/>
      <c r="AA562" s="136"/>
      <c r="AB562" s="123"/>
    </row>
    <row r="563" spans="1:28" x14ac:dyDescent="0.2">
      <c r="A563" s="23"/>
      <c r="B563" s="30"/>
      <c r="C563" s="30"/>
      <c r="D563" s="147"/>
      <c r="E563" s="147"/>
      <c r="F563" s="30"/>
      <c r="G563" s="30"/>
      <c r="H563" s="30"/>
      <c r="I563" s="30"/>
      <c r="J563" s="30"/>
      <c r="K563" s="30"/>
      <c r="L563" s="30"/>
      <c r="M563" s="23"/>
      <c r="N563" s="23"/>
      <c r="O563" s="123"/>
      <c r="AA563" s="136"/>
      <c r="AB563" s="123"/>
    </row>
    <row r="564" spans="1:28" x14ac:dyDescent="0.2">
      <c r="A564" s="23"/>
      <c r="B564" s="30"/>
      <c r="C564" s="30"/>
      <c r="D564" s="147"/>
      <c r="E564" s="147"/>
      <c r="F564" s="30"/>
      <c r="G564" s="30"/>
      <c r="H564" s="30"/>
      <c r="I564" s="30"/>
      <c r="J564" s="30"/>
      <c r="K564" s="30"/>
      <c r="L564" s="30"/>
      <c r="M564" s="23"/>
      <c r="N564" s="23"/>
      <c r="O564" s="123"/>
      <c r="AA564" s="136"/>
      <c r="AB564" s="123"/>
    </row>
    <row r="565" spans="1:28" x14ac:dyDescent="0.2">
      <c r="A565" s="23"/>
      <c r="B565" s="30"/>
      <c r="C565" s="30"/>
      <c r="D565" s="147"/>
      <c r="E565" s="147"/>
      <c r="F565" s="30"/>
      <c r="G565" s="30"/>
      <c r="H565" s="30"/>
      <c r="I565" s="30"/>
      <c r="J565" s="30"/>
      <c r="K565" s="30"/>
      <c r="L565" s="30"/>
      <c r="M565" s="23"/>
      <c r="N565" s="23"/>
      <c r="O565" s="123"/>
      <c r="AA565" s="136"/>
      <c r="AB565" s="123"/>
    </row>
    <row r="566" spans="1:28" x14ac:dyDescent="0.2">
      <c r="A566" s="23"/>
      <c r="B566" s="30"/>
      <c r="C566" s="30"/>
      <c r="D566" s="147"/>
      <c r="E566" s="147"/>
      <c r="F566" s="30"/>
      <c r="G566" s="30"/>
      <c r="H566" s="30"/>
      <c r="I566" s="30"/>
      <c r="J566" s="30"/>
      <c r="K566" s="30"/>
      <c r="L566" s="30"/>
      <c r="M566" s="23"/>
      <c r="N566" s="23"/>
      <c r="O566" s="123"/>
      <c r="AA566" s="136"/>
      <c r="AB566" s="123"/>
    </row>
    <row r="567" spans="1:28" x14ac:dyDescent="0.2">
      <c r="A567" s="23"/>
      <c r="B567" s="30"/>
      <c r="C567" s="30"/>
      <c r="D567" s="147"/>
      <c r="E567" s="147"/>
      <c r="F567" s="30"/>
      <c r="G567" s="30"/>
      <c r="H567" s="30"/>
      <c r="I567" s="30"/>
      <c r="J567" s="30"/>
      <c r="K567" s="30"/>
      <c r="L567" s="30"/>
      <c r="M567" s="23"/>
      <c r="N567" s="23"/>
      <c r="O567" s="123"/>
      <c r="AA567" s="136"/>
      <c r="AB567" s="123"/>
    </row>
    <row r="568" spans="1:28" x14ac:dyDescent="0.2">
      <c r="A568" s="23"/>
      <c r="B568" s="30"/>
      <c r="C568" s="30"/>
      <c r="D568" s="147"/>
      <c r="E568" s="147"/>
      <c r="F568" s="30"/>
      <c r="G568" s="30"/>
      <c r="H568" s="30"/>
      <c r="I568" s="30"/>
      <c r="J568" s="30"/>
      <c r="K568" s="30"/>
      <c r="L568" s="30"/>
      <c r="M568" s="23"/>
      <c r="N568" s="23"/>
      <c r="O568" s="123"/>
      <c r="AA568" s="136"/>
      <c r="AB568" s="123"/>
    </row>
    <row r="569" spans="1:28" x14ac:dyDescent="0.2">
      <c r="A569" s="23"/>
      <c r="B569" s="30"/>
      <c r="C569" s="30"/>
      <c r="D569" s="147"/>
      <c r="E569" s="147"/>
      <c r="F569" s="30"/>
      <c r="G569" s="30"/>
      <c r="H569" s="30"/>
      <c r="I569" s="30"/>
      <c r="J569" s="30"/>
      <c r="K569" s="30"/>
      <c r="L569" s="30"/>
      <c r="M569" s="23"/>
      <c r="N569" s="23"/>
      <c r="O569" s="123"/>
      <c r="AA569" s="136"/>
      <c r="AB569" s="123"/>
    </row>
    <row r="570" spans="1:28" x14ac:dyDescent="0.2">
      <c r="A570" s="23"/>
      <c r="B570" s="30"/>
      <c r="C570" s="30"/>
      <c r="D570" s="147"/>
      <c r="E570" s="147"/>
      <c r="F570" s="30"/>
      <c r="G570" s="30"/>
      <c r="H570" s="30"/>
      <c r="I570" s="30"/>
      <c r="J570" s="30"/>
      <c r="K570" s="30"/>
      <c r="L570" s="30"/>
      <c r="M570" s="23"/>
      <c r="N570" s="23"/>
      <c r="O570" s="123"/>
      <c r="AA570" s="136"/>
      <c r="AB570" s="123"/>
    </row>
    <row r="571" spans="1:28" x14ac:dyDescent="0.2">
      <c r="A571" s="23"/>
      <c r="B571" s="30"/>
      <c r="C571" s="30"/>
      <c r="D571" s="147"/>
      <c r="E571" s="147"/>
      <c r="F571" s="30"/>
      <c r="G571" s="30"/>
      <c r="H571" s="30"/>
      <c r="I571" s="30"/>
      <c r="J571" s="30"/>
      <c r="K571" s="30"/>
      <c r="L571" s="30"/>
      <c r="M571" s="23"/>
      <c r="N571" s="23"/>
      <c r="O571" s="123"/>
      <c r="AA571" s="136"/>
      <c r="AB571" s="123"/>
    </row>
    <row r="572" spans="1:28" x14ac:dyDescent="0.2">
      <c r="A572" s="23"/>
      <c r="B572" s="30"/>
      <c r="C572" s="30"/>
      <c r="D572" s="147"/>
      <c r="E572" s="147"/>
      <c r="F572" s="30"/>
      <c r="G572" s="30"/>
      <c r="H572" s="30"/>
      <c r="I572" s="30"/>
      <c r="J572" s="30"/>
      <c r="K572" s="30"/>
      <c r="L572" s="30"/>
      <c r="M572" s="23"/>
      <c r="N572" s="23"/>
      <c r="O572" s="123"/>
      <c r="AA572" s="136"/>
      <c r="AB572" s="123"/>
    </row>
    <row r="573" spans="1:28" x14ac:dyDescent="0.2">
      <c r="A573" s="23"/>
      <c r="B573" s="30"/>
      <c r="C573" s="30"/>
      <c r="D573" s="147"/>
      <c r="E573" s="147"/>
      <c r="F573" s="30"/>
      <c r="G573" s="30"/>
      <c r="H573" s="30"/>
      <c r="I573" s="30"/>
      <c r="J573" s="30"/>
      <c r="K573" s="30"/>
      <c r="L573" s="30"/>
      <c r="M573" s="23"/>
      <c r="N573" s="23"/>
      <c r="O573" s="123"/>
      <c r="AA573" s="136"/>
      <c r="AB573" s="123"/>
    </row>
    <row r="574" spans="1:28" x14ac:dyDescent="0.2">
      <c r="A574" s="23"/>
      <c r="B574" s="30"/>
      <c r="C574" s="30"/>
      <c r="D574" s="147"/>
      <c r="E574" s="147"/>
      <c r="F574" s="30"/>
      <c r="G574" s="30"/>
      <c r="H574" s="30"/>
      <c r="I574" s="30"/>
      <c r="J574" s="30"/>
      <c r="K574" s="30"/>
      <c r="L574" s="30"/>
      <c r="M574" s="23"/>
      <c r="N574" s="23"/>
      <c r="O574" s="123"/>
      <c r="AA574" s="136"/>
      <c r="AB574" s="123"/>
    </row>
    <row r="575" spans="1:28" x14ac:dyDescent="0.2">
      <c r="A575" s="23"/>
      <c r="B575" s="30"/>
      <c r="C575" s="30"/>
      <c r="D575" s="147"/>
      <c r="E575" s="147"/>
      <c r="F575" s="30"/>
      <c r="G575" s="30"/>
      <c r="H575" s="30"/>
      <c r="I575" s="30"/>
      <c r="J575" s="30"/>
      <c r="K575" s="30"/>
      <c r="L575" s="30"/>
      <c r="M575" s="23"/>
      <c r="N575" s="23"/>
      <c r="O575" s="123"/>
      <c r="AA575" s="136"/>
      <c r="AB575" s="123"/>
    </row>
    <row r="576" spans="1:28" x14ac:dyDescent="0.2">
      <c r="A576" s="23"/>
      <c r="B576" s="30"/>
      <c r="C576" s="30"/>
      <c r="D576" s="147"/>
      <c r="E576" s="147"/>
      <c r="F576" s="30"/>
      <c r="G576" s="30"/>
      <c r="H576" s="30"/>
      <c r="I576" s="30"/>
      <c r="J576" s="30"/>
      <c r="K576" s="30"/>
      <c r="L576" s="30"/>
      <c r="M576" s="23"/>
      <c r="N576" s="23"/>
      <c r="O576" s="123"/>
      <c r="AA576" s="136"/>
      <c r="AB576" s="123"/>
    </row>
    <row r="577" spans="1:28" x14ac:dyDescent="0.2">
      <c r="A577" s="23"/>
      <c r="B577" s="30"/>
      <c r="C577" s="30"/>
      <c r="D577" s="147"/>
      <c r="E577" s="147"/>
      <c r="F577" s="30"/>
      <c r="G577" s="30"/>
      <c r="H577" s="30"/>
      <c r="I577" s="30"/>
      <c r="J577" s="30"/>
      <c r="K577" s="30"/>
      <c r="L577" s="30"/>
      <c r="M577" s="23"/>
      <c r="N577" s="23"/>
      <c r="O577" s="123"/>
      <c r="AA577" s="136"/>
      <c r="AB577" s="123"/>
    </row>
    <row r="578" spans="1:28" x14ac:dyDescent="0.2">
      <c r="A578" s="23"/>
      <c r="B578" s="30"/>
      <c r="C578" s="30"/>
      <c r="D578" s="147"/>
      <c r="E578" s="147"/>
      <c r="F578" s="30"/>
      <c r="G578" s="30"/>
      <c r="H578" s="30"/>
      <c r="I578" s="30"/>
      <c r="J578" s="30"/>
      <c r="K578" s="30"/>
      <c r="L578" s="30"/>
      <c r="M578" s="23"/>
      <c r="N578" s="23"/>
      <c r="O578" s="123"/>
      <c r="AA578" s="136"/>
      <c r="AB578" s="123"/>
    </row>
    <row r="579" spans="1:28" x14ac:dyDescent="0.2">
      <c r="A579" s="23"/>
      <c r="B579" s="30"/>
      <c r="C579" s="30"/>
      <c r="D579" s="147"/>
      <c r="E579" s="147"/>
      <c r="F579" s="30"/>
      <c r="G579" s="30"/>
      <c r="H579" s="30"/>
      <c r="I579" s="30"/>
      <c r="J579" s="30"/>
      <c r="K579" s="30"/>
      <c r="L579" s="30"/>
      <c r="M579" s="23"/>
      <c r="N579" s="23"/>
      <c r="O579" s="123"/>
      <c r="AA579" s="136"/>
      <c r="AB579" s="123"/>
    </row>
    <row r="580" spans="1:28" x14ac:dyDescent="0.2">
      <c r="A580" s="23"/>
      <c r="B580" s="30"/>
      <c r="C580" s="30"/>
      <c r="D580" s="147"/>
      <c r="E580" s="147"/>
      <c r="F580" s="30"/>
      <c r="G580" s="30"/>
      <c r="H580" s="30"/>
      <c r="I580" s="30"/>
      <c r="J580" s="30"/>
      <c r="K580" s="30"/>
      <c r="L580" s="30"/>
      <c r="M580" s="23"/>
      <c r="N580" s="23"/>
      <c r="O580" s="123"/>
      <c r="AA580" s="136"/>
      <c r="AB580" s="123"/>
    </row>
    <row r="581" spans="1:28" x14ac:dyDescent="0.2">
      <c r="A581" s="23"/>
      <c r="B581" s="30"/>
      <c r="C581" s="30"/>
      <c r="D581" s="147"/>
      <c r="E581" s="147"/>
      <c r="F581" s="30"/>
      <c r="G581" s="30"/>
      <c r="H581" s="30"/>
      <c r="I581" s="30"/>
      <c r="J581" s="30"/>
      <c r="K581" s="30"/>
      <c r="L581" s="30"/>
      <c r="M581" s="23"/>
      <c r="N581" s="23"/>
      <c r="O581" s="123"/>
      <c r="AA581" s="136"/>
      <c r="AB581" s="123"/>
    </row>
    <row r="582" spans="1:28" x14ac:dyDescent="0.2">
      <c r="A582" s="23"/>
      <c r="B582" s="30"/>
      <c r="C582" s="30"/>
      <c r="D582" s="147"/>
      <c r="E582" s="147"/>
      <c r="F582" s="30"/>
      <c r="G582" s="30"/>
      <c r="H582" s="30"/>
      <c r="I582" s="30"/>
      <c r="J582" s="30"/>
      <c r="K582" s="30"/>
      <c r="L582" s="30"/>
      <c r="M582" s="23"/>
      <c r="N582" s="23"/>
      <c r="O582" s="123"/>
      <c r="AA582" s="136"/>
      <c r="AB582" s="123"/>
    </row>
    <row r="583" spans="1:28" x14ac:dyDescent="0.2">
      <c r="A583" s="23"/>
      <c r="B583" s="30"/>
      <c r="C583" s="30"/>
      <c r="D583" s="147"/>
      <c r="E583" s="147"/>
      <c r="F583" s="30"/>
      <c r="G583" s="30"/>
      <c r="H583" s="30"/>
      <c r="I583" s="30"/>
      <c r="J583" s="30"/>
      <c r="K583" s="30"/>
      <c r="L583" s="30"/>
      <c r="M583" s="23"/>
      <c r="N583" s="23"/>
      <c r="O583" s="123"/>
      <c r="AA583" s="136"/>
      <c r="AB583" s="123"/>
    </row>
    <row r="584" spans="1:28" x14ac:dyDescent="0.2">
      <c r="A584" s="23"/>
      <c r="B584" s="30"/>
      <c r="C584" s="30"/>
      <c r="D584" s="147"/>
      <c r="E584" s="147"/>
      <c r="F584" s="30"/>
      <c r="G584" s="30"/>
      <c r="H584" s="30"/>
      <c r="I584" s="30"/>
      <c r="J584" s="30"/>
      <c r="K584" s="30"/>
      <c r="L584" s="30"/>
      <c r="M584" s="23"/>
      <c r="N584" s="23"/>
      <c r="O584" s="123"/>
      <c r="AA584" s="136"/>
      <c r="AB584" s="123"/>
    </row>
    <row r="585" spans="1:28" x14ac:dyDescent="0.2">
      <c r="A585" s="23"/>
      <c r="B585" s="30"/>
      <c r="C585" s="30"/>
      <c r="D585" s="147"/>
      <c r="E585" s="147"/>
      <c r="F585" s="30"/>
      <c r="G585" s="30"/>
      <c r="H585" s="30"/>
      <c r="I585" s="30"/>
      <c r="J585" s="30"/>
      <c r="K585" s="30"/>
      <c r="L585" s="30"/>
      <c r="M585" s="23"/>
      <c r="N585" s="23"/>
      <c r="O585" s="123"/>
      <c r="AA585" s="136"/>
      <c r="AB585" s="123"/>
    </row>
    <row r="586" spans="1:28" x14ac:dyDescent="0.2">
      <c r="A586" s="23"/>
      <c r="B586" s="30"/>
      <c r="C586" s="30"/>
      <c r="D586" s="147"/>
      <c r="E586" s="147"/>
      <c r="F586" s="30"/>
      <c r="G586" s="30"/>
      <c r="H586" s="30"/>
      <c r="I586" s="30"/>
      <c r="J586" s="30"/>
      <c r="K586" s="30"/>
      <c r="L586" s="30"/>
      <c r="M586" s="23"/>
      <c r="N586" s="23"/>
      <c r="O586" s="123"/>
      <c r="AA586" s="136"/>
      <c r="AB586" s="123"/>
    </row>
    <row r="587" spans="1:28" x14ac:dyDescent="0.2">
      <c r="A587" s="23"/>
      <c r="B587" s="30"/>
      <c r="C587" s="30"/>
      <c r="D587" s="147"/>
      <c r="E587" s="147"/>
      <c r="F587" s="30"/>
      <c r="G587" s="30"/>
      <c r="H587" s="30"/>
      <c r="I587" s="30"/>
      <c r="J587" s="30"/>
      <c r="K587" s="30"/>
      <c r="L587" s="30"/>
      <c r="M587" s="23"/>
      <c r="N587" s="23"/>
      <c r="O587" s="123"/>
      <c r="AA587" s="136"/>
      <c r="AB587" s="123"/>
    </row>
    <row r="588" spans="1:28" x14ac:dyDescent="0.2">
      <c r="A588" s="23"/>
      <c r="B588" s="30"/>
      <c r="C588" s="30"/>
      <c r="D588" s="147"/>
      <c r="E588" s="147"/>
      <c r="F588" s="30"/>
      <c r="G588" s="30"/>
      <c r="H588" s="30"/>
      <c r="I588" s="30"/>
      <c r="J588" s="30"/>
      <c r="K588" s="30"/>
      <c r="L588" s="30"/>
      <c r="M588" s="23"/>
      <c r="N588" s="23"/>
      <c r="O588" s="123"/>
      <c r="AA588" s="136"/>
      <c r="AB588" s="123"/>
    </row>
    <row r="589" spans="1:28" x14ac:dyDescent="0.2">
      <c r="A589" s="23"/>
      <c r="B589" s="30"/>
      <c r="C589" s="30"/>
      <c r="D589" s="147"/>
      <c r="E589" s="147"/>
      <c r="F589" s="30"/>
      <c r="G589" s="30"/>
      <c r="H589" s="30"/>
      <c r="I589" s="30"/>
      <c r="J589" s="30"/>
      <c r="K589" s="30"/>
      <c r="L589" s="30"/>
      <c r="M589" s="23"/>
      <c r="N589" s="23"/>
      <c r="O589" s="123"/>
      <c r="AA589" s="136"/>
      <c r="AB589" s="123"/>
    </row>
    <row r="590" spans="1:28" x14ac:dyDescent="0.2">
      <c r="A590" s="23"/>
      <c r="B590" s="30"/>
      <c r="C590" s="30"/>
      <c r="D590" s="147"/>
      <c r="E590" s="147"/>
      <c r="F590" s="30"/>
      <c r="G590" s="30"/>
      <c r="H590" s="30"/>
      <c r="I590" s="30"/>
      <c r="J590" s="30"/>
      <c r="K590" s="30"/>
      <c r="L590" s="30"/>
      <c r="M590" s="23"/>
      <c r="N590" s="23"/>
      <c r="O590" s="123"/>
      <c r="AA590" s="136"/>
      <c r="AB590" s="123"/>
    </row>
    <row r="591" spans="1:28" x14ac:dyDescent="0.2">
      <c r="A591" s="23"/>
      <c r="B591" s="30"/>
      <c r="C591" s="30"/>
      <c r="D591" s="147"/>
      <c r="E591" s="147"/>
      <c r="F591" s="30"/>
      <c r="G591" s="30"/>
      <c r="H591" s="30"/>
      <c r="I591" s="30"/>
      <c r="J591" s="30"/>
      <c r="K591" s="30"/>
      <c r="L591" s="30"/>
      <c r="M591" s="23"/>
      <c r="N591" s="23"/>
      <c r="O591" s="123"/>
      <c r="AA591" s="136"/>
      <c r="AB591" s="123"/>
    </row>
    <row r="592" spans="1:28" x14ac:dyDescent="0.2">
      <c r="A592" s="23"/>
      <c r="B592" s="30"/>
      <c r="C592" s="30"/>
      <c r="D592" s="147"/>
      <c r="E592" s="147"/>
      <c r="F592" s="30"/>
      <c r="G592" s="30"/>
      <c r="H592" s="30"/>
      <c r="I592" s="30"/>
      <c r="J592" s="30"/>
      <c r="K592" s="30"/>
      <c r="L592" s="30"/>
      <c r="M592" s="23"/>
      <c r="N592" s="23"/>
      <c r="O592" s="123"/>
      <c r="AA592" s="136"/>
      <c r="AB592" s="123"/>
    </row>
    <row r="593" spans="1:28" x14ac:dyDescent="0.2">
      <c r="A593" s="23"/>
      <c r="B593" s="30"/>
      <c r="C593" s="30"/>
      <c r="D593" s="147"/>
      <c r="E593" s="147"/>
      <c r="F593" s="30"/>
      <c r="G593" s="30"/>
      <c r="H593" s="30"/>
      <c r="I593" s="30"/>
      <c r="J593" s="30"/>
      <c r="K593" s="30"/>
      <c r="L593" s="30"/>
      <c r="M593" s="23"/>
      <c r="N593" s="23"/>
      <c r="O593" s="123"/>
      <c r="AA593" s="136"/>
      <c r="AB593" s="123"/>
    </row>
    <row r="594" spans="1:28" x14ac:dyDescent="0.2">
      <c r="A594" s="23"/>
      <c r="B594" s="30"/>
      <c r="C594" s="30"/>
      <c r="D594" s="147"/>
      <c r="E594" s="147"/>
      <c r="F594" s="30"/>
      <c r="G594" s="30"/>
      <c r="H594" s="30"/>
      <c r="I594" s="30"/>
      <c r="J594" s="30"/>
      <c r="K594" s="30"/>
      <c r="L594" s="30"/>
      <c r="M594" s="23"/>
      <c r="N594" s="23"/>
      <c r="O594" s="123"/>
      <c r="AA594" s="136"/>
      <c r="AB594" s="123"/>
    </row>
    <row r="595" spans="1:28" x14ac:dyDescent="0.2">
      <c r="A595" s="23"/>
      <c r="B595" s="30"/>
      <c r="C595" s="30"/>
      <c r="D595" s="147"/>
      <c r="E595" s="147"/>
      <c r="F595" s="30"/>
      <c r="G595" s="30"/>
      <c r="H595" s="30"/>
      <c r="I595" s="30"/>
      <c r="J595" s="30"/>
      <c r="K595" s="30"/>
      <c r="L595" s="30"/>
      <c r="M595" s="23"/>
      <c r="N595" s="23"/>
      <c r="O595" s="123"/>
      <c r="AA595" s="136"/>
      <c r="AB595" s="123"/>
    </row>
    <row r="596" spans="1:28" x14ac:dyDescent="0.2">
      <c r="A596" s="23"/>
      <c r="B596" s="30"/>
      <c r="C596" s="30"/>
      <c r="D596" s="147"/>
      <c r="E596" s="147"/>
      <c r="F596" s="30"/>
      <c r="G596" s="30"/>
      <c r="H596" s="30"/>
      <c r="I596" s="30"/>
      <c r="J596" s="30"/>
      <c r="K596" s="30"/>
      <c r="L596" s="30"/>
      <c r="M596" s="23"/>
      <c r="N596" s="23"/>
      <c r="O596" s="123"/>
      <c r="AA596" s="136"/>
      <c r="AB596" s="123"/>
    </row>
    <row r="597" spans="1:28" x14ac:dyDescent="0.2">
      <c r="A597" s="23"/>
      <c r="B597" s="30"/>
      <c r="C597" s="30"/>
      <c r="D597" s="147"/>
      <c r="E597" s="147"/>
      <c r="F597" s="30"/>
      <c r="G597" s="30"/>
      <c r="H597" s="30"/>
      <c r="I597" s="30"/>
      <c r="J597" s="30"/>
      <c r="K597" s="30"/>
      <c r="L597" s="30"/>
      <c r="M597" s="23"/>
      <c r="N597" s="23"/>
      <c r="O597" s="123"/>
      <c r="AA597" s="136"/>
      <c r="AB597" s="123"/>
    </row>
    <row r="598" spans="1:28" x14ac:dyDescent="0.2">
      <c r="A598" s="23"/>
      <c r="B598" s="30"/>
      <c r="C598" s="30"/>
      <c r="D598" s="147"/>
      <c r="E598" s="147"/>
      <c r="F598" s="30"/>
      <c r="G598" s="30"/>
      <c r="H598" s="30"/>
      <c r="I598" s="30"/>
      <c r="J598" s="30"/>
      <c r="K598" s="30"/>
      <c r="L598" s="30"/>
      <c r="M598" s="23"/>
      <c r="N598" s="23"/>
      <c r="O598" s="123"/>
      <c r="AA598" s="136"/>
      <c r="AB598" s="123"/>
    </row>
    <row r="599" spans="1:28" x14ac:dyDescent="0.2">
      <c r="A599" s="23"/>
      <c r="B599" s="30"/>
      <c r="C599" s="30"/>
      <c r="D599" s="147"/>
      <c r="E599" s="147"/>
      <c r="F599" s="30"/>
      <c r="G599" s="30"/>
      <c r="H599" s="30"/>
      <c r="I599" s="30"/>
      <c r="J599" s="30"/>
      <c r="K599" s="30"/>
      <c r="L599" s="30"/>
      <c r="M599" s="23"/>
      <c r="N599" s="23"/>
      <c r="O599" s="123"/>
      <c r="AA599" s="136"/>
      <c r="AB599" s="123"/>
    </row>
    <row r="600" spans="1:28" x14ac:dyDescent="0.2">
      <c r="A600" s="23"/>
      <c r="B600" s="30"/>
      <c r="C600" s="30"/>
      <c r="D600" s="147"/>
      <c r="E600" s="147"/>
      <c r="F600" s="30"/>
      <c r="G600" s="30"/>
      <c r="H600" s="30"/>
      <c r="I600" s="30"/>
      <c r="J600" s="30"/>
      <c r="K600" s="30"/>
      <c r="L600" s="30"/>
      <c r="M600" s="23"/>
      <c r="N600" s="23"/>
      <c r="O600" s="123"/>
      <c r="AA600" s="136"/>
      <c r="AB600" s="123"/>
    </row>
    <row r="601" spans="1:28" x14ac:dyDescent="0.2">
      <c r="A601" s="23"/>
      <c r="B601" s="30"/>
      <c r="C601" s="30"/>
      <c r="D601" s="147"/>
      <c r="E601" s="147"/>
      <c r="F601" s="30"/>
      <c r="G601" s="30"/>
      <c r="H601" s="30"/>
      <c r="I601" s="30"/>
      <c r="J601" s="30"/>
      <c r="K601" s="30"/>
      <c r="L601" s="30"/>
      <c r="M601" s="23"/>
      <c r="N601" s="23"/>
      <c r="O601" s="123"/>
      <c r="AA601" s="136"/>
      <c r="AB601" s="123"/>
    </row>
    <row r="602" spans="1:28" x14ac:dyDescent="0.2">
      <c r="A602" s="23"/>
      <c r="B602" s="30"/>
      <c r="C602" s="30"/>
      <c r="D602" s="147"/>
      <c r="E602" s="147"/>
      <c r="F602" s="30"/>
      <c r="G602" s="30"/>
      <c r="H602" s="30"/>
      <c r="I602" s="30"/>
      <c r="J602" s="30"/>
      <c r="K602" s="30"/>
      <c r="L602" s="30"/>
      <c r="M602" s="23"/>
      <c r="N602" s="23"/>
      <c r="O602" s="123"/>
      <c r="AA602" s="136"/>
      <c r="AB602" s="123"/>
    </row>
    <row r="603" spans="1:28" x14ac:dyDescent="0.2">
      <c r="A603" s="23"/>
      <c r="B603" s="30"/>
      <c r="C603" s="30"/>
      <c r="D603" s="147"/>
      <c r="E603" s="147"/>
      <c r="F603" s="30"/>
      <c r="G603" s="30"/>
      <c r="H603" s="30"/>
      <c r="I603" s="30"/>
      <c r="J603" s="30"/>
      <c r="K603" s="30"/>
      <c r="L603" s="30"/>
      <c r="M603" s="23"/>
      <c r="N603" s="23"/>
      <c r="O603" s="123"/>
      <c r="AA603" s="136"/>
      <c r="AB603" s="123"/>
    </row>
    <row r="604" spans="1:28" x14ac:dyDescent="0.2">
      <c r="A604" s="23"/>
      <c r="B604" s="30"/>
      <c r="C604" s="30"/>
      <c r="D604" s="147"/>
      <c r="E604" s="147"/>
      <c r="F604" s="30"/>
      <c r="G604" s="30"/>
      <c r="H604" s="30"/>
      <c r="I604" s="30"/>
      <c r="J604" s="30"/>
      <c r="K604" s="30"/>
      <c r="L604" s="30"/>
      <c r="M604" s="23"/>
      <c r="N604" s="23"/>
      <c r="O604" s="123"/>
      <c r="AA604" s="136"/>
      <c r="AB604" s="123"/>
    </row>
    <row r="605" spans="1:28" x14ac:dyDescent="0.2">
      <c r="A605" s="23"/>
      <c r="B605" s="30"/>
      <c r="C605" s="30"/>
      <c r="D605" s="147"/>
      <c r="E605" s="147"/>
      <c r="F605" s="30"/>
      <c r="G605" s="30"/>
      <c r="H605" s="30"/>
      <c r="I605" s="30"/>
      <c r="J605" s="30"/>
      <c r="K605" s="30"/>
      <c r="L605" s="30"/>
      <c r="M605" s="23"/>
      <c r="N605" s="23"/>
      <c r="O605" s="123"/>
      <c r="AA605" s="136"/>
      <c r="AB605" s="123"/>
    </row>
    <row r="606" spans="1:28" x14ac:dyDescent="0.2">
      <c r="A606" s="23"/>
      <c r="B606" s="30"/>
      <c r="C606" s="30"/>
      <c r="D606" s="147"/>
      <c r="E606" s="147"/>
      <c r="F606" s="30"/>
      <c r="G606" s="30"/>
      <c r="H606" s="30"/>
      <c r="I606" s="30"/>
      <c r="J606" s="30"/>
      <c r="K606" s="30"/>
      <c r="L606" s="30"/>
      <c r="M606" s="23"/>
      <c r="N606" s="23"/>
      <c r="O606" s="123"/>
      <c r="AA606" s="136"/>
      <c r="AB606" s="123"/>
    </row>
    <row r="607" spans="1:28" x14ac:dyDescent="0.2">
      <c r="A607" s="23"/>
      <c r="B607" s="30"/>
      <c r="C607" s="30"/>
      <c r="D607" s="147"/>
      <c r="E607" s="147"/>
      <c r="F607" s="30"/>
      <c r="G607" s="30"/>
      <c r="H607" s="30"/>
      <c r="I607" s="30"/>
      <c r="J607" s="30"/>
      <c r="K607" s="30"/>
      <c r="L607" s="30"/>
      <c r="M607" s="23"/>
      <c r="N607" s="23"/>
      <c r="O607" s="123"/>
      <c r="AA607" s="136"/>
      <c r="AB607" s="123"/>
    </row>
    <row r="608" spans="1:28" x14ac:dyDescent="0.2">
      <c r="A608" s="23"/>
      <c r="B608" s="30"/>
      <c r="C608" s="30"/>
      <c r="D608" s="147"/>
      <c r="E608" s="147"/>
      <c r="F608" s="30"/>
      <c r="G608" s="30"/>
      <c r="H608" s="30"/>
      <c r="I608" s="30"/>
      <c r="J608" s="30"/>
      <c r="K608" s="30"/>
      <c r="L608" s="30"/>
      <c r="M608" s="23"/>
      <c r="N608" s="23"/>
      <c r="O608" s="123"/>
      <c r="AA608" s="136"/>
      <c r="AB608" s="123"/>
    </row>
    <row r="609" spans="1:28" x14ac:dyDescent="0.2">
      <c r="A609" s="23"/>
      <c r="B609" s="30"/>
      <c r="C609" s="30"/>
      <c r="D609" s="147"/>
      <c r="E609" s="147"/>
      <c r="F609" s="30"/>
      <c r="G609" s="30"/>
      <c r="H609" s="30"/>
      <c r="I609" s="30"/>
      <c r="J609" s="30"/>
      <c r="K609" s="30"/>
      <c r="L609" s="30"/>
      <c r="M609" s="23"/>
      <c r="N609" s="23"/>
      <c r="O609" s="123"/>
      <c r="AA609" s="136"/>
      <c r="AB609" s="123"/>
    </row>
    <row r="610" spans="1:28" x14ac:dyDescent="0.2">
      <c r="A610" s="23"/>
      <c r="B610" s="30"/>
      <c r="C610" s="30"/>
      <c r="D610" s="147"/>
      <c r="E610" s="147"/>
      <c r="F610" s="30"/>
      <c r="G610" s="30"/>
      <c r="H610" s="30"/>
      <c r="I610" s="30"/>
      <c r="J610" s="30"/>
      <c r="K610" s="30"/>
      <c r="L610" s="30"/>
      <c r="M610" s="23"/>
      <c r="N610" s="23"/>
      <c r="O610" s="123"/>
      <c r="AA610" s="136"/>
      <c r="AB610" s="123"/>
    </row>
    <row r="611" spans="1:28" x14ac:dyDescent="0.2">
      <c r="A611" s="23"/>
      <c r="B611" s="30"/>
      <c r="C611" s="30"/>
      <c r="D611" s="147"/>
      <c r="E611" s="147"/>
      <c r="F611" s="30"/>
      <c r="G611" s="30"/>
      <c r="H611" s="30"/>
      <c r="I611" s="30"/>
      <c r="J611" s="30"/>
      <c r="K611" s="30"/>
      <c r="L611" s="30"/>
      <c r="M611" s="23"/>
      <c r="N611" s="23"/>
      <c r="O611" s="123"/>
      <c r="AA611" s="136"/>
      <c r="AB611" s="123"/>
    </row>
    <row r="612" spans="1:28" x14ac:dyDescent="0.2">
      <c r="A612" s="23"/>
      <c r="B612" s="30"/>
      <c r="C612" s="30"/>
      <c r="D612" s="147"/>
      <c r="E612" s="147"/>
      <c r="F612" s="30"/>
      <c r="G612" s="30"/>
      <c r="H612" s="30"/>
      <c r="I612" s="30"/>
      <c r="J612" s="30"/>
      <c r="K612" s="30"/>
      <c r="L612" s="30"/>
      <c r="M612" s="23"/>
      <c r="N612" s="23"/>
      <c r="O612" s="123"/>
      <c r="AA612" s="136"/>
      <c r="AB612" s="123"/>
    </row>
    <row r="613" spans="1:28" x14ac:dyDescent="0.2">
      <c r="A613" s="23"/>
      <c r="B613" s="30"/>
      <c r="C613" s="30"/>
      <c r="D613" s="147"/>
      <c r="E613" s="147"/>
      <c r="F613" s="30"/>
      <c r="G613" s="30"/>
      <c r="H613" s="30"/>
      <c r="I613" s="30"/>
      <c r="J613" s="30"/>
      <c r="K613" s="30"/>
      <c r="L613" s="30"/>
      <c r="M613" s="23"/>
      <c r="N613" s="23"/>
      <c r="O613" s="123"/>
      <c r="AA613" s="136"/>
      <c r="AB613" s="123"/>
    </row>
    <row r="614" spans="1:28" x14ac:dyDescent="0.2">
      <c r="A614" s="23"/>
      <c r="B614" s="30"/>
      <c r="C614" s="30"/>
      <c r="D614" s="147"/>
      <c r="E614" s="147"/>
      <c r="F614" s="30"/>
      <c r="G614" s="30"/>
      <c r="H614" s="30"/>
      <c r="I614" s="30"/>
      <c r="J614" s="30"/>
      <c r="K614" s="30"/>
      <c r="L614" s="30"/>
      <c r="M614" s="23"/>
      <c r="N614" s="23"/>
      <c r="O614" s="123"/>
      <c r="AA614" s="136"/>
      <c r="AB614" s="123"/>
    </row>
    <row r="615" spans="1:28" x14ac:dyDescent="0.2">
      <c r="A615" s="23"/>
      <c r="B615" s="30"/>
      <c r="C615" s="30"/>
      <c r="D615" s="147"/>
      <c r="E615" s="147"/>
      <c r="F615" s="30"/>
      <c r="G615" s="30"/>
      <c r="H615" s="30"/>
      <c r="I615" s="30"/>
      <c r="J615" s="30"/>
      <c r="K615" s="30"/>
      <c r="L615" s="30"/>
      <c r="M615" s="23"/>
      <c r="N615" s="23"/>
      <c r="O615" s="123"/>
      <c r="AA615" s="136"/>
      <c r="AB615" s="123"/>
    </row>
    <row r="616" spans="1:28" x14ac:dyDescent="0.2">
      <c r="A616" s="23"/>
      <c r="B616" s="30"/>
      <c r="C616" s="30"/>
      <c r="D616" s="147"/>
      <c r="E616" s="147"/>
      <c r="F616" s="30"/>
      <c r="G616" s="30"/>
      <c r="H616" s="30"/>
      <c r="I616" s="30"/>
      <c r="J616" s="30"/>
      <c r="K616" s="30"/>
      <c r="L616" s="30"/>
      <c r="M616" s="23"/>
      <c r="N616" s="23"/>
      <c r="O616" s="123"/>
      <c r="AA616" s="136"/>
      <c r="AB616" s="123"/>
    </row>
    <row r="617" spans="1:28" x14ac:dyDescent="0.2">
      <c r="A617" s="23"/>
      <c r="B617" s="30"/>
      <c r="C617" s="30"/>
      <c r="D617" s="147"/>
      <c r="E617" s="147"/>
      <c r="F617" s="30"/>
      <c r="G617" s="30"/>
      <c r="H617" s="30"/>
      <c r="I617" s="30"/>
      <c r="J617" s="30"/>
      <c r="K617" s="30"/>
      <c r="L617" s="30"/>
      <c r="M617" s="23"/>
      <c r="N617" s="23"/>
      <c r="O617" s="123"/>
      <c r="AA617" s="136"/>
      <c r="AB617" s="123"/>
    </row>
    <row r="618" spans="1:28" x14ac:dyDescent="0.2">
      <c r="A618" s="23"/>
      <c r="B618" s="30"/>
      <c r="C618" s="30"/>
      <c r="D618" s="147"/>
      <c r="E618" s="147"/>
      <c r="F618" s="30"/>
      <c r="G618" s="30"/>
      <c r="H618" s="30"/>
      <c r="I618" s="30"/>
      <c r="J618" s="30"/>
      <c r="K618" s="30"/>
      <c r="L618" s="30"/>
      <c r="M618" s="23"/>
      <c r="N618" s="23"/>
      <c r="O618" s="123"/>
      <c r="AA618" s="136"/>
      <c r="AB618" s="123"/>
    </row>
    <row r="619" spans="1:28" x14ac:dyDescent="0.2">
      <c r="A619" s="23"/>
      <c r="B619" s="30"/>
      <c r="C619" s="30"/>
      <c r="D619" s="147"/>
      <c r="E619" s="147"/>
      <c r="F619" s="30"/>
      <c r="G619" s="30"/>
      <c r="H619" s="30"/>
      <c r="I619" s="30"/>
      <c r="J619" s="30"/>
      <c r="K619" s="30"/>
      <c r="L619" s="30"/>
      <c r="M619" s="23"/>
      <c r="N619" s="23"/>
      <c r="O619" s="123"/>
      <c r="AA619" s="136"/>
      <c r="AB619" s="123"/>
    </row>
    <row r="620" spans="1:28" x14ac:dyDescent="0.2">
      <c r="A620" s="23"/>
      <c r="B620" s="30"/>
      <c r="C620" s="30"/>
      <c r="D620" s="147"/>
      <c r="E620" s="147"/>
      <c r="F620" s="30"/>
      <c r="G620" s="30"/>
      <c r="H620" s="30"/>
      <c r="I620" s="30"/>
      <c r="J620" s="30"/>
      <c r="K620" s="30"/>
      <c r="L620" s="30"/>
      <c r="M620" s="23"/>
      <c r="N620" s="23"/>
      <c r="O620" s="123"/>
      <c r="AA620" s="136"/>
      <c r="AB620" s="123"/>
    </row>
    <row r="621" spans="1:28" x14ac:dyDescent="0.2">
      <c r="A621" s="23"/>
      <c r="B621" s="30"/>
      <c r="C621" s="30"/>
      <c r="D621" s="147"/>
      <c r="E621" s="147"/>
      <c r="F621" s="30"/>
      <c r="G621" s="30"/>
      <c r="H621" s="30"/>
      <c r="I621" s="30"/>
      <c r="J621" s="30"/>
      <c r="K621" s="30"/>
      <c r="L621" s="30"/>
      <c r="M621" s="23"/>
      <c r="N621" s="23"/>
      <c r="O621" s="123"/>
      <c r="AA621" s="136"/>
      <c r="AB621" s="123"/>
    </row>
    <row r="622" spans="1:28" x14ac:dyDescent="0.2">
      <c r="A622" s="23"/>
      <c r="B622" s="30"/>
      <c r="C622" s="30"/>
      <c r="D622" s="147"/>
      <c r="E622" s="147"/>
      <c r="F622" s="30"/>
      <c r="G622" s="30"/>
      <c r="H622" s="30"/>
      <c r="I622" s="30"/>
      <c r="J622" s="30"/>
      <c r="K622" s="30"/>
      <c r="L622" s="30"/>
      <c r="M622" s="23"/>
      <c r="N622" s="23"/>
      <c r="O622" s="123"/>
      <c r="AA622" s="136"/>
      <c r="AB622" s="123"/>
    </row>
    <row r="623" spans="1:28" x14ac:dyDescent="0.2">
      <c r="A623" s="23"/>
      <c r="B623" s="30"/>
      <c r="C623" s="30"/>
      <c r="D623" s="147"/>
      <c r="E623" s="147"/>
      <c r="F623" s="30"/>
      <c r="G623" s="30"/>
      <c r="H623" s="30"/>
      <c r="I623" s="30"/>
      <c r="J623" s="30"/>
      <c r="K623" s="30"/>
      <c r="L623" s="30"/>
      <c r="M623" s="23"/>
      <c r="N623" s="23"/>
      <c r="O623" s="123"/>
      <c r="AA623" s="136"/>
      <c r="AB623" s="123"/>
    </row>
    <row r="624" spans="1:28" x14ac:dyDescent="0.2">
      <c r="A624" s="23"/>
      <c r="B624" s="30"/>
      <c r="C624" s="30"/>
      <c r="D624" s="147"/>
      <c r="E624" s="147"/>
      <c r="F624" s="30"/>
      <c r="G624" s="30"/>
      <c r="H624" s="30"/>
      <c r="I624" s="30"/>
      <c r="J624" s="30"/>
      <c r="K624" s="30"/>
      <c r="L624" s="30"/>
      <c r="M624" s="23"/>
      <c r="N624" s="23"/>
      <c r="O624" s="123"/>
      <c r="AA624" s="136"/>
      <c r="AB624" s="123"/>
    </row>
    <row r="625" spans="1:28" x14ac:dyDescent="0.2">
      <c r="A625" s="23"/>
      <c r="B625" s="30"/>
      <c r="C625" s="30"/>
      <c r="D625" s="147"/>
      <c r="E625" s="147"/>
      <c r="F625" s="30"/>
      <c r="G625" s="30"/>
      <c r="H625" s="30"/>
      <c r="I625" s="30"/>
      <c r="J625" s="30"/>
      <c r="K625" s="30"/>
      <c r="L625" s="30"/>
      <c r="M625" s="23"/>
      <c r="N625" s="23"/>
      <c r="O625" s="123"/>
      <c r="AA625" s="136"/>
      <c r="AB625" s="123"/>
    </row>
    <row r="626" spans="1:28" x14ac:dyDescent="0.2">
      <c r="A626" s="23"/>
      <c r="B626" s="30"/>
      <c r="C626" s="30"/>
      <c r="D626" s="147"/>
      <c r="E626" s="147"/>
      <c r="F626" s="30"/>
      <c r="G626" s="30"/>
      <c r="H626" s="30"/>
      <c r="I626" s="30"/>
      <c r="J626" s="30"/>
      <c r="K626" s="30"/>
      <c r="L626" s="30"/>
      <c r="M626" s="23"/>
      <c r="N626" s="23"/>
      <c r="O626" s="123"/>
      <c r="AA626" s="136"/>
      <c r="AB626" s="123"/>
    </row>
    <row r="627" spans="1:28" x14ac:dyDescent="0.2">
      <c r="A627" s="23"/>
      <c r="B627" s="30"/>
      <c r="C627" s="30"/>
      <c r="D627" s="147"/>
      <c r="E627" s="147"/>
      <c r="F627" s="30"/>
      <c r="G627" s="30"/>
      <c r="H627" s="30"/>
      <c r="I627" s="30"/>
      <c r="J627" s="30"/>
      <c r="K627" s="30"/>
      <c r="L627" s="30"/>
      <c r="M627" s="23"/>
      <c r="N627" s="23"/>
      <c r="O627" s="123"/>
      <c r="AA627" s="136"/>
      <c r="AB627" s="123"/>
    </row>
    <row r="628" spans="1:28" x14ac:dyDescent="0.2">
      <c r="A628" s="23"/>
      <c r="B628" s="30"/>
      <c r="C628" s="30"/>
      <c r="D628" s="147"/>
      <c r="E628" s="147"/>
      <c r="F628" s="30"/>
      <c r="G628" s="30"/>
      <c r="H628" s="30"/>
      <c r="I628" s="30"/>
      <c r="J628" s="30"/>
      <c r="K628" s="30"/>
      <c r="L628" s="30"/>
      <c r="M628" s="23"/>
      <c r="N628" s="23"/>
      <c r="O628" s="123"/>
      <c r="AA628" s="136"/>
      <c r="AB628" s="123"/>
    </row>
    <row r="629" spans="1:28" x14ac:dyDescent="0.2">
      <c r="A629" s="23"/>
      <c r="B629" s="30"/>
      <c r="C629" s="30"/>
      <c r="D629" s="147"/>
      <c r="E629" s="147"/>
      <c r="F629" s="30"/>
      <c r="G629" s="30"/>
      <c r="H629" s="30"/>
      <c r="I629" s="30"/>
      <c r="J629" s="30"/>
      <c r="K629" s="30"/>
      <c r="L629" s="30"/>
      <c r="M629" s="23"/>
      <c r="N629" s="23"/>
      <c r="O629" s="123"/>
      <c r="AA629" s="136"/>
      <c r="AB629" s="123"/>
    </row>
    <row r="630" spans="1:28" x14ac:dyDescent="0.2">
      <c r="A630" s="23"/>
      <c r="B630" s="30"/>
      <c r="C630" s="30"/>
      <c r="D630" s="147"/>
      <c r="E630" s="147"/>
      <c r="F630" s="30"/>
      <c r="G630" s="30"/>
      <c r="H630" s="30"/>
      <c r="I630" s="30"/>
      <c r="J630" s="30"/>
      <c r="K630" s="30"/>
      <c r="L630" s="30"/>
      <c r="M630" s="23"/>
      <c r="N630" s="23"/>
      <c r="O630" s="123"/>
      <c r="AA630" s="136"/>
      <c r="AB630" s="123"/>
    </row>
    <row r="631" spans="1:28" x14ac:dyDescent="0.2">
      <c r="A631" s="23"/>
      <c r="B631" s="30"/>
      <c r="C631" s="30"/>
      <c r="D631" s="147"/>
      <c r="E631" s="147"/>
      <c r="F631" s="30"/>
      <c r="G631" s="30"/>
      <c r="H631" s="30"/>
      <c r="I631" s="30"/>
      <c r="J631" s="30"/>
      <c r="K631" s="30"/>
      <c r="L631" s="30"/>
      <c r="M631" s="23"/>
      <c r="N631" s="23"/>
      <c r="O631" s="123"/>
      <c r="AA631" s="136"/>
      <c r="AB631" s="123"/>
    </row>
    <row r="632" spans="1:28" x14ac:dyDescent="0.2">
      <c r="A632" s="23"/>
      <c r="B632" s="30"/>
      <c r="C632" s="30"/>
      <c r="D632" s="147"/>
      <c r="E632" s="147"/>
      <c r="F632" s="30"/>
      <c r="G632" s="30"/>
      <c r="H632" s="30"/>
      <c r="I632" s="30"/>
      <c r="J632" s="30"/>
      <c r="K632" s="30"/>
      <c r="L632" s="30"/>
      <c r="M632" s="23"/>
      <c r="N632" s="23"/>
      <c r="O632" s="123"/>
      <c r="AA632" s="136"/>
      <c r="AB632" s="123"/>
    </row>
    <row r="633" spans="1:28" x14ac:dyDescent="0.2">
      <c r="A633" s="23"/>
      <c r="B633" s="30"/>
      <c r="C633" s="30"/>
      <c r="D633" s="147"/>
      <c r="E633" s="147"/>
      <c r="F633" s="30"/>
      <c r="G633" s="30"/>
      <c r="H633" s="30"/>
      <c r="I633" s="30"/>
      <c r="J633" s="30"/>
      <c r="K633" s="30"/>
      <c r="L633" s="30"/>
      <c r="M633" s="23"/>
      <c r="N633" s="23"/>
      <c r="O633" s="123"/>
      <c r="AA633" s="136"/>
      <c r="AB633" s="123"/>
    </row>
    <row r="634" spans="1:28" x14ac:dyDescent="0.2">
      <c r="A634" s="23"/>
      <c r="B634" s="30"/>
      <c r="C634" s="30"/>
      <c r="D634" s="147"/>
      <c r="E634" s="147"/>
      <c r="F634" s="30"/>
      <c r="G634" s="30"/>
      <c r="H634" s="30"/>
      <c r="I634" s="30"/>
      <c r="J634" s="30"/>
      <c r="K634" s="30"/>
      <c r="L634" s="30"/>
      <c r="M634" s="23"/>
      <c r="N634" s="23"/>
      <c r="O634" s="123"/>
      <c r="AA634" s="136"/>
      <c r="AB634" s="123"/>
    </row>
    <row r="635" spans="1:28" x14ac:dyDescent="0.2">
      <c r="A635" s="23"/>
      <c r="B635" s="30"/>
      <c r="C635" s="30"/>
      <c r="D635" s="147"/>
      <c r="E635" s="147"/>
      <c r="F635" s="30"/>
      <c r="G635" s="30"/>
      <c r="H635" s="30"/>
      <c r="I635" s="30"/>
      <c r="J635" s="30"/>
      <c r="K635" s="30"/>
      <c r="L635" s="30"/>
      <c r="M635" s="23"/>
      <c r="N635" s="23"/>
      <c r="O635" s="123"/>
      <c r="AA635" s="136"/>
      <c r="AB635" s="123"/>
    </row>
    <row r="636" spans="1:28" x14ac:dyDescent="0.2">
      <c r="A636" s="23"/>
      <c r="B636" s="30"/>
      <c r="C636" s="30"/>
      <c r="D636" s="147"/>
      <c r="E636" s="147"/>
      <c r="F636" s="30"/>
      <c r="G636" s="30"/>
      <c r="H636" s="30"/>
      <c r="I636" s="30"/>
      <c r="J636" s="30"/>
      <c r="K636" s="30"/>
      <c r="L636" s="30"/>
      <c r="M636" s="23"/>
      <c r="N636" s="23"/>
      <c r="O636" s="123"/>
      <c r="AA636" s="136"/>
      <c r="AB636" s="123"/>
    </row>
    <row r="637" spans="1:28" x14ac:dyDescent="0.2">
      <c r="A637" s="23"/>
      <c r="B637" s="30"/>
      <c r="C637" s="30"/>
      <c r="D637" s="147"/>
      <c r="E637" s="147"/>
      <c r="F637" s="30"/>
      <c r="G637" s="30"/>
      <c r="H637" s="30"/>
      <c r="I637" s="30"/>
      <c r="J637" s="30"/>
      <c r="K637" s="30"/>
      <c r="L637" s="30"/>
      <c r="M637" s="23"/>
      <c r="N637" s="23"/>
      <c r="O637" s="123"/>
      <c r="AA637" s="136"/>
      <c r="AB637" s="123"/>
    </row>
    <row r="638" spans="1:28" x14ac:dyDescent="0.2">
      <c r="A638" s="23"/>
      <c r="B638" s="30"/>
      <c r="C638" s="30"/>
      <c r="D638" s="147"/>
      <c r="E638" s="147"/>
      <c r="F638" s="30"/>
      <c r="G638" s="30"/>
      <c r="H638" s="30"/>
      <c r="I638" s="30"/>
      <c r="J638" s="30"/>
      <c r="K638" s="30"/>
      <c r="L638" s="30"/>
      <c r="M638" s="23"/>
      <c r="N638" s="23"/>
      <c r="O638" s="123"/>
      <c r="AA638" s="136"/>
      <c r="AB638" s="123"/>
    </row>
    <row r="639" spans="1:28" x14ac:dyDescent="0.2">
      <c r="A639" s="23"/>
      <c r="B639" s="30"/>
      <c r="C639" s="30"/>
      <c r="D639" s="147"/>
      <c r="E639" s="147"/>
      <c r="F639" s="30"/>
      <c r="G639" s="30"/>
      <c r="H639" s="30"/>
      <c r="I639" s="30"/>
      <c r="J639" s="30"/>
      <c r="K639" s="30"/>
      <c r="L639" s="30"/>
      <c r="M639" s="23"/>
      <c r="N639" s="23"/>
      <c r="O639" s="123"/>
      <c r="AA639" s="136"/>
      <c r="AB639" s="123"/>
    </row>
    <row r="640" spans="1:28" x14ac:dyDescent="0.2">
      <c r="A640" s="23"/>
      <c r="B640" s="30"/>
      <c r="C640" s="30"/>
      <c r="D640" s="147"/>
      <c r="E640" s="147"/>
      <c r="F640" s="30"/>
      <c r="G640" s="30"/>
      <c r="H640" s="30"/>
      <c r="I640" s="30"/>
      <c r="J640" s="30"/>
      <c r="K640" s="30"/>
      <c r="L640" s="30"/>
      <c r="M640" s="23"/>
      <c r="N640" s="23"/>
      <c r="O640" s="123"/>
      <c r="AA640" s="136"/>
      <c r="AB640" s="123"/>
    </row>
    <row r="641" spans="1:28" x14ac:dyDescent="0.2">
      <c r="A641" s="23"/>
      <c r="B641" s="30"/>
      <c r="C641" s="30"/>
      <c r="D641" s="147"/>
      <c r="E641" s="147"/>
      <c r="F641" s="30"/>
      <c r="G641" s="30"/>
      <c r="H641" s="30"/>
      <c r="I641" s="30"/>
      <c r="J641" s="30"/>
      <c r="K641" s="30"/>
      <c r="L641" s="30"/>
      <c r="M641" s="23"/>
      <c r="N641" s="23"/>
      <c r="O641" s="123"/>
      <c r="AA641" s="136"/>
      <c r="AB641" s="123"/>
    </row>
    <row r="642" spans="1:28" x14ac:dyDescent="0.2">
      <c r="A642" s="23"/>
      <c r="B642" s="30"/>
      <c r="C642" s="30"/>
      <c r="D642" s="147"/>
      <c r="E642" s="147"/>
      <c r="F642" s="30"/>
      <c r="G642" s="30"/>
      <c r="H642" s="30"/>
      <c r="I642" s="30"/>
      <c r="J642" s="30"/>
      <c r="K642" s="30"/>
      <c r="L642" s="30"/>
      <c r="M642" s="23"/>
      <c r="N642" s="23"/>
      <c r="O642" s="123"/>
      <c r="AA642" s="136"/>
      <c r="AB642" s="123"/>
    </row>
    <row r="643" spans="1:28" x14ac:dyDescent="0.2">
      <c r="A643" s="23"/>
      <c r="B643" s="30"/>
      <c r="C643" s="30"/>
      <c r="D643" s="147"/>
      <c r="E643" s="147"/>
      <c r="F643" s="30"/>
      <c r="G643" s="30"/>
      <c r="H643" s="30"/>
      <c r="I643" s="30"/>
      <c r="J643" s="30"/>
      <c r="K643" s="30"/>
      <c r="L643" s="30"/>
      <c r="M643" s="23"/>
      <c r="N643" s="23"/>
      <c r="O643" s="123"/>
      <c r="AA643" s="136"/>
      <c r="AB643" s="123"/>
    </row>
    <row r="644" spans="1:28" x14ac:dyDescent="0.2">
      <c r="A644" s="23"/>
      <c r="B644" s="30"/>
      <c r="C644" s="30"/>
      <c r="D644" s="147"/>
      <c r="E644" s="147"/>
      <c r="F644" s="30"/>
      <c r="G644" s="30"/>
      <c r="H644" s="30"/>
      <c r="I644" s="30"/>
      <c r="J644" s="30"/>
      <c r="K644" s="30"/>
      <c r="L644" s="30"/>
      <c r="M644" s="23"/>
      <c r="N644" s="23"/>
      <c r="O644" s="123"/>
      <c r="AA644" s="136"/>
      <c r="AB644" s="123"/>
    </row>
    <row r="645" spans="1:28" x14ac:dyDescent="0.2">
      <c r="A645" s="23"/>
      <c r="B645" s="30"/>
      <c r="C645" s="30"/>
      <c r="D645" s="147"/>
      <c r="E645" s="147"/>
      <c r="F645" s="30"/>
      <c r="G645" s="30"/>
      <c r="H645" s="30"/>
      <c r="I645" s="30"/>
      <c r="J645" s="30"/>
      <c r="K645" s="30"/>
      <c r="L645" s="30"/>
      <c r="M645" s="23"/>
      <c r="N645" s="23"/>
      <c r="O645" s="123"/>
      <c r="AA645" s="136"/>
      <c r="AB645" s="123"/>
    </row>
    <row r="646" spans="1:28" x14ac:dyDescent="0.2">
      <c r="A646" s="23"/>
      <c r="B646" s="30"/>
      <c r="C646" s="30"/>
      <c r="D646" s="147"/>
      <c r="E646" s="147"/>
      <c r="F646" s="30"/>
      <c r="G646" s="30"/>
      <c r="H646" s="30"/>
      <c r="I646" s="30"/>
      <c r="J646" s="30"/>
      <c r="K646" s="30"/>
      <c r="L646" s="30"/>
      <c r="M646" s="23"/>
      <c r="N646" s="23"/>
      <c r="O646" s="123"/>
      <c r="AA646" s="136"/>
      <c r="AB646" s="123"/>
    </row>
    <row r="647" spans="1:28" x14ac:dyDescent="0.2">
      <c r="A647" s="23"/>
      <c r="B647" s="30"/>
      <c r="C647" s="30"/>
      <c r="D647" s="147"/>
      <c r="E647" s="147"/>
      <c r="F647" s="30"/>
      <c r="G647" s="30"/>
      <c r="H647" s="30"/>
      <c r="I647" s="30"/>
      <c r="J647" s="30"/>
      <c r="K647" s="30"/>
      <c r="L647" s="30"/>
      <c r="M647" s="23"/>
      <c r="N647" s="23"/>
      <c r="O647" s="123"/>
      <c r="AA647" s="136"/>
      <c r="AB647" s="123"/>
    </row>
    <row r="648" spans="1:28" x14ac:dyDescent="0.2">
      <c r="A648" s="23"/>
      <c r="B648" s="30"/>
      <c r="C648" s="30"/>
      <c r="D648" s="147"/>
      <c r="E648" s="147"/>
      <c r="F648" s="30"/>
      <c r="G648" s="30"/>
      <c r="H648" s="30"/>
      <c r="I648" s="30"/>
      <c r="J648" s="30"/>
      <c r="K648" s="30"/>
      <c r="L648" s="30"/>
      <c r="M648" s="23"/>
      <c r="N648" s="23"/>
      <c r="O648" s="123"/>
      <c r="AA648" s="136"/>
      <c r="AB648" s="123"/>
    </row>
    <row r="649" spans="1:28" x14ac:dyDescent="0.2">
      <c r="A649" s="23"/>
      <c r="B649" s="30"/>
      <c r="C649" s="30"/>
      <c r="D649" s="147"/>
      <c r="E649" s="147"/>
      <c r="F649" s="30"/>
      <c r="G649" s="30"/>
      <c r="H649" s="30"/>
      <c r="I649" s="30"/>
      <c r="J649" s="30"/>
      <c r="K649" s="30"/>
      <c r="L649" s="30"/>
      <c r="M649" s="23"/>
      <c r="N649" s="23"/>
      <c r="O649" s="123"/>
      <c r="AA649" s="136"/>
      <c r="AB649" s="123"/>
    </row>
    <row r="650" spans="1:28" x14ac:dyDescent="0.2">
      <c r="A650" s="23"/>
      <c r="B650" s="30"/>
      <c r="C650" s="30"/>
      <c r="D650" s="147"/>
      <c r="E650" s="147"/>
      <c r="F650" s="30"/>
      <c r="G650" s="30"/>
      <c r="H650" s="30"/>
      <c r="I650" s="30"/>
      <c r="J650" s="30"/>
      <c r="K650" s="30"/>
      <c r="L650" s="30"/>
      <c r="M650" s="23"/>
      <c r="N650" s="23"/>
      <c r="O650" s="123"/>
      <c r="AA650" s="136"/>
      <c r="AB650" s="123"/>
    </row>
    <row r="651" spans="1:28" x14ac:dyDescent="0.2">
      <c r="A651" s="23"/>
      <c r="B651" s="30"/>
      <c r="C651" s="30"/>
      <c r="D651" s="147"/>
      <c r="E651" s="147"/>
      <c r="F651" s="30"/>
      <c r="G651" s="30"/>
      <c r="H651" s="30"/>
      <c r="I651" s="30"/>
      <c r="J651" s="30"/>
      <c r="K651" s="30"/>
      <c r="L651" s="30"/>
      <c r="M651" s="23"/>
      <c r="N651" s="23"/>
      <c r="O651" s="123"/>
      <c r="AA651" s="136"/>
      <c r="AB651" s="123"/>
    </row>
    <row r="652" spans="1:28" x14ac:dyDescent="0.2">
      <c r="A652" s="23"/>
      <c r="B652" s="30"/>
      <c r="C652" s="30"/>
      <c r="D652" s="147"/>
      <c r="E652" s="147"/>
      <c r="F652" s="30"/>
      <c r="G652" s="30"/>
      <c r="H652" s="30"/>
      <c r="I652" s="30"/>
      <c r="J652" s="30"/>
      <c r="K652" s="30"/>
      <c r="L652" s="30"/>
      <c r="M652" s="23"/>
      <c r="N652" s="23"/>
      <c r="O652" s="123"/>
      <c r="AA652" s="136"/>
      <c r="AB652" s="123"/>
    </row>
    <row r="653" spans="1:28" x14ac:dyDescent="0.2">
      <c r="A653" s="23"/>
      <c r="B653" s="30"/>
      <c r="C653" s="30"/>
      <c r="D653" s="147"/>
      <c r="E653" s="147"/>
      <c r="F653" s="30"/>
      <c r="G653" s="30"/>
      <c r="H653" s="30"/>
      <c r="I653" s="30"/>
      <c r="J653" s="30"/>
      <c r="K653" s="30"/>
      <c r="L653" s="30"/>
      <c r="M653" s="23"/>
      <c r="N653" s="23"/>
      <c r="O653" s="123"/>
      <c r="AA653" s="136"/>
      <c r="AB653" s="123"/>
    </row>
    <row r="654" spans="1:28" x14ac:dyDescent="0.2">
      <c r="A654" s="23"/>
      <c r="B654" s="30"/>
      <c r="C654" s="30"/>
      <c r="D654" s="147"/>
      <c r="E654" s="147"/>
      <c r="F654" s="30"/>
      <c r="G654" s="30"/>
      <c r="H654" s="30"/>
      <c r="I654" s="30"/>
      <c r="J654" s="30"/>
      <c r="K654" s="30"/>
      <c r="L654" s="30"/>
      <c r="M654" s="23"/>
      <c r="N654" s="23"/>
      <c r="O654" s="123"/>
      <c r="AA654" s="136"/>
      <c r="AB654" s="123"/>
    </row>
    <row r="655" spans="1:28" x14ac:dyDescent="0.2">
      <c r="A655" s="23"/>
      <c r="B655" s="30"/>
      <c r="C655" s="30"/>
      <c r="D655" s="147"/>
      <c r="E655" s="147"/>
      <c r="F655" s="30"/>
      <c r="G655" s="30"/>
      <c r="H655" s="30"/>
      <c r="I655" s="30"/>
      <c r="J655" s="30"/>
      <c r="K655" s="30"/>
      <c r="L655" s="30"/>
      <c r="M655" s="23"/>
      <c r="N655" s="23"/>
      <c r="O655" s="123"/>
      <c r="AA655" s="136"/>
      <c r="AB655" s="123"/>
    </row>
    <row r="656" spans="1:28" x14ac:dyDescent="0.2">
      <c r="A656" s="23"/>
      <c r="B656" s="30"/>
      <c r="C656" s="30"/>
      <c r="D656" s="147"/>
      <c r="E656" s="147"/>
      <c r="F656" s="30"/>
      <c r="G656" s="30"/>
      <c r="H656" s="30"/>
      <c r="I656" s="30"/>
      <c r="J656" s="30"/>
      <c r="K656" s="30"/>
      <c r="L656" s="30"/>
      <c r="M656" s="23"/>
      <c r="N656" s="23"/>
      <c r="O656" s="123"/>
      <c r="AA656" s="136"/>
      <c r="AB656" s="123"/>
    </row>
    <row r="657" spans="1:28" x14ac:dyDescent="0.2">
      <c r="A657" s="23"/>
      <c r="B657" s="30"/>
      <c r="C657" s="30"/>
      <c r="D657" s="147"/>
      <c r="E657" s="147"/>
      <c r="F657" s="30"/>
      <c r="G657" s="30"/>
      <c r="H657" s="30"/>
      <c r="I657" s="30"/>
      <c r="J657" s="30"/>
      <c r="K657" s="30"/>
      <c r="L657" s="30"/>
      <c r="M657" s="23"/>
      <c r="N657" s="23"/>
      <c r="O657" s="123"/>
      <c r="AA657" s="136"/>
      <c r="AB657" s="123"/>
    </row>
    <row r="658" spans="1:28" x14ac:dyDescent="0.2">
      <c r="A658" s="23"/>
      <c r="B658" s="30"/>
      <c r="C658" s="30"/>
      <c r="D658" s="147"/>
      <c r="E658" s="147"/>
      <c r="F658" s="30"/>
      <c r="G658" s="30"/>
      <c r="H658" s="30"/>
      <c r="I658" s="30"/>
      <c r="J658" s="30"/>
      <c r="K658" s="30"/>
      <c r="L658" s="30"/>
      <c r="M658" s="23"/>
      <c r="N658" s="23"/>
      <c r="O658" s="123"/>
      <c r="AA658" s="136"/>
      <c r="AB658" s="123"/>
    </row>
    <row r="659" spans="1:28" x14ac:dyDescent="0.2">
      <c r="A659" s="23"/>
      <c r="B659" s="30"/>
      <c r="C659" s="30"/>
      <c r="D659" s="147"/>
      <c r="E659" s="147"/>
      <c r="F659" s="30"/>
      <c r="G659" s="30"/>
      <c r="H659" s="30"/>
      <c r="I659" s="30"/>
      <c r="J659" s="30"/>
      <c r="K659" s="30"/>
      <c r="L659" s="30"/>
      <c r="M659" s="23"/>
      <c r="N659" s="23"/>
      <c r="O659" s="123"/>
      <c r="AA659" s="136"/>
      <c r="AB659" s="123"/>
    </row>
    <row r="660" spans="1:28" x14ac:dyDescent="0.2">
      <c r="A660" s="23"/>
      <c r="B660" s="30"/>
      <c r="C660" s="30"/>
      <c r="D660" s="147"/>
      <c r="E660" s="147"/>
      <c r="F660" s="30"/>
      <c r="G660" s="30"/>
      <c r="H660" s="30"/>
      <c r="I660" s="30"/>
      <c r="J660" s="30"/>
      <c r="K660" s="30"/>
      <c r="L660" s="30"/>
      <c r="M660" s="23"/>
      <c r="N660" s="23"/>
      <c r="O660" s="123"/>
      <c r="AA660" s="136"/>
      <c r="AB660" s="123"/>
    </row>
    <row r="661" spans="1:28" x14ac:dyDescent="0.2">
      <c r="A661" s="23"/>
      <c r="B661" s="30"/>
      <c r="C661" s="30"/>
      <c r="D661" s="147"/>
      <c r="E661" s="147"/>
      <c r="F661" s="30"/>
      <c r="G661" s="30"/>
      <c r="H661" s="30"/>
      <c r="I661" s="30"/>
      <c r="J661" s="30"/>
      <c r="K661" s="30"/>
      <c r="L661" s="30"/>
      <c r="M661" s="23"/>
      <c r="N661" s="23"/>
      <c r="O661" s="123"/>
      <c r="AA661" s="136"/>
      <c r="AB661" s="123"/>
    </row>
    <row r="662" spans="1:28" x14ac:dyDescent="0.2">
      <c r="A662" s="23"/>
      <c r="B662" s="30"/>
      <c r="C662" s="30"/>
      <c r="D662" s="147"/>
      <c r="E662" s="147"/>
      <c r="F662" s="30"/>
      <c r="G662" s="30"/>
      <c r="H662" s="30"/>
      <c r="I662" s="30"/>
      <c r="J662" s="30"/>
      <c r="K662" s="30"/>
      <c r="L662" s="30"/>
      <c r="M662" s="23"/>
      <c r="N662" s="23"/>
      <c r="O662" s="123"/>
      <c r="AA662" s="136"/>
      <c r="AB662" s="123"/>
    </row>
    <row r="663" spans="1:28" x14ac:dyDescent="0.2">
      <c r="A663" s="23"/>
      <c r="B663" s="30"/>
      <c r="C663" s="30"/>
      <c r="D663" s="147"/>
      <c r="E663" s="147"/>
      <c r="F663" s="30"/>
      <c r="G663" s="30"/>
      <c r="H663" s="30"/>
      <c r="I663" s="30"/>
      <c r="J663" s="30"/>
      <c r="K663" s="30"/>
      <c r="L663" s="30"/>
      <c r="M663" s="23"/>
      <c r="N663" s="23"/>
      <c r="O663" s="123"/>
      <c r="AA663" s="136"/>
      <c r="AB663" s="123"/>
    </row>
    <row r="664" spans="1:28" x14ac:dyDescent="0.2">
      <c r="A664" s="23"/>
      <c r="B664" s="30"/>
      <c r="C664" s="30"/>
      <c r="D664" s="147"/>
      <c r="E664" s="147"/>
      <c r="F664" s="30"/>
      <c r="G664" s="30"/>
      <c r="H664" s="30"/>
      <c r="I664" s="30"/>
      <c r="J664" s="30"/>
      <c r="K664" s="30"/>
      <c r="L664" s="30"/>
      <c r="M664" s="23"/>
      <c r="N664" s="23"/>
      <c r="O664" s="123"/>
      <c r="AA664" s="136"/>
      <c r="AB664" s="123"/>
    </row>
    <row r="665" spans="1:28" x14ac:dyDescent="0.2">
      <c r="A665" s="23"/>
      <c r="B665" s="30"/>
      <c r="C665" s="30"/>
      <c r="D665" s="147"/>
      <c r="E665" s="147"/>
      <c r="F665" s="30"/>
      <c r="G665" s="30"/>
      <c r="H665" s="30"/>
      <c r="I665" s="30"/>
      <c r="J665" s="30"/>
      <c r="K665" s="30"/>
      <c r="L665" s="30"/>
      <c r="M665" s="23"/>
      <c r="N665" s="23"/>
      <c r="O665" s="123"/>
      <c r="AA665" s="136"/>
      <c r="AB665" s="123"/>
    </row>
    <row r="666" spans="1:28" x14ac:dyDescent="0.2">
      <c r="A666" s="23"/>
      <c r="B666" s="30"/>
      <c r="C666" s="30"/>
      <c r="D666" s="147"/>
      <c r="E666" s="147"/>
      <c r="F666" s="30"/>
      <c r="G666" s="30"/>
      <c r="H666" s="30"/>
      <c r="I666" s="30"/>
      <c r="J666" s="30"/>
      <c r="K666" s="30"/>
      <c r="L666" s="30"/>
      <c r="M666" s="23"/>
      <c r="N666" s="23"/>
      <c r="O666" s="123"/>
      <c r="AA666" s="136"/>
      <c r="AB666" s="123"/>
    </row>
    <row r="667" spans="1:28" x14ac:dyDescent="0.2">
      <c r="A667" s="23"/>
      <c r="B667" s="30"/>
      <c r="C667" s="30"/>
      <c r="D667" s="147"/>
      <c r="E667" s="147"/>
      <c r="F667" s="30"/>
      <c r="G667" s="30"/>
      <c r="H667" s="30"/>
      <c r="I667" s="30"/>
      <c r="J667" s="30"/>
      <c r="K667" s="30"/>
      <c r="L667" s="30"/>
      <c r="M667" s="23"/>
      <c r="N667" s="23"/>
      <c r="O667" s="123"/>
      <c r="AA667" s="136"/>
      <c r="AB667" s="123"/>
    </row>
    <row r="668" spans="1:28" x14ac:dyDescent="0.2">
      <c r="A668" s="23"/>
      <c r="B668" s="30"/>
      <c r="C668" s="30"/>
      <c r="D668" s="147"/>
      <c r="E668" s="147"/>
      <c r="F668" s="30"/>
      <c r="G668" s="30"/>
      <c r="H668" s="30"/>
      <c r="I668" s="30"/>
      <c r="J668" s="30"/>
      <c r="K668" s="30"/>
      <c r="L668" s="30"/>
      <c r="M668" s="23"/>
      <c r="N668" s="23"/>
      <c r="O668" s="123"/>
      <c r="AA668" s="136"/>
      <c r="AB668" s="123"/>
    </row>
    <row r="669" spans="1:28" x14ac:dyDescent="0.2">
      <c r="A669" s="23"/>
      <c r="B669" s="30"/>
      <c r="C669" s="30"/>
      <c r="D669" s="147"/>
      <c r="E669" s="147"/>
      <c r="F669" s="30"/>
      <c r="G669" s="30"/>
      <c r="H669" s="30"/>
      <c r="I669" s="30"/>
      <c r="J669" s="30"/>
      <c r="K669" s="30"/>
      <c r="L669" s="30"/>
      <c r="M669" s="23"/>
      <c r="N669" s="23"/>
      <c r="O669" s="123"/>
      <c r="AA669" s="136"/>
      <c r="AB669" s="123"/>
    </row>
    <row r="670" spans="1:28" x14ac:dyDescent="0.2">
      <c r="A670" s="23"/>
      <c r="B670" s="30"/>
      <c r="C670" s="30"/>
      <c r="D670" s="147"/>
      <c r="E670" s="147"/>
      <c r="F670" s="30"/>
      <c r="G670" s="30"/>
      <c r="H670" s="30"/>
      <c r="I670" s="30"/>
      <c r="J670" s="30"/>
      <c r="K670" s="30"/>
      <c r="L670" s="30"/>
      <c r="M670" s="23"/>
      <c r="N670" s="23"/>
      <c r="O670" s="123"/>
      <c r="AA670" s="136"/>
      <c r="AB670" s="123"/>
    </row>
    <row r="671" spans="1:28" x14ac:dyDescent="0.2">
      <c r="A671" s="23"/>
      <c r="B671" s="30"/>
      <c r="C671" s="30"/>
      <c r="D671" s="147"/>
      <c r="E671" s="147"/>
      <c r="F671" s="30"/>
      <c r="G671" s="30"/>
      <c r="H671" s="30"/>
      <c r="I671" s="30"/>
      <c r="J671" s="30"/>
      <c r="K671" s="30"/>
      <c r="L671" s="30"/>
      <c r="M671" s="23"/>
      <c r="N671" s="23"/>
      <c r="O671" s="123"/>
      <c r="AA671" s="136"/>
      <c r="AB671" s="123"/>
    </row>
    <row r="672" spans="1:28" x14ac:dyDescent="0.2">
      <c r="A672" s="23"/>
      <c r="B672" s="30"/>
      <c r="C672" s="30"/>
      <c r="D672" s="147"/>
      <c r="E672" s="147"/>
      <c r="F672" s="30"/>
      <c r="G672" s="30"/>
      <c r="H672" s="30"/>
      <c r="I672" s="30"/>
      <c r="J672" s="30"/>
      <c r="K672" s="30"/>
      <c r="L672" s="30"/>
      <c r="M672" s="23"/>
      <c r="N672" s="23"/>
      <c r="O672" s="123"/>
      <c r="AA672" s="136"/>
      <c r="AB672" s="123"/>
    </row>
    <row r="673" spans="1:28" x14ac:dyDescent="0.2">
      <c r="A673" s="23"/>
      <c r="B673" s="30"/>
      <c r="C673" s="30"/>
      <c r="D673" s="147"/>
      <c r="E673" s="147"/>
      <c r="F673" s="30"/>
      <c r="G673" s="30"/>
      <c r="H673" s="30"/>
      <c r="I673" s="30"/>
      <c r="J673" s="30"/>
      <c r="K673" s="30"/>
      <c r="L673" s="30"/>
      <c r="M673" s="23"/>
      <c r="N673" s="23"/>
      <c r="O673" s="123"/>
      <c r="AA673" s="136"/>
      <c r="AB673" s="123"/>
    </row>
    <row r="674" spans="1:28" x14ac:dyDescent="0.2">
      <c r="A674" s="23"/>
      <c r="B674" s="30"/>
      <c r="C674" s="30"/>
      <c r="D674" s="147"/>
      <c r="E674" s="147"/>
      <c r="F674" s="30"/>
      <c r="G674" s="30"/>
      <c r="H674" s="30"/>
      <c r="I674" s="30"/>
      <c r="J674" s="30"/>
      <c r="K674" s="30"/>
      <c r="L674" s="30"/>
      <c r="M674" s="23"/>
      <c r="N674" s="23"/>
      <c r="O674" s="123"/>
      <c r="AA674" s="136"/>
      <c r="AB674" s="123"/>
    </row>
    <row r="675" spans="1:28" x14ac:dyDescent="0.2">
      <c r="A675" s="23"/>
      <c r="B675" s="30"/>
      <c r="C675" s="30"/>
      <c r="D675" s="147"/>
      <c r="E675" s="147"/>
      <c r="F675" s="30"/>
      <c r="G675" s="30"/>
      <c r="H675" s="30"/>
      <c r="I675" s="30"/>
      <c r="J675" s="30"/>
      <c r="K675" s="30"/>
      <c r="L675" s="30"/>
      <c r="M675" s="23"/>
      <c r="N675" s="23"/>
      <c r="O675" s="123"/>
      <c r="AA675" s="136"/>
      <c r="AB675" s="123"/>
    </row>
    <row r="676" spans="1:28" x14ac:dyDescent="0.2">
      <c r="A676" s="23"/>
      <c r="B676" s="30"/>
      <c r="C676" s="30"/>
      <c r="D676" s="147"/>
      <c r="E676" s="147"/>
      <c r="F676" s="30"/>
      <c r="G676" s="30"/>
      <c r="H676" s="30"/>
      <c r="I676" s="30"/>
      <c r="J676" s="30"/>
      <c r="K676" s="30"/>
      <c r="L676" s="30"/>
      <c r="M676" s="23"/>
      <c r="N676" s="23"/>
      <c r="O676" s="123"/>
      <c r="AA676" s="136"/>
      <c r="AB676" s="123"/>
    </row>
    <row r="677" spans="1:28" x14ac:dyDescent="0.2">
      <c r="A677" s="23"/>
      <c r="B677" s="30"/>
      <c r="C677" s="30"/>
      <c r="D677" s="147"/>
      <c r="E677" s="147"/>
      <c r="F677" s="30"/>
      <c r="G677" s="30"/>
      <c r="H677" s="30"/>
      <c r="I677" s="30"/>
      <c r="J677" s="30"/>
      <c r="K677" s="30"/>
      <c r="L677" s="30"/>
      <c r="M677" s="23"/>
      <c r="N677" s="23"/>
      <c r="O677" s="123"/>
      <c r="AA677" s="136"/>
      <c r="AB677" s="123"/>
    </row>
    <row r="678" spans="1:28" x14ac:dyDescent="0.2">
      <c r="A678" s="23"/>
      <c r="B678" s="30"/>
      <c r="C678" s="30"/>
      <c r="D678" s="147"/>
      <c r="E678" s="147"/>
      <c r="F678" s="30"/>
      <c r="G678" s="30"/>
      <c r="H678" s="30"/>
      <c r="I678" s="30"/>
      <c r="J678" s="30"/>
      <c r="K678" s="30"/>
      <c r="L678" s="30"/>
      <c r="M678" s="23"/>
      <c r="N678" s="23"/>
      <c r="O678" s="123"/>
      <c r="AA678" s="136"/>
      <c r="AB678" s="123"/>
    </row>
    <row r="679" spans="1:28" x14ac:dyDescent="0.2">
      <c r="A679" s="23"/>
      <c r="B679" s="30"/>
      <c r="C679" s="30"/>
      <c r="D679" s="147"/>
      <c r="E679" s="147"/>
      <c r="F679" s="30"/>
      <c r="G679" s="30"/>
      <c r="H679" s="30"/>
      <c r="I679" s="30"/>
      <c r="J679" s="30"/>
      <c r="K679" s="30"/>
      <c r="L679" s="30"/>
      <c r="M679" s="23"/>
      <c r="N679" s="23"/>
      <c r="O679" s="123"/>
      <c r="AA679" s="136"/>
      <c r="AB679" s="123"/>
    </row>
    <row r="680" spans="1:28" x14ac:dyDescent="0.2">
      <c r="A680" s="23"/>
      <c r="B680" s="30"/>
      <c r="C680" s="30"/>
      <c r="D680" s="147"/>
      <c r="E680" s="147"/>
      <c r="F680" s="30"/>
      <c r="G680" s="30"/>
      <c r="H680" s="30"/>
      <c r="I680" s="30"/>
      <c r="J680" s="30"/>
      <c r="K680" s="30"/>
      <c r="L680" s="30"/>
      <c r="M680" s="23"/>
      <c r="N680" s="23"/>
      <c r="O680" s="123"/>
      <c r="AA680" s="136"/>
      <c r="AB680" s="123"/>
    </row>
    <row r="681" spans="1:28" x14ac:dyDescent="0.2">
      <c r="A681" s="23"/>
      <c r="B681" s="30"/>
      <c r="C681" s="30"/>
      <c r="D681" s="147"/>
      <c r="E681" s="147"/>
      <c r="F681" s="30"/>
      <c r="G681" s="30"/>
      <c r="H681" s="30"/>
      <c r="I681" s="30"/>
      <c r="J681" s="30"/>
      <c r="K681" s="30"/>
      <c r="L681" s="30"/>
      <c r="M681" s="23"/>
      <c r="N681" s="23"/>
      <c r="O681" s="123"/>
      <c r="AA681" s="136"/>
      <c r="AB681" s="123"/>
    </row>
    <row r="682" spans="1:28" x14ac:dyDescent="0.2">
      <c r="A682" s="23"/>
      <c r="B682" s="30"/>
      <c r="C682" s="30"/>
      <c r="D682" s="147"/>
      <c r="E682" s="147"/>
      <c r="F682" s="30"/>
      <c r="G682" s="30"/>
      <c r="H682" s="30"/>
      <c r="I682" s="30"/>
      <c r="J682" s="30"/>
      <c r="K682" s="30"/>
      <c r="L682" s="30"/>
      <c r="M682" s="23"/>
      <c r="N682" s="23"/>
      <c r="O682" s="123"/>
      <c r="AA682" s="136"/>
      <c r="AB682" s="123"/>
    </row>
    <row r="683" spans="1:28" x14ac:dyDescent="0.2">
      <c r="A683" s="23"/>
      <c r="B683" s="30"/>
      <c r="C683" s="30"/>
      <c r="D683" s="147"/>
      <c r="E683" s="147"/>
      <c r="F683" s="30"/>
      <c r="G683" s="30"/>
      <c r="H683" s="30"/>
      <c r="I683" s="30"/>
      <c r="J683" s="30"/>
      <c r="K683" s="30"/>
      <c r="L683" s="30"/>
      <c r="M683" s="23"/>
      <c r="N683" s="23"/>
      <c r="O683" s="123"/>
      <c r="AA683" s="136"/>
      <c r="AB683" s="123"/>
    </row>
    <row r="684" spans="1:28" x14ac:dyDescent="0.2">
      <c r="A684" s="23"/>
      <c r="B684" s="30"/>
      <c r="C684" s="30"/>
      <c r="D684" s="147"/>
      <c r="E684" s="147"/>
      <c r="F684" s="30"/>
      <c r="G684" s="30"/>
      <c r="H684" s="30"/>
      <c r="I684" s="30"/>
      <c r="J684" s="30"/>
      <c r="K684" s="30"/>
      <c r="L684" s="30"/>
      <c r="M684" s="23"/>
      <c r="N684" s="23"/>
      <c r="O684" s="123"/>
      <c r="AA684" s="136"/>
      <c r="AB684" s="123"/>
    </row>
    <row r="685" spans="1:28" x14ac:dyDescent="0.2">
      <c r="A685" s="23"/>
      <c r="B685" s="30"/>
      <c r="C685" s="30"/>
      <c r="D685" s="147"/>
      <c r="E685" s="147"/>
      <c r="F685" s="30"/>
      <c r="G685" s="30"/>
      <c r="H685" s="30"/>
      <c r="I685" s="30"/>
      <c r="J685" s="30"/>
      <c r="K685" s="30"/>
      <c r="L685" s="30"/>
      <c r="M685" s="23"/>
      <c r="N685" s="23"/>
      <c r="O685" s="123"/>
      <c r="AA685" s="136"/>
      <c r="AB685" s="123"/>
    </row>
    <row r="686" spans="1:28" x14ac:dyDescent="0.2">
      <c r="A686" s="23"/>
      <c r="B686" s="30"/>
      <c r="C686" s="30"/>
      <c r="D686" s="147"/>
      <c r="E686" s="147"/>
      <c r="F686" s="30"/>
      <c r="G686" s="30"/>
      <c r="H686" s="30"/>
      <c r="I686" s="30"/>
      <c r="J686" s="30"/>
      <c r="K686" s="30"/>
      <c r="L686" s="30"/>
      <c r="M686" s="23"/>
      <c r="N686" s="23"/>
      <c r="O686" s="123"/>
      <c r="AA686" s="136"/>
      <c r="AB686" s="123"/>
    </row>
    <row r="687" spans="1:28" x14ac:dyDescent="0.2">
      <c r="A687" s="23"/>
      <c r="B687" s="30"/>
      <c r="C687" s="30"/>
      <c r="D687" s="147"/>
      <c r="E687" s="147"/>
      <c r="F687" s="30"/>
      <c r="G687" s="30"/>
      <c r="H687" s="30"/>
      <c r="I687" s="30"/>
      <c r="J687" s="30"/>
      <c r="K687" s="30"/>
      <c r="L687" s="30"/>
      <c r="M687" s="23"/>
      <c r="N687" s="23"/>
      <c r="O687" s="123"/>
      <c r="AA687" s="136"/>
      <c r="AB687" s="123"/>
    </row>
    <row r="688" spans="1:28" x14ac:dyDescent="0.2">
      <c r="A688" s="23"/>
      <c r="B688" s="30"/>
      <c r="C688" s="30"/>
      <c r="D688" s="147"/>
      <c r="E688" s="147"/>
      <c r="F688" s="30"/>
      <c r="G688" s="30"/>
      <c r="H688" s="30"/>
      <c r="I688" s="30"/>
      <c r="J688" s="30"/>
      <c r="K688" s="30"/>
      <c r="L688" s="30"/>
      <c r="M688" s="23"/>
      <c r="N688" s="23"/>
      <c r="O688" s="123"/>
      <c r="AA688" s="136"/>
      <c r="AB688" s="123"/>
    </row>
    <row r="689" spans="1:28" x14ac:dyDescent="0.2">
      <c r="A689" s="23"/>
      <c r="B689" s="30"/>
      <c r="C689" s="30"/>
      <c r="D689" s="147"/>
      <c r="E689" s="147"/>
      <c r="F689" s="30"/>
      <c r="G689" s="30"/>
      <c r="H689" s="30"/>
      <c r="I689" s="30"/>
      <c r="J689" s="30"/>
      <c r="K689" s="30"/>
      <c r="L689" s="30"/>
      <c r="M689" s="23"/>
      <c r="N689" s="23"/>
      <c r="O689" s="123"/>
      <c r="AA689" s="136"/>
      <c r="AB689" s="123"/>
    </row>
    <row r="690" spans="1:28" x14ac:dyDescent="0.2">
      <c r="A690" s="23"/>
      <c r="B690" s="30"/>
      <c r="C690" s="30"/>
      <c r="D690" s="147"/>
      <c r="E690" s="147"/>
      <c r="F690" s="30"/>
      <c r="G690" s="30"/>
      <c r="H690" s="30"/>
      <c r="I690" s="30"/>
      <c r="J690" s="30"/>
      <c r="K690" s="30"/>
      <c r="L690" s="30"/>
      <c r="M690" s="23"/>
      <c r="N690" s="23"/>
      <c r="O690" s="123"/>
      <c r="AA690" s="136"/>
      <c r="AB690" s="123"/>
    </row>
    <row r="691" spans="1:28" x14ac:dyDescent="0.2">
      <c r="A691" s="23"/>
      <c r="B691" s="30"/>
      <c r="C691" s="30"/>
      <c r="D691" s="147"/>
      <c r="E691" s="147"/>
      <c r="F691" s="30"/>
      <c r="G691" s="30"/>
      <c r="H691" s="30"/>
      <c r="I691" s="30"/>
      <c r="J691" s="30"/>
      <c r="K691" s="30"/>
      <c r="L691" s="30"/>
      <c r="M691" s="23"/>
      <c r="N691" s="23"/>
      <c r="O691" s="123"/>
      <c r="AA691" s="136"/>
      <c r="AB691" s="123"/>
    </row>
    <row r="692" spans="1:28" x14ac:dyDescent="0.2">
      <c r="A692" s="23"/>
      <c r="B692" s="30"/>
      <c r="C692" s="30"/>
      <c r="D692" s="147"/>
      <c r="E692" s="147"/>
      <c r="F692" s="30"/>
      <c r="G692" s="30"/>
      <c r="H692" s="30"/>
      <c r="I692" s="30"/>
      <c r="J692" s="30"/>
      <c r="K692" s="30"/>
      <c r="L692" s="30"/>
      <c r="M692" s="23"/>
      <c r="N692" s="23"/>
      <c r="O692" s="123"/>
      <c r="AA692" s="136"/>
      <c r="AB692" s="123"/>
    </row>
    <row r="693" spans="1:28" x14ac:dyDescent="0.2">
      <c r="A693" s="23"/>
      <c r="B693" s="30"/>
      <c r="C693" s="30"/>
      <c r="D693" s="147"/>
      <c r="E693" s="147"/>
      <c r="F693" s="30"/>
      <c r="G693" s="30"/>
      <c r="H693" s="30"/>
      <c r="I693" s="30"/>
      <c r="J693" s="30"/>
      <c r="K693" s="30"/>
      <c r="L693" s="30"/>
      <c r="M693" s="23"/>
      <c r="N693" s="23"/>
      <c r="O693" s="123"/>
      <c r="AA693" s="136"/>
      <c r="AB693" s="123"/>
    </row>
    <row r="694" spans="1:28" x14ac:dyDescent="0.2">
      <c r="A694" s="23"/>
      <c r="B694" s="30"/>
      <c r="C694" s="30"/>
      <c r="D694" s="147"/>
      <c r="E694" s="147"/>
      <c r="F694" s="30"/>
      <c r="G694" s="30"/>
      <c r="H694" s="30"/>
      <c r="I694" s="30"/>
      <c r="J694" s="30"/>
      <c r="K694" s="30"/>
      <c r="L694" s="30"/>
      <c r="M694" s="23"/>
      <c r="N694" s="23"/>
      <c r="O694" s="123"/>
      <c r="AA694" s="136"/>
      <c r="AB694" s="123"/>
    </row>
    <row r="695" spans="1:28" x14ac:dyDescent="0.2">
      <c r="A695" s="23"/>
      <c r="B695" s="30"/>
      <c r="C695" s="30"/>
      <c r="D695" s="147"/>
      <c r="E695" s="147"/>
      <c r="F695" s="30"/>
      <c r="G695" s="30"/>
      <c r="H695" s="30"/>
      <c r="I695" s="30"/>
      <c r="J695" s="30"/>
      <c r="K695" s="30"/>
      <c r="L695" s="30"/>
      <c r="M695" s="23"/>
      <c r="N695" s="23"/>
      <c r="O695" s="123"/>
      <c r="AA695" s="136"/>
      <c r="AB695" s="123"/>
    </row>
    <row r="696" spans="1:28" x14ac:dyDescent="0.2">
      <c r="A696" s="23"/>
      <c r="B696" s="30"/>
      <c r="C696" s="30"/>
      <c r="D696" s="147"/>
      <c r="E696" s="147"/>
      <c r="F696" s="30"/>
      <c r="G696" s="30"/>
      <c r="H696" s="30"/>
      <c r="I696" s="30"/>
      <c r="J696" s="30"/>
      <c r="K696" s="30"/>
      <c r="L696" s="30"/>
      <c r="M696" s="23"/>
      <c r="N696" s="23"/>
      <c r="O696" s="123"/>
      <c r="AA696" s="136"/>
      <c r="AB696" s="123"/>
    </row>
    <row r="697" spans="1:28" x14ac:dyDescent="0.2">
      <c r="A697" s="23"/>
      <c r="B697" s="30"/>
      <c r="C697" s="30"/>
      <c r="D697" s="147"/>
      <c r="E697" s="147"/>
      <c r="F697" s="30"/>
      <c r="G697" s="30"/>
      <c r="H697" s="30"/>
      <c r="I697" s="30"/>
      <c r="J697" s="30"/>
      <c r="K697" s="30"/>
      <c r="L697" s="30"/>
      <c r="M697" s="23"/>
      <c r="N697" s="23"/>
      <c r="O697" s="123"/>
      <c r="AA697" s="136"/>
      <c r="AB697" s="123"/>
    </row>
    <row r="698" spans="1:28" x14ac:dyDescent="0.2">
      <c r="A698" s="23"/>
      <c r="B698" s="30"/>
      <c r="C698" s="30"/>
      <c r="D698" s="147"/>
      <c r="E698" s="147"/>
      <c r="F698" s="30"/>
      <c r="G698" s="30"/>
      <c r="H698" s="30"/>
      <c r="I698" s="30"/>
      <c r="J698" s="30"/>
      <c r="K698" s="30"/>
      <c r="L698" s="30"/>
      <c r="M698" s="23"/>
      <c r="N698" s="23"/>
      <c r="O698" s="123"/>
      <c r="AA698" s="136"/>
      <c r="AB698" s="123"/>
    </row>
    <row r="699" spans="1:28" x14ac:dyDescent="0.2">
      <c r="A699" s="23"/>
      <c r="B699" s="30"/>
      <c r="C699" s="30"/>
      <c r="D699" s="147"/>
      <c r="E699" s="147"/>
      <c r="F699" s="30"/>
      <c r="G699" s="30"/>
      <c r="H699" s="30"/>
      <c r="I699" s="30"/>
      <c r="J699" s="30"/>
      <c r="K699" s="30"/>
      <c r="L699" s="30"/>
      <c r="M699" s="23"/>
      <c r="N699" s="23"/>
      <c r="O699" s="123"/>
      <c r="AA699" s="136"/>
      <c r="AB699" s="123"/>
    </row>
    <row r="700" spans="1:28" x14ac:dyDescent="0.2">
      <c r="A700" s="23"/>
      <c r="B700" s="30"/>
      <c r="C700" s="30"/>
      <c r="D700" s="147"/>
      <c r="E700" s="147"/>
      <c r="F700" s="30"/>
      <c r="G700" s="30"/>
      <c r="H700" s="30"/>
      <c r="I700" s="30"/>
      <c r="J700" s="30"/>
      <c r="K700" s="30"/>
      <c r="L700" s="30"/>
      <c r="M700" s="23"/>
      <c r="N700" s="23"/>
      <c r="O700" s="123"/>
      <c r="AA700" s="136"/>
      <c r="AB700" s="123"/>
    </row>
    <row r="701" spans="1:28" x14ac:dyDescent="0.2">
      <c r="A701" s="23"/>
      <c r="B701" s="30"/>
      <c r="C701" s="30"/>
      <c r="D701" s="147"/>
      <c r="E701" s="147"/>
      <c r="F701" s="30"/>
      <c r="G701" s="30"/>
      <c r="H701" s="30"/>
      <c r="I701" s="30"/>
      <c r="J701" s="30"/>
      <c r="K701" s="30"/>
      <c r="L701" s="30"/>
      <c r="M701" s="23"/>
      <c r="N701" s="23"/>
      <c r="O701" s="123"/>
      <c r="AA701" s="136"/>
      <c r="AB701" s="123"/>
    </row>
    <row r="702" spans="1:28" x14ac:dyDescent="0.2">
      <c r="A702" s="23"/>
      <c r="B702" s="30"/>
      <c r="C702" s="30"/>
      <c r="D702" s="147"/>
      <c r="E702" s="147"/>
      <c r="F702" s="30"/>
      <c r="G702" s="30"/>
      <c r="H702" s="30"/>
      <c r="I702" s="30"/>
      <c r="J702" s="30"/>
      <c r="K702" s="30"/>
      <c r="L702" s="30"/>
      <c r="M702" s="23"/>
      <c r="N702" s="23"/>
      <c r="O702" s="123"/>
      <c r="AA702" s="136"/>
      <c r="AB702" s="123"/>
    </row>
    <row r="703" spans="1:28" x14ac:dyDescent="0.2">
      <c r="A703" s="23"/>
      <c r="B703" s="30"/>
      <c r="C703" s="30"/>
      <c r="D703" s="147"/>
      <c r="E703" s="147"/>
      <c r="F703" s="30"/>
      <c r="G703" s="30"/>
      <c r="H703" s="30"/>
      <c r="I703" s="30"/>
      <c r="J703" s="30"/>
      <c r="K703" s="30"/>
      <c r="L703" s="30"/>
      <c r="M703" s="23"/>
      <c r="N703" s="23"/>
      <c r="O703" s="123"/>
      <c r="AA703" s="136"/>
      <c r="AB703" s="123"/>
    </row>
    <row r="704" spans="1:28" x14ac:dyDescent="0.2">
      <c r="A704" s="23"/>
      <c r="B704" s="30"/>
      <c r="C704" s="30"/>
      <c r="D704" s="147"/>
      <c r="E704" s="147"/>
      <c r="F704" s="30"/>
      <c r="G704" s="30"/>
      <c r="H704" s="30"/>
      <c r="I704" s="30"/>
      <c r="J704" s="30"/>
      <c r="K704" s="30"/>
      <c r="L704" s="30"/>
      <c r="M704" s="23"/>
      <c r="N704" s="23"/>
      <c r="O704" s="123"/>
      <c r="AA704" s="136"/>
      <c r="AB704" s="123"/>
    </row>
    <row r="705" spans="1:28" x14ac:dyDescent="0.2">
      <c r="A705" s="23"/>
      <c r="B705" s="30"/>
      <c r="C705" s="30"/>
      <c r="D705" s="147"/>
      <c r="E705" s="147"/>
      <c r="F705" s="30"/>
      <c r="G705" s="30"/>
      <c r="H705" s="30"/>
      <c r="I705" s="30"/>
      <c r="J705" s="30"/>
      <c r="K705" s="30"/>
      <c r="L705" s="30"/>
      <c r="M705" s="23"/>
      <c r="N705" s="23"/>
      <c r="O705" s="123"/>
      <c r="AA705" s="136"/>
      <c r="AB705" s="123"/>
    </row>
    <row r="706" spans="1:28" x14ac:dyDescent="0.2">
      <c r="A706" s="23"/>
      <c r="B706" s="30"/>
      <c r="C706" s="30"/>
      <c r="D706" s="147"/>
      <c r="E706" s="147"/>
      <c r="F706" s="30"/>
      <c r="G706" s="30"/>
      <c r="H706" s="30"/>
      <c r="I706" s="30"/>
      <c r="J706" s="30"/>
      <c r="K706" s="30"/>
      <c r="L706" s="30"/>
      <c r="M706" s="23"/>
      <c r="N706" s="23"/>
      <c r="O706" s="123"/>
      <c r="AA706" s="136"/>
      <c r="AB706" s="123"/>
    </row>
    <row r="707" spans="1:28" x14ac:dyDescent="0.2">
      <c r="A707" s="23"/>
      <c r="B707" s="30"/>
      <c r="C707" s="30"/>
      <c r="D707" s="147"/>
      <c r="E707" s="147"/>
      <c r="F707" s="30"/>
      <c r="G707" s="30"/>
      <c r="H707" s="30"/>
      <c r="I707" s="30"/>
      <c r="J707" s="30"/>
      <c r="K707" s="30"/>
      <c r="L707" s="30"/>
      <c r="M707" s="23"/>
      <c r="N707" s="23"/>
      <c r="O707" s="123"/>
      <c r="AA707" s="136"/>
      <c r="AB707" s="123"/>
    </row>
    <row r="708" spans="1:28" x14ac:dyDescent="0.2">
      <c r="A708" s="23"/>
      <c r="B708" s="30"/>
      <c r="C708" s="30"/>
      <c r="D708" s="147"/>
      <c r="E708" s="147"/>
      <c r="F708" s="30"/>
      <c r="G708" s="30"/>
      <c r="H708" s="30"/>
      <c r="I708" s="30"/>
      <c r="J708" s="30"/>
      <c r="K708" s="30"/>
      <c r="L708" s="30"/>
      <c r="M708" s="23"/>
      <c r="N708" s="23"/>
      <c r="O708" s="123"/>
      <c r="AA708" s="136"/>
      <c r="AB708" s="123"/>
    </row>
    <row r="709" spans="1:28" x14ac:dyDescent="0.2">
      <c r="A709" s="23"/>
      <c r="B709" s="30"/>
      <c r="C709" s="30"/>
      <c r="D709" s="147"/>
      <c r="E709" s="147"/>
      <c r="F709" s="30"/>
      <c r="G709" s="30"/>
      <c r="H709" s="30"/>
      <c r="I709" s="30"/>
      <c r="J709" s="30"/>
      <c r="K709" s="30"/>
      <c r="L709" s="30"/>
      <c r="M709" s="23"/>
      <c r="N709" s="23"/>
      <c r="O709" s="123"/>
      <c r="AA709" s="136"/>
      <c r="AB709" s="123"/>
    </row>
    <row r="710" spans="1:28" x14ac:dyDescent="0.2">
      <c r="A710" s="23"/>
      <c r="B710" s="30"/>
      <c r="C710" s="30"/>
      <c r="D710" s="147"/>
      <c r="E710" s="147"/>
      <c r="F710" s="30"/>
      <c r="G710" s="30"/>
      <c r="H710" s="30"/>
      <c r="I710" s="30"/>
      <c r="J710" s="30"/>
      <c r="K710" s="30"/>
      <c r="L710" s="30"/>
      <c r="M710" s="23"/>
      <c r="N710" s="23"/>
      <c r="O710" s="123"/>
      <c r="AA710" s="136"/>
      <c r="AB710" s="123"/>
    </row>
    <row r="711" spans="1:28" x14ac:dyDescent="0.2">
      <c r="A711" s="23"/>
      <c r="B711" s="30"/>
      <c r="C711" s="30"/>
      <c r="D711" s="147"/>
      <c r="E711" s="147"/>
      <c r="F711" s="30"/>
      <c r="G711" s="30"/>
      <c r="H711" s="30"/>
      <c r="I711" s="30"/>
      <c r="J711" s="30"/>
      <c r="K711" s="30"/>
      <c r="L711" s="30"/>
      <c r="M711" s="23"/>
      <c r="N711" s="23"/>
      <c r="O711" s="123"/>
      <c r="AA711" s="136"/>
      <c r="AB711" s="123"/>
    </row>
    <row r="712" spans="1:28" x14ac:dyDescent="0.2">
      <c r="A712" s="23"/>
      <c r="B712" s="30"/>
      <c r="C712" s="30"/>
      <c r="D712" s="147"/>
      <c r="E712" s="147"/>
      <c r="F712" s="30"/>
      <c r="G712" s="30"/>
      <c r="H712" s="30"/>
      <c r="I712" s="30"/>
      <c r="J712" s="30"/>
      <c r="K712" s="30"/>
      <c r="L712" s="30"/>
      <c r="M712" s="23"/>
      <c r="N712" s="23"/>
      <c r="O712" s="123"/>
      <c r="AA712" s="136"/>
      <c r="AB712" s="123"/>
    </row>
    <row r="713" spans="1:28" x14ac:dyDescent="0.2">
      <c r="A713" s="23"/>
      <c r="B713" s="30"/>
      <c r="C713" s="30"/>
      <c r="D713" s="147"/>
      <c r="E713" s="147"/>
      <c r="F713" s="30"/>
      <c r="G713" s="30"/>
      <c r="H713" s="30"/>
      <c r="I713" s="30"/>
      <c r="J713" s="30"/>
      <c r="K713" s="30"/>
      <c r="L713" s="30"/>
      <c r="M713" s="23"/>
      <c r="N713" s="23"/>
      <c r="O713" s="123"/>
      <c r="AA713" s="136"/>
      <c r="AB713" s="123"/>
    </row>
    <row r="714" spans="1:28" x14ac:dyDescent="0.2">
      <c r="A714" s="23"/>
      <c r="B714" s="30"/>
      <c r="C714" s="30"/>
      <c r="D714" s="147"/>
      <c r="E714" s="147"/>
      <c r="F714" s="30"/>
      <c r="G714" s="30"/>
      <c r="H714" s="30"/>
      <c r="I714" s="30"/>
      <c r="J714" s="30"/>
      <c r="K714" s="30"/>
      <c r="L714" s="30"/>
      <c r="M714" s="23"/>
      <c r="N714" s="23"/>
      <c r="O714" s="123"/>
      <c r="AA714" s="136"/>
      <c r="AB714" s="123"/>
    </row>
    <row r="715" spans="1:28" x14ac:dyDescent="0.2">
      <c r="A715" s="23"/>
      <c r="B715" s="30"/>
      <c r="C715" s="30"/>
      <c r="D715" s="147"/>
      <c r="E715" s="147"/>
      <c r="F715" s="30"/>
      <c r="G715" s="30"/>
      <c r="H715" s="30"/>
      <c r="I715" s="30"/>
      <c r="J715" s="30"/>
      <c r="K715" s="30"/>
      <c r="L715" s="30"/>
      <c r="M715" s="23"/>
      <c r="N715" s="23"/>
      <c r="O715" s="123"/>
      <c r="AA715" s="136"/>
      <c r="AB715" s="123"/>
    </row>
    <row r="716" spans="1:28" x14ac:dyDescent="0.2">
      <c r="A716" s="23"/>
      <c r="B716" s="30"/>
      <c r="C716" s="30"/>
      <c r="D716" s="147"/>
      <c r="E716" s="147"/>
      <c r="F716" s="30"/>
      <c r="G716" s="30"/>
      <c r="H716" s="30"/>
      <c r="I716" s="30"/>
      <c r="J716" s="30"/>
      <c r="K716" s="30"/>
      <c r="L716" s="30"/>
      <c r="M716" s="23"/>
      <c r="N716" s="23"/>
      <c r="O716" s="123"/>
      <c r="AA716" s="136"/>
      <c r="AB716" s="123"/>
    </row>
    <row r="717" spans="1:28" x14ac:dyDescent="0.2">
      <c r="A717" s="23"/>
      <c r="B717" s="30"/>
      <c r="C717" s="30"/>
      <c r="D717" s="147"/>
      <c r="E717" s="147"/>
      <c r="F717" s="30"/>
      <c r="G717" s="30"/>
      <c r="H717" s="30"/>
      <c r="I717" s="30"/>
      <c r="J717" s="30"/>
      <c r="K717" s="30"/>
      <c r="L717" s="30"/>
      <c r="M717" s="23"/>
      <c r="N717" s="23"/>
      <c r="O717" s="123"/>
      <c r="AA717" s="136"/>
      <c r="AB717" s="123"/>
    </row>
    <row r="718" spans="1:28" x14ac:dyDescent="0.2">
      <c r="A718" s="23"/>
      <c r="B718" s="30"/>
      <c r="C718" s="30"/>
      <c r="D718" s="147"/>
      <c r="E718" s="147"/>
      <c r="F718" s="30"/>
      <c r="G718" s="30"/>
      <c r="H718" s="30"/>
      <c r="I718" s="30"/>
      <c r="J718" s="30"/>
      <c r="K718" s="30"/>
      <c r="L718" s="30"/>
      <c r="M718" s="23"/>
      <c r="N718" s="23"/>
      <c r="O718" s="123"/>
      <c r="AA718" s="136"/>
      <c r="AB718" s="123"/>
    </row>
    <row r="719" spans="1:28" x14ac:dyDescent="0.2">
      <c r="A719" s="23"/>
      <c r="B719" s="30"/>
      <c r="C719" s="30"/>
      <c r="D719" s="147"/>
      <c r="E719" s="147"/>
      <c r="F719" s="30"/>
      <c r="G719" s="30"/>
      <c r="H719" s="30"/>
      <c r="I719" s="30"/>
      <c r="J719" s="30"/>
      <c r="K719" s="30"/>
      <c r="L719" s="30"/>
      <c r="M719" s="23"/>
      <c r="N719" s="23"/>
      <c r="O719" s="123"/>
      <c r="AA719" s="136"/>
      <c r="AB719" s="123"/>
    </row>
    <row r="720" spans="1:28" x14ac:dyDescent="0.2">
      <c r="A720" s="23"/>
      <c r="B720" s="30"/>
      <c r="C720" s="30"/>
      <c r="D720" s="147"/>
      <c r="E720" s="147"/>
      <c r="F720" s="30"/>
      <c r="G720" s="30"/>
      <c r="H720" s="30"/>
      <c r="I720" s="30"/>
      <c r="J720" s="30"/>
      <c r="K720" s="30"/>
      <c r="L720" s="30"/>
      <c r="M720" s="23"/>
      <c r="N720" s="23"/>
      <c r="O720" s="123"/>
      <c r="AA720" s="136"/>
      <c r="AB720" s="123"/>
    </row>
    <row r="721" spans="1:28" x14ac:dyDescent="0.2">
      <c r="A721" s="23"/>
      <c r="B721" s="30"/>
      <c r="C721" s="30"/>
      <c r="D721" s="147"/>
      <c r="E721" s="147"/>
      <c r="F721" s="30"/>
      <c r="G721" s="30"/>
      <c r="H721" s="30"/>
      <c r="I721" s="30"/>
      <c r="J721" s="30"/>
      <c r="K721" s="30"/>
      <c r="L721" s="30"/>
      <c r="M721" s="23"/>
      <c r="N721" s="23"/>
      <c r="O721" s="123"/>
      <c r="AA721" s="136"/>
      <c r="AB721" s="123"/>
    </row>
    <row r="722" spans="1:28" x14ac:dyDescent="0.2">
      <c r="A722" s="23"/>
      <c r="B722" s="30"/>
      <c r="C722" s="30"/>
      <c r="D722" s="147"/>
      <c r="E722" s="147"/>
      <c r="F722" s="30"/>
      <c r="G722" s="30"/>
      <c r="H722" s="30"/>
      <c r="I722" s="30"/>
      <c r="J722" s="30"/>
      <c r="K722" s="30"/>
      <c r="L722" s="30"/>
      <c r="M722" s="23"/>
      <c r="N722" s="23"/>
      <c r="O722" s="123"/>
      <c r="AA722" s="136"/>
      <c r="AB722" s="123"/>
    </row>
    <row r="723" spans="1:28" x14ac:dyDescent="0.2">
      <c r="A723" s="23"/>
      <c r="B723" s="30"/>
      <c r="C723" s="30"/>
      <c r="D723" s="147"/>
      <c r="E723" s="147"/>
      <c r="F723" s="30"/>
      <c r="G723" s="30"/>
      <c r="H723" s="30"/>
      <c r="I723" s="30"/>
      <c r="J723" s="30"/>
      <c r="K723" s="30"/>
      <c r="L723" s="30"/>
      <c r="M723" s="23"/>
      <c r="N723" s="23"/>
      <c r="O723" s="123"/>
      <c r="AA723" s="136"/>
      <c r="AB723" s="123"/>
    </row>
    <row r="724" spans="1:28" x14ac:dyDescent="0.2">
      <c r="A724" s="23"/>
      <c r="B724" s="30"/>
      <c r="C724" s="30"/>
      <c r="D724" s="147"/>
      <c r="E724" s="147"/>
      <c r="F724" s="30"/>
      <c r="G724" s="30"/>
      <c r="H724" s="30"/>
      <c r="I724" s="30"/>
      <c r="J724" s="30"/>
      <c r="K724" s="30"/>
      <c r="L724" s="30"/>
      <c r="M724" s="23"/>
      <c r="N724" s="23"/>
      <c r="O724" s="123"/>
      <c r="AA724" s="136"/>
      <c r="AB724" s="123"/>
    </row>
    <row r="725" spans="1:28" x14ac:dyDescent="0.2">
      <c r="A725" s="23"/>
      <c r="B725" s="30"/>
      <c r="C725" s="30"/>
      <c r="D725" s="147"/>
      <c r="E725" s="147"/>
      <c r="F725" s="30"/>
      <c r="G725" s="30"/>
      <c r="H725" s="30"/>
      <c r="I725" s="30"/>
      <c r="J725" s="30"/>
      <c r="K725" s="30"/>
      <c r="L725" s="30"/>
      <c r="M725" s="23"/>
      <c r="N725" s="23"/>
      <c r="O725" s="123"/>
      <c r="AA725" s="136"/>
      <c r="AB725" s="123"/>
    </row>
    <row r="726" spans="1:28" x14ac:dyDescent="0.2">
      <c r="A726" s="23"/>
      <c r="B726" s="30"/>
      <c r="C726" s="30"/>
      <c r="D726" s="147"/>
      <c r="E726" s="147"/>
      <c r="F726" s="30"/>
      <c r="G726" s="30"/>
      <c r="H726" s="30"/>
      <c r="I726" s="30"/>
      <c r="J726" s="30"/>
      <c r="K726" s="30"/>
      <c r="L726" s="30"/>
      <c r="M726" s="23"/>
      <c r="N726" s="23"/>
      <c r="O726" s="123"/>
      <c r="AA726" s="136"/>
      <c r="AB726" s="123"/>
    </row>
    <row r="727" spans="1:28" x14ac:dyDescent="0.2">
      <c r="A727" s="23"/>
      <c r="B727" s="30"/>
      <c r="C727" s="30"/>
      <c r="D727" s="147"/>
      <c r="E727" s="147"/>
      <c r="F727" s="30"/>
      <c r="G727" s="30"/>
      <c r="H727" s="30"/>
      <c r="I727" s="30"/>
      <c r="J727" s="30"/>
      <c r="K727" s="30"/>
      <c r="L727" s="30"/>
      <c r="M727" s="23"/>
      <c r="N727" s="23"/>
      <c r="O727" s="123"/>
      <c r="AA727" s="136"/>
      <c r="AB727" s="123"/>
    </row>
    <row r="728" spans="1:28" x14ac:dyDescent="0.2">
      <c r="A728" s="23"/>
      <c r="B728" s="30"/>
      <c r="C728" s="30"/>
      <c r="D728" s="147"/>
      <c r="E728" s="147"/>
      <c r="F728" s="30"/>
      <c r="G728" s="30"/>
      <c r="H728" s="30"/>
      <c r="I728" s="30"/>
      <c r="J728" s="30"/>
      <c r="K728" s="30"/>
      <c r="L728" s="30"/>
      <c r="M728" s="23"/>
      <c r="N728" s="23"/>
      <c r="O728" s="123"/>
      <c r="AA728" s="136"/>
      <c r="AB728" s="123"/>
    </row>
    <row r="729" spans="1:28" x14ac:dyDescent="0.2">
      <c r="A729" s="23"/>
      <c r="B729" s="30"/>
      <c r="C729" s="30"/>
      <c r="D729" s="147"/>
      <c r="E729" s="147"/>
      <c r="F729" s="30"/>
      <c r="G729" s="30"/>
      <c r="H729" s="30"/>
      <c r="I729" s="30"/>
      <c r="J729" s="30"/>
      <c r="K729" s="30"/>
      <c r="L729" s="30"/>
      <c r="M729" s="23"/>
      <c r="N729" s="23"/>
      <c r="O729" s="123"/>
      <c r="AA729" s="136"/>
      <c r="AB729" s="123"/>
    </row>
    <row r="730" spans="1:28" x14ac:dyDescent="0.2">
      <c r="A730" s="23"/>
      <c r="B730" s="30"/>
      <c r="C730" s="30"/>
      <c r="D730" s="147"/>
      <c r="E730" s="147"/>
      <c r="F730" s="30"/>
      <c r="G730" s="30"/>
      <c r="H730" s="30"/>
      <c r="I730" s="30"/>
      <c r="J730" s="30"/>
      <c r="K730" s="30"/>
      <c r="L730" s="30"/>
      <c r="M730" s="23"/>
      <c r="N730" s="23"/>
      <c r="O730" s="123"/>
      <c r="AA730" s="136"/>
      <c r="AB730" s="123"/>
    </row>
    <row r="731" spans="1:28" x14ac:dyDescent="0.2">
      <c r="A731" s="23"/>
      <c r="B731" s="30"/>
      <c r="C731" s="30"/>
      <c r="D731" s="147"/>
      <c r="E731" s="147"/>
      <c r="F731" s="30"/>
      <c r="G731" s="30"/>
      <c r="H731" s="30"/>
      <c r="I731" s="30"/>
      <c r="J731" s="30"/>
      <c r="K731" s="30"/>
      <c r="L731" s="30"/>
      <c r="M731" s="23"/>
      <c r="N731" s="23"/>
      <c r="O731" s="123"/>
      <c r="AA731" s="136"/>
      <c r="AB731" s="123"/>
    </row>
    <row r="732" spans="1:28" x14ac:dyDescent="0.2">
      <c r="A732" s="23"/>
      <c r="B732" s="30"/>
      <c r="C732" s="30"/>
      <c r="D732" s="147"/>
      <c r="E732" s="147"/>
      <c r="F732" s="30"/>
      <c r="G732" s="30"/>
      <c r="H732" s="30"/>
      <c r="I732" s="30"/>
      <c r="J732" s="30"/>
      <c r="K732" s="30"/>
      <c r="L732" s="30"/>
      <c r="M732" s="23"/>
      <c r="N732" s="23"/>
      <c r="O732" s="123"/>
      <c r="AA732" s="136"/>
      <c r="AB732" s="123"/>
    </row>
    <row r="733" spans="1:28" x14ac:dyDescent="0.2">
      <c r="A733" s="23"/>
      <c r="B733" s="30"/>
      <c r="C733" s="30"/>
      <c r="D733" s="147"/>
      <c r="E733" s="147"/>
      <c r="F733" s="30"/>
      <c r="G733" s="30"/>
      <c r="H733" s="30"/>
      <c r="I733" s="30"/>
      <c r="J733" s="30"/>
      <c r="K733" s="30"/>
      <c r="L733" s="30"/>
      <c r="M733" s="23"/>
      <c r="N733" s="23"/>
      <c r="O733" s="123"/>
      <c r="AA733" s="136"/>
      <c r="AB733" s="123"/>
    </row>
    <row r="734" spans="1:28" x14ac:dyDescent="0.2">
      <c r="A734" s="23"/>
      <c r="B734" s="30"/>
      <c r="C734" s="30"/>
      <c r="D734" s="147"/>
      <c r="E734" s="147"/>
      <c r="F734" s="30"/>
      <c r="G734" s="30"/>
      <c r="H734" s="30"/>
      <c r="I734" s="30"/>
      <c r="J734" s="30"/>
      <c r="K734" s="30"/>
      <c r="L734" s="30"/>
      <c r="M734" s="23"/>
      <c r="N734" s="23"/>
      <c r="O734" s="123"/>
      <c r="AA734" s="136"/>
      <c r="AB734" s="123"/>
    </row>
    <row r="735" spans="1:28" x14ac:dyDescent="0.2">
      <c r="A735" s="23"/>
      <c r="B735" s="30"/>
      <c r="C735" s="30"/>
      <c r="D735" s="147"/>
      <c r="E735" s="147"/>
      <c r="F735" s="30"/>
      <c r="G735" s="30"/>
      <c r="H735" s="30"/>
      <c r="I735" s="30"/>
      <c r="J735" s="30"/>
      <c r="K735" s="30"/>
      <c r="L735" s="30"/>
      <c r="M735" s="23"/>
      <c r="N735" s="23"/>
      <c r="O735" s="123"/>
      <c r="AA735" s="136"/>
      <c r="AB735" s="123"/>
    </row>
    <row r="736" spans="1:28" x14ac:dyDescent="0.2">
      <c r="A736" s="23"/>
      <c r="B736" s="30"/>
      <c r="C736" s="30"/>
      <c r="D736" s="147"/>
      <c r="E736" s="147"/>
      <c r="F736" s="30"/>
      <c r="G736" s="30"/>
      <c r="H736" s="30"/>
      <c r="I736" s="30"/>
      <c r="J736" s="30"/>
      <c r="K736" s="30"/>
      <c r="L736" s="30"/>
      <c r="M736" s="23"/>
      <c r="N736" s="23"/>
      <c r="O736" s="123"/>
      <c r="AA736" s="136"/>
      <c r="AB736" s="123"/>
    </row>
    <row r="737" spans="1:28" x14ac:dyDescent="0.2">
      <c r="A737" s="23"/>
      <c r="B737" s="30"/>
      <c r="C737" s="30"/>
      <c r="D737" s="147"/>
      <c r="E737" s="147"/>
      <c r="F737" s="30"/>
      <c r="G737" s="30"/>
      <c r="H737" s="30"/>
      <c r="I737" s="30"/>
      <c r="J737" s="30"/>
      <c r="K737" s="30"/>
      <c r="L737" s="30"/>
      <c r="M737" s="23"/>
      <c r="N737" s="23"/>
      <c r="O737" s="123"/>
      <c r="AA737" s="136"/>
      <c r="AB737" s="123"/>
    </row>
    <row r="738" spans="1:28" x14ac:dyDescent="0.2">
      <c r="A738" s="23"/>
      <c r="B738" s="30"/>
      <c r="C738" s="30"/>
      <c r="D738" s="147"/>
      <c r="E738" s="147"/>
      <c r="F738" s="30"/>
      <c r="G738" s="30"/>
      <c r="H738" s="30"/>
      <c r="I738" s="30"/>
      <c r="J738" s="30"/>
      <c r="K738" s="30"/>
      <c r="L738" s="30"/>
      <c r="M738" s="23"/>
      <c r="N738" s="23"/>
      <c r="O738" s="123"/>
      <c r="AA738" s="136"/>
      <c r="AB738" s="123"/>
    </row>
    <row r="739" spans="1:28" x14ac:dyDescent="0.2">
      <c r="A739" s="23"/>
      <c r="B739" s="30"/>
      <c r="C739" s="30"/>
      <c r="D739" s="147"/>
      <c r="E739" s="147"/>
      <c r="F739" s="30"/>
      <c r="G739" s="30"/>
      <c r="H739" s="30"/>
      <c r="I739" s="30"/>
      <c r="J739" s="30"/>
      <c r="K739" s="30"/>
      <c r="L739" s="30"/>
      <c r="M739" s="23"/>
      <c r="N739" s="23"/>
      <c r="O739" s="123"/>
      <c r="AA739" s="136"/>
      <c r="AB739" s="123"/>
    </row>
    <row r="740" spans="1:28" x14ac:dyDescent="0.2">
      <c r="A740" s="23"/>
      <c r="B740" s="30"/>
      <c r="C740" s="30"/>
      <c r="D740" s="147"/>
      <c r="E740" s="147"/>
      <c r="F740" s="30"/>
      <c r="G740" s="30"/>
      <c r="H740" s="30"/>
      <c r="I740" s="30"/>
      <c r="J740" s="30"/>
      <c r="K740" s="30"/>
      <c r="L740" s="30"/>
      <c r="M740" s="23"/>
      <c r="N740" s="23"/>
      <c r="O740" s="123"/>
      <c r="AA740" s="136"/>
      <c r="AB740" s="123"/>
    </row>
    <row r="741" spans="1:28" x14ac:dyDescent="0.2">
      <c r="A741" s="23"/>
      <c r="B741" s="30"/>
      <c r="C741" s="30"/>
      <c r="D741" s="147"/>
      <c r="E741" s="147"/>
      <c r="F741" s="30"/>
      <c r="G741" s="30"/>
      <c r="H741" s="30"/>
      <c r="I741" s="30"/>
      <c r="J741" s="30"/>
      <c r="K741" s="30"/>
      <c r="L741" s="30"/>
      <c r="M741" s="23"/>
      <c r="N741" s="23"/>
      <c r="O741" s="123"/>
      <c r="AA741" s="136"/>
      <c r="AB741" s="123"/>
    </row>
    <row r="742" spans="1:28" x14ac:dyDescent="0.2">
      <c r="A742" s="23"/>
      <c r="B742" s="30"/>
      <c r="C742" s="30"/>
      <c r="D742" s="147"/>
      <c r="E742" s="147"/>
      <c r="F742" s="30"/>
      <c r="G742" s="30"/>
      <c r="H742" s="30"/>
      <c r="I742" s="30"/>
      <c r="J742" s="30"/>
      <c r="K742" s="30"/>
      <c r="L742" s="30"/>
      <c r="M742" s="23"/>
      <c r="N742" s="23"/>
      <c r="O742" s="123"/>
      <c r="AA742" s="136"/>
      <c r="AB742" s="123"/>
    </row>
    <row r="743" spans="1:28" x14ac:dyDescent="0.2">
      <c r="A743" s="23"/>
      <c r="B743" s="30"/>
      <c r="C743" s="30"/>
      <c r="D743" s="147"/>
      <c r="E743" s="147"/>
      <c r="F743" s="30"/>
      <c r="G743" s="30"/>
      <c r="H743" s="30"/>
      <c r="I743" s="30"/>
      <c r="J743" s="30"/>
      <c r="K743" s="30"/>
      <c r="L743" s="30"/>
      <c r="M743" s="23"/>
      <c r="N743" s="23"/>
      <c r="O743" s="123"/>
      <c r="AA743" s="136"/>
      <c r="AB743" s="123"/>
    </row>
    <row r="744" spans="1:28" x14ac:dyDescent="0.2">
      <c r="A744" s="23"/>
      <c r="B744" s="30"/>
      <c r="C744" s="30"/>
      <c r="D744" s="147"/>
      <c r="E744" s="147"/>
      <c r="F744" s="30"/>
      <c r="G744" s="30"/>
      <c r="H744" s="30"/>
      <c r="I744" s="30"/>
      <c r="J744" s="30"/>
      <c r="K744" s="30"/>
      <c r="L744" s="30"/>
      <c r="M744" s="23"/>
      <c r="N744" s="23"/>
      <c r="O744" s="123"/>
      <c r="AA744" s="136"/>
      <c r="AB744" s="123"/>
    </row>
    <row r="745" spans="1:28" x14ac:dyDescent="0.2">
      <c r="A745" s="23"/>
      <c r="B745" s="30"/>
      <c r="C745" s="30"/>
      <c r="D745" s="147"/>
      <c r="E745" s="147"/>
      <c r="F745" s="30"/>
      <c r="G745" s="30"/>
      <c r="H745" s="30"/>
      <c r="I745" s="30"/>
      <c r="J745" s="30"/>
      <c r="K745" s="30"/>
      <c r="L745" s="30"/>
      <c r="M745" s="23"/>
      <c r="N745" s="23"/>
      <c r="O745" s="123"/>
      <c r="AA745" s="136"/>
      <c r="AB745" s="123"/>
    </row>
    <row r="746" spans="1:28" x14ac:dyDescent="0.2">
      <c r="A746" s="23"/>
      <c r="B746" s="30"/>
      <c r="C746" s="30"/>
      <c r="D746" s="147"/>
      <c r="E746" s="147"/>
      <c r="F746" s="30"/>
      <c r="G746" s="30"/>
      <c r="H746" s="30"/>
      <c r="I746" s="30"/>
      <c r="J746" s="30"/>
      <c r="K746" s="30"/>
      <c r="L746" s="30"/>
      <c r="M746" s="23"/>
      <c r="N746" s="23"/>
      <c r="O746" s="123"/>
      <c r="AA746" s="136"/>
      <c r="AB746" s="123"/>
    </row>
    <row r="747" spans="1:28" x14ac:dyDescent="0.2">
      <c r="A747" s="23"/>
      <c r="B747" s="30"/>
      <c r="C747" s="30"/>
      <c r="D747" s="147"/>
      <c r="E747" s="147"/>
      <c r="F747" s="30"/>
      <c r="G747" s="30"/>
      <c r="H747" s="30"/>
      <c r="I747" s="30"/>
      <c r="J747" s="30"/>
      <c r="K747" s="30"/>
      <c r="L747" s="30"/>
      <c r="M747" s="23"/>
      <c r="N747" s="23"/>
      <c r="O747" s="123"/>
      <c r="AA747" s="136"/>
      <c r="AB747" s="123"/>
    </row>
    <row r="748" spans="1:28" x14ac:dyDescent="0.2">
      <c r="A748" s="23"/>
      <c r="B748" s="30"/>
      <c r="C748" s="30"/>
      <c r="D748" s="147"/>
      <c r="E748" s="147"/>
      <c r="F748" s="30"/>
      <c r="G748" s="30"/>
      <c r="H748" s="30"/>
      <c r="I748" s="30"/>
      <c r="J748" s="30"/>
      <c r="K748" s="30"/>
      <c r="L748" s="30"/>
      <c r="M748" s="23"/>
      <c r="N748" s="23"/>
      <c r="O748" s="123"/>
      <c r="AA748" s="136"/>
      <c r="AB748" s="123"/>
    </row>
    <row r="749" spans="1:28" x14ac:dyDescent="0.2">
      <c r="A749" s="23"/>
      <c r="B749" s="30"/>
      <c r="C749" s="30"/>
      <c r="D749" s="147"/>
      <c r="E749" s="147"/>
      <c r="F749" s="30"/>
      <c r="G749" s="30"/>
      <c r="H749" s="30"/>
      <c r="I749" s="30"/>
      <c r="J749" s="30"/>
      <c r="K749" s="30"/>
      <c r="L749" s="30"/>
      <c r="M749" s="23"/>
      <c r="N749" s="23"/>
      <c r="O749" s="123"/>
      <c r="AA749" s="136"/>
      <c r="AB749" s="123"/>
    </row>
    <row r="750" spans="1:28" x14ac:dyDescent="0.2">
      <c r="A750" s="23"/>
      <c r="B750" s="30"/>
      <c r="C750" s="30"/>
      <c r="D750" s="147"/>
      <c r="E750" s="147"/>
      <c r="F750" s="30"/>
      <c r="G750" s="30"/>
      <c r="H750" s="30"/>
      <c r="I750" s="30"/>
      <c r="J750" s="30"/>
      <c r="K750" s="30"/>
      <c r="L750" s="30"/>
      <c r="M750" s="23"/>
      <c r="N750" s="23"/>
      <c r="O750" s="123"/>
      <c r="AA750" s="136"/>
      <c r="AB750" s="123"/>
    </row>
    <row r="751" spans="1:28" x14ac:dyDescent="0.2">
      <c r="A751" s="23"/>
      <c r="B751" s="30"/>
      <c r="C751" s="30"/>
      <c r="D751" s="147"/>
      <c r="E751" s="147"/>
      <c r="F751" s="30"/>
      <c r="G751" s="30"/>
      <c r="H751" s="30"/>
      <c r="I751" s="30"/>
      <c r="J751" s="30"/>
      <c r="K751" s="30"/>
      <c r="L751" s="30"/>
      <c r="M751" s="23"/>
      <c r="N751" s="23"/>
      <c r="O751" s="123"/>
      <c r="AA751" s="136"/>
      <c r="AB751" s="123"/>
    </row>
    <row r="752" spans="1:28" x14ac:dyDescent="0.2">
      <c r="A752" s="23"/>
      <c r="B752" s="30"/>
      <c r="C752" s="30"/>
      <c r="D752" s="147"/>
      <c r="E752" s="147"/>
      <c r="F752" s="30"/>
      <c r="G752" s="30"/>
      <c r="H752" s="30"/>
      <c r="I752" s="30"/>
      <c r="J752" s="30"/>
      <c r="K752" s="30"/>
      <c r="L752" s="30"/>
      <c r="M752" s="23"/>
      <c r="N752" s="23"/>
      <c r="O752" s="123"/>
      <c r="AA752" s="136"/>
      <c r="AB752" s="123"/>
    </row>
    <row r="753" spans="1:28" x14ac:dyDescent="0.2">
      <c r="A753" s="23"/>
      <c r="B753" s="30"/>
      <c r="C753" s="30"/>
      <c r="D753" s="147"/>
      <c r="E753" s="147"/>
      <c r="F753" s="30"/>
      <c r="G753" s="30"/>
      <c r="H753" s="30"/>
      <c r="I753" s="30"/>
      <c r="J753" s="30"/>
      <c r="K753" s="30"/>
      <c r="L753" s="30"/>
      <c r="M753" s="23"/>
      <c r="N753" s="23"/>
      <c r="O753" s="123"/>
      <c r="AA753" s="136"/>
      <c r="AB753" s="123"/>
    </row>
    <row r="754" spans="1:28" x14ac:dyDescent="0.2">
      <c r="A754" s="23"/>
      <c r="B754" s="30"/>
      <c r="C754" s="30"/>
      <c r="D754" s="147"/>
      <c r="E754" s="147"/>
      <c r="F754" s="30"/>
      <c r="G754" s="30"/>
      <c r="H754" s="30"/>
      <c r="I754" s="30"/>
      <c r="J754" s="30"/>
      <c r="K754" s="30"/>
      <c r="L754" s="30"/>
      <c r="M754" s="23"/>
      <c r="N754" s="23"/>
      <c r="O754" s="123"/>
      <c r="AA754" s="136"/>
      <c r="AB754" s="123"/>
    </row>
    <row r="755" spans="1:28" x14ac:dyDescent="0.2">
      <c r="A755" s="23"/>
      <c r="B755" s="30"/>
      <c r="C755" s="30"/>
      <c r="D755" s="147"/>
      <c r="E755" s="147"/>
      <c r="F755" s="30"/>
      <c r="G755" s="30"/>
      <c r="H755" s="30"/>
      <c r="I755" s="30"/>
      <c r="J755" s="30"/>
      <c r="K755" s="30"/>
      <c r="L755" s="30"/>
      <c r="M755" s="23"/>
      <c r="N755" s="23"/>
      <c r="O755" s="123"/>
      <c r="AA755" s="136"/>
      <c r="AB755" s="123"/>
    </row>
    <row r="756" spans="1:28" x14ac:dyDescent="0.2">
      <c r="A756" s="23"/>
      <c r="B756" s="30"/>
      <c r="C756" s="30"/>
      <c r="D756" s="147"/>
      <c r="E756" s="147"/>
      <c r="F756" s="30"/>
      <c r="G756" s="30"/>
      <c r="H756" s="30"/>
      <c r="I756" s="30"/>
      <c r="J756" s="30"/>
      <c r="K756" s="30"/>
      <c r="L756" s="30"/>
      <c r="M756" s="23"/>
      <c r="N756" s="23"/>
      <c r="O756" s="123"/>
      <c r="AA756" s="136"/>
      <c r="AB756" s="123"/>
    </row>
    <row r="757" spans="1:28" x14ac:dyDescent="0.2">
      <c r="A757" s="23"/>
      <c r="B757" s="30"/>
      <c r="C757" s="30"/>
      <c r="D757" s="147"/>
      <c r="E757" s="147"/>
      <c r="F757" s="30"/>
      <c r="G757" s="30"/>
      <c r="H757" s="30"/>
      <c r="I757" s="30"/>
      <c r="J757" s="30"/>
      <c r="K757" s="30"/>
      <c r="L757" s="30"/>
      <c r="M757" s="23"/>
      <c r="N757" s="23"/>
      <c r="O757" s="123"/>
      <c r="AA757" s="136"/>
      <c r="AB757" s="123"/>
    </row>
    <row r="758" spans="1:28" x14ac:dyDescent="0.2">
      <c r="A758" s="23"/>
      <c r="B758" s="30"/>
      <c r="C758" s="30"/>
      <c r="D758" s="147"/>
      <c r="E758" s="147"/>
      <c r="F758" s="30"/>
      <c r="G758" s="30"/>
      <c r="H758" s="30"/>
      <c r="I758" s="30"/>
      <c r="J758" s="30"/>
      <c r="K758" s="30"/>
      <c r="L758" s="30"/>
      <c r="M758" s="23"/>
      <c r="N758" s="23"/>
      <c r="O758" s="123"/>
      <c r="AA758" s="136"/>
      <c r="AB758" s="123"/>
    </row>
    <row r="759" spans="1:28" x14ac:dyDescent="0.2">
      <c r="A759" s="23"/>
      <c r="B759" s="30"/>
      <c r="C759" s="30"/>
      <c r="D759" s="147"/>
      <c r="E759" s="147"/>
      <c r="F759" s="30"/>
      <c r="G759" s="30"/>
      <c r="H759" s="30"/>
      <c r="I759" s="30"/>
      <c r="J759" s="30"/>
      <c r="K759" s="30"/>
      <c r="L759" s="30"/>
      <c r="M759" s="23"/>
      <c r="N759" s="23"/>
      <c r="O759" s="123"/>
      <c r="AA759" s="136"/>
      <c r="AB759" s="123"/>
    </row>
    <row r="760" spans="1:28" x14ac:dyDescent="0.2">
      <c r="A760" s="23"/>
      <c r="B760" s="30"/>
      <c r="C760" s="30"/>
      <c r="D760" s="147"/>
      <c r="E760" s="147"/>
      <c r="F760" s="30"/>
      <c r="G760" s="30"/>
      <c r="H760" s="30"/>
      <c r="I760" s="30"/>
      <c r="J760" s="30"/>
      <c r="K760" s="30"/>
      <c r="L760" s="30"/>
      <c r="M760" s="23"/>
      <c r="N760" s="23"/>
      <c r="O760" s="123"/>
      <c r="AA760" s="136"/>
      <c r="AB760" s="123"/>
    </row>
    <row r="761" spans="1:28" x14ac:dyDescent="0.2">
      <c r="A761" s="23"/>
      <c r="B761" s="30"/>
      <c r="C761" s="30"/>
      <c r="D761" s="147"/>
      <c r="E761" s="147"/>
      <c r="F761" s="30"/>
      <c r="G761" s="30"/>
      <c r="H761" s="30"/>
      <c r="I761" s="30"/>
      <c r="J761" s="30"/>
      <c r="K761" s="30"/>
      <c r="L761" s="30"/>
      <c r="M761" s="23"/>
      <c r="N761" s="23"/>
      <c r="O761" s="123"/>
      <c r="AA761" s="136"/>
      <c r="AB761" s="123"/>
    </row>
    <row r="762" spans="1:28" x14ac:dyDescent="0.2">
      <c r="A762" s="23"/>
      <c r="B762" s="30"/>
      <c r="C762" s="30"/>
      <c r="D762" s="147"/>
      <c r="E762" s="147"/>
      <c r="F762" s="30"/>
      <c r="G762" s="30"/>
      <c r="H762" s="30"/>
      <c r="I762" s="30"/>
      <c r="J762" s="30"/>
      <c r="K762" s="30"/>
      <c r="L762" s="30"/>
      <c r="M762" s="23"/>
      <c r="N762" s="23"/>
      <c r="O762" s="123"/>
      <c r="AA762" s="136"/>
      <c r="AB762" s="123"/>
    </row>
    <row r="763" spans="1:28" x14ac:dyDescent="0.2">
      <c r="A763" s="23"/>
      <c r="B763" s="30"/>
      <c r="C763" s="30"/>
      <c r="D763" s="147"/>
      <c r="E763" s="147"/>
      <c r="F763" s="30"/>
      <c r="G763" s="30"/>
      <c r="H763" s="30"/>
      <c r="I763" s="30"/>
      <c r="J763" s="30"/>
      <c r="K763" s="30"/>
      <c r="L763" s="30"/>
      <c r="M763" s="23"/>
      <c r="N763" s="23"/>
      <c r="O763" s="123"/>
      <c r="AA763" s="136"/>
      <c r="AB763" s="123"/>
    </row>
    <row r="764" spans="1:28" x14ac:dyDescent="0.2">
      <c r="A764" s="23"/>
      <c r="B764" s="30"/>
      <c r="C764" s="30"/>
      <c r="D764" s="147"/>
      <c r="E764" s="147"/>
      <c r="F764" s="30"/>
      <c r="G764" s="30"/>
      <c r="H764" s="30"/>
      <c r="I764" s="30"/>
      <c r="J764" s="30"/>
      <c r="K764" s="30"/>
      <c r="L764" s="30"/>
      <c r="M764" s="23"/>
      <c r="N764" s="23"/>
      <c r="O764" s="123"/>
      <c r="AA764" s="136"/>
      <c r="AB764" s="123"/>
    </row>
    <row r="765" spans="1:28" x14ac:dyDescent="0.2">
      <c r="A765" s="23"/>
      <c r="B765" s="30"/>
      <c r="C765" s="30"/>
      <c r="D765" s="147"/>
      <c r="E765" s="147"/>
      <c r="F765" s="30"/>
      <c r="G765" s="30"/>
      <c r="H765" s="30"/>
      <c r="I765" s="30"/>
      <c r="J765" s="30"/>
      <c r="K765" s="30"/>
      <c r="L765" s="30"/>
      <c r="M765" s="23"/>
      <c r="N765" s="23"/>
      <c r="O765" s="123"/>
      <c r="AA765" s="136"/>
      <c r="AB765" s="123"/>
    </row>
    <row r="766" spans="1:28" x14ac:dyDescent="0.2">
      <c r="A766" s="23"/>
      <c r="B766" s="30"/>
      <c r="C766" s="30"/>
      <c r="D766" s="147"/>
      <c r="E766" s="147"/>
      <c r="F766" s="30"/>
      <c r="G766" s="30"/>
      <c r="H766" s="30"/>
      <c r="I766" s="30"/>
      <c r="J766" s="30"/>
      <c r="K766" s="30"/>
      <c r="L766" s="30"/>
      <c r="M766" s="23"/>
      <c r="N766" s="23"/>
      <c r="O766" s="123"/>
      <c r="AA766" s="136"/>
      <c r="AB766" s="123"/>
    </row>
    <row r="767" spans="1:28" x14ac:dyDescent="0.2">
      <c r="A767" s="23"/>
      <c r="B767" s="30"/>
      <c r="C767" s="30"/>
      <c r="D767" s="147"/>
      <c r="E767" s="147"/>
      <c r="F767" s="30"/>
      <c r="G767" s="30"/>
      <c r="H767" s="30"/>
      <c r="I767" s="30"/>
      <c r="J767" s="30"/>
      <c r="K767" s="30"/>
      <c r="L767" s="30"/>
      <c r="M767" s="23"/>
      <c r="N767" s="23"/>
      <c r="O767" s="123"/>
      <c r="AA767" s="136"/>
      <c r="AB767" s="123"/>
    </row>
    <row r="768" spans="1:28" x14ac:dyDescent="0.2">
      <c r="A768" s="23"/>
      <c r="B768" s="30"/>
      <c r="C768" s="30"/>
      <c r="D768" s="147"/>
      <c r="E768" s="147"/>
      <c r="F768" s="30"/>
      <c r="G768" s="30"/>
      <c r="H768" s="30"/>
      <c r="I768" s="30"/>
      <c r="J768" s="30"/>
      <c r="K768" s="30"/>
      <c r="L768" s="30"/>
      <c r="M768" s="23"/>
      <c r="N768" s="23"/>
      <c r="O768" s="123"/>
      <c r="AA768" s="136"/>
      <c r="AB768" s="123"/>
    </row>
    <row r="769" spans="1:28" x14ac:dyDescent="0.2">
      <c r="A769" s="23"/>
      <c r="B769" s="30"/>
      <c r="C769" s="30"/>
      <c r="D769" s="147"/>
      <c r="E769" s="147"/>
      <c r="F769" s="30"/>
      <c r="G769" s="30"/>
      <c r="H769" s="30"/>
      <c r="I769" s="30"/>
      <c r="J769" s="30"/>
      <c r="K769" s="30"/>
      <c r="L769" s="30"/>
      <c r="M769" s="23"/>
      <c r="N769" s="23"/>
      <c r="O769" s="123"/>
      <c r="AA769" s="136"/>
      <c r="AB769" s="123"/>
    </row>
    <row r="770" spans="1:28" x14ac:dyDescent="0.2">
      <c r="A770" s="23"/>
      <c r="B770" s="30"/>
      <c r="C770" s="30"/>
      <c r="D770" s="147"/>
      <c r="E770" s="147"/>
      <c r="F770" s="30"/>
      <c r="G770" s="30"/>
      <c r="H770" s="30"/>
      <c r="I770" s="30"/>
      <c r="J770" s="30"/>
      <c r="K770" s="30"/>
      <c r="L770" s="30"/>
      <c r="M770" s="23"/>
      <c r="N770" s="23"/>
      <c r="O770" s="123"/>
      <c r="AA770" s="136"/>
      <c r="AB770" s="123"/>
    </row>
    <row r="771" spans="1:28" x14ac:dyDescent="0.2">
      <c r="A771" s="23"/>
      <c r="B771" s="30"/>
      <c r="C771" s="30"/>
      <c r="D771" s="147"/>
      <c r="E771" s="147"/>
      <c r="F771" s="30"/>
      <c r="G771" s="30"/>
      <c r="H771" s="30"/>
      <c r="I771" s="30"/>
      <c r="J771" s="30"/>
      <c r="K771" s="30"/>
      <c r="L771" s="30"/>
      <c r="M771" s="23"/>
      <c r="N771" s="23"/>
      <c r="O771" s="123"/>
      <c r="AA771" s="136"/>
      <c r="AB771" s="123"/>
    </row>
    <row r="772" spans="1:28" x14ac:dyDescent="0.2">
      <c r="A772" s="23"/>
      <c r="B772" s="30"/>
      <c r="C772" s="30"/>
      <c r="D772" s="147"/>
      <c r="E772" s="147"/>
      <c r="F772" s="30"/>
      <c r="G772" s="30"/>
      <c r="H772" s="30"/>
      <c r="I772" s="30"/>
      <c r="J772" s="30"/>
      <c r="K772" s="30"/>
      <c r="L772" s="30"/>
      <c r="M772" s="23"/>
      <c r="N772" s="23"/>
      <c r="O772" s="123"/>
      <c r="AA772" s="136"/>
      <c r="AB772" s="123"/>
    </row>
    <row r="773" spans="1:28" x14ac:dyDescent="0.2">
      <c r="A773" s="23"/>
      <c r="B773" s="30"/>
      <c r="C773" s="30"/>
      <c r="D773" s="147"/>
      <c r="E773" s="147"/>
      <c r="F773" s="30"/>
      <c r="G773" s="30"/>
      <c r="H773" s="30"/>
      <c r="I773" s="30"/>
      <c r="J773" s="30"/>
      <c r="K773" s="30"/>
      <c r="L773" s="30"/>
      <c r="M773" s="23"/>
      <c r="N773" s="23"/>
      <c r="O773" s="123"/>
      <c r="AA773" s="136"/>
      <c r="AB773" s="123"/>
    </row>
    <row r="774" spans="1:28" x14ac:dyDescent="0.2">
      <c r="A774" s="23"/>
      <c r="B774" s="30"/>
      <c r="C774" s="30"/>
      <c r="D774" s="147"/>
      <c r="E774" s="147"/>
      <c r="F774" s="30"/>
      <c r="G774" s="30"/>
      <c r="H774" s="30"/>
      <c r="I774" s="30"/>
      <c r="J774" s="30"/>
      <c r="K774" s="30"/>
      <c r="L774" s="30"/>
      <c r="M774" s="23"/>
      <c r="N774" s="23"/>
      <c r="O774" s="123"/>
      <c r="AA774" s="136"/>
      <c r="AB774" s="123"/>
    </row>
    <row r="775" spans="1:28" x14ac:dyDescent="0.2">
      <c r="A775" s="23"/>
      <c r="B775" s="30"/>
      <c r="C775" s="30"/>
      <c r="D775" s="147"/>
      <c r="E775" s="147"/>
      <c r="F775" s="30"/>
      <c r="G775" s="30"/>
      <c r="H775" s="30"/>
      <c r="I775" s="30"/>
      <c r="J775" s="30"/>
      <c r="K775" s="30"/>
      <c r="L775" s="30"/>
      <c r="M775" s="23"/>
      <c r="N775" s="23"/>
      <c r="O775" s="123"/>
      <c r="AA775" s="136"/>
      <c r="AB775" s="123"/>
    </row>
    <row r="776" spans="1:28" x14ac:dyDescent="0.2">
      <c r="A776" s="23"/>
      <c r="B776" s="30"/>
      <c r="C776" s="30"/>
      <c r="D776" s="147"/>
      <c r="E776" s="147"/>
      <c r="F776" s="30"/>
      <c r="G776" s="30"/>
      <c r="H776" s="30"/>
      <c r="I776" s="30"/>
      <c r="J776" s="30"/>
      <c r="K776" s="30"/>
      <c r="L776" s="30"/>
      <c r="M776" s="23"/>
      <c r="N776" s="23"/>
      <c r="O776" s="123"/>
      <c r="AA776" s="136"/>
      <c r="AB776" s="123"/>
    </row>
    <row r="777" spans="1:28" x14ac:dyDescent="0.2">
      <c r="A777" s="23"/>
      <c r="B777" s="30"/>
      <c r="C777" s="30"/>
      <c r="D777" s="147"/>
      <c r="E777" s="147"/>
      <c r="F777" s="30"/>
      <c r="G777" s="30"/>
      <c r="H777" s="30"/>
      <c r="I777" s="30"/>
      <c r="J777" s="30"/>
      <c r="K777" s="30"/>
      <c r="L777" s="30"/>
      <c r="M777" s="23"/>
      <c r="N777" s="23"/>
      <c r="O777" s="123"/>
      <c r="AA777" s="136"/>
      <c r="AB777" s="123"/>
    </row>
    <row r="778" spans="1:28" x14ac:dyDescent="0.2">
      <c r="A778" s="23"/>
      <c r="B778" s="30"/>
      <c r="C778" s="30"/>
      <c r="D778" s="147"/>
      <c r="E778" s="147"/>
      <c r="F778" s="30"/>
      <c r="G778" s="30"/>
      <c r="H778" s="30"/>
      <c r="I778" s="30"/>
      <c r="J778" s="30"/>
      <c r="K778" s="30"/>
      <c r="L778" s="30"/>
      <c r="M778" s="23"/>
      <c r="N778" s="23"/>
      <c r="O778" s="123"/>
      <c r="AA778" s="136"/>
      <c r="AB778" s="123"/>
    </row>
    <row r="779" spans="1:28" x14ac:dyDescent="0.2">
      <c r="A779" s="23"/>
      <c r="B779" s="30"/>
      <c r="C779" s="30"/>
      <c r="D779" s="147"/>
      <c r="E779" s="147"/>
      <c r="F779" s="30"/>
      <c r="G779" s="30"/>
      <c r="H779" s="30"/>
      <c r="I779" s="30"/>
      <c r="J779" s="30"/>
      <c r="K779" s="30"/>
      <c r="L779" s="30"/>
      <c r="M779" s="23"/>
      <c r="N779" s="23"/>
      <c r="O779" s="123"/>
      <c r="AA779" s="136"/>
      <c r="AB779" s="123"/>
    </row>
    <row r="780" spans="1:28" x14ac:dyDescent="0.2">
      <c r="A780" s="23"/>
      <c r="B780" s="30"/>
      <c r="C780" s="30"/>
      <c r="D780" s="147"/>
      <c r="E780" s="147"/>
      <c r="F780" s="30"/>
      <c r="G780" s="30"/>
      <c r="H780" s="30"/>
      <c r="I780" s="30"/>
      <c r="J780" s="30"/>
      <c r="K780" s="30"/>
      <c r="L780" s="30"/>
      <c r="M780" s="23"/>
      <c r="N780" s="23"/>
      <c r="O780" s="123"/>
      <c r="AA780" s="136"/>
      <c r="AB780" s="123"/>
    </row>
    <row r="781" spans="1:28" x14ac:dyDescent="0.2">
      <c r="A781" s="23"/>
      <c r="B781" s="30"/>
      <c r="C781" s="30"/>
      <c r="D781" s="147"/>
      <c r="E781" s="147"/>
      <c r="F781" s="30"/>
      <c r="G781" s="30"/>
      <c r="H781" s="30"/>
      <c r="I781" s="30"/>
      <c r="J781" s="30"/>
      <c r="K781" s="30"/>
      <c r="L781" s="30"/>
      <c r="M781" s="23"/>
      <c r="N781" s="23"/>
      <c r="O781" s="123"/>
      <c r="AA781" s="136"/>
      <c r="AB781" s="123"/>
    </row>
    <row r="782" spans="1:28" x14ac:dyDescent="0.2">
      <c r="A782" s="23"/>
      <c r="B782" s="30"/>
      <c r="C782" s="30"/>
      <c r="D782" s="147"/>
      <c r="E782" s="147"/>
      <c r="F782" s="30"/>
      <c r="G782" s="30"/>
      <c r="H782" s="30"/>
      <c r="I782" s="30"/>
      <c r="J782" s="30"/>
      <c r="K782" s="30"/>
      <c r="L782" s="30"/>
      <c r="M782" s="23"/>
      <c r="N782" s="23"/>
      <c r="O782" s="123"/>
      <c r="AA782" s="136"/>
      <c r="AB782" s="123"/>
    </row>
    <row r="783" spans="1:28" x14ac:dyDescent="0.2">
      <c r="A783" s="23"/>
      <c r="B783" s="30"/>
      <c r="C783" s="30"/>
      <c r="D783" s="147"/>
      <c r="E783" s="147"/>
      <c r="F783" s="30"/>
      <c r="G783" s="30"/>
      <c r="H783" s="30"/>
      <c r="I783" s="30"/>
      <c r="J783" s="30"/>
      <c r="K783" s="30"/>
      <c r="L783" s="30"/>
      <c r="M783" s="23"/>
      <c r="N783" s="23"/>
      <c r="O783" s="123"/>
      <c r="AA783" s="136"/>
      <c r="AB783" s="123"/>
    </row>
    <row r="784" spans="1:28" x14ac:dyDescent="0.2">
      <c r="A784" s="23"/>
      <c r="B784" s="30"/>
      <c r="C784" s="30"/>
      <c r="D784" s="147"/>
      <c r="E784" s="147"/>
      <c r="F784" s="30"/>
      <c r="G784" s="30"/>
      <c r="H784" s="30"/>
      <c r="I784" s="30"/>
      <c r="J784" s="30"/>
      <c r="K784" s="30"/>
      <c r="L784" s="30"/>
      <c r="M784" s="23"/>
      <c r="N784" s="23"/>
      <c r="O784" s="123"/>
      <c r="AA784" s="136"/>
      <c r="AB784" s="123"/>
    </row>
    <row r="785" spans="1:28" x14ac:dyDescent="0.2">
      <c r="A785" s="23"/>
      <c r="B785" s="30"/>
      <c r="C785" s="30"/>
      <c r="D785" s="147"/>
      <c r="E785" s="147"/>
      <c r="F785" s="30"/>
      <c r="G785" s="30"/>
      <c r="H785" s="30"/>
      <c r="I785" s="30"/>
      <c r="J785" s="30"/>
      <c r="K785" s="30"/>
      <c r="L785" s="30"/>
      <c r="M785" s="23"/>
      <c r="N785" s="23"/>
      <c r="O785" s="123"/>
      <c r="AA785" s="136"/>
      <c r="AB785" s="123"/>
    </row>
    <row r="786" spans="1:28" x14ac:dyDescent="0.2">
      <c r="A786" s="23"/>
      <c r="B786" s="30"/>
      <c r="C786" s="30"/>
      <c r="D786" s="147"/>
      <c r="E786" s="147"/>
      <c r="F786" s="30"/>
      <c r="G786" s="30"/>
      <c r="H786" s="30"/>
      <c r="I786" s="30"/>
      <c r="J786" s="30"/>
      <c r="K786" s="30"/>
      <c r="L786" s="30"/>
      <c r="M786" s="23"/>
      <c r="N786" s="23"/>
      <c r="O786" s="123"/>
      <c r="AA786" s="136"/>
      <c r="AB786" s="123"/>
    </row>
    <row r="787" spans="1:28" x14ac:dyDescent="0.2">
      <c r="A787" s="23"/>
      <c r="B787" s="30"/>
      <c r="C787" s="30"/>
      <c r="D787" s="147"/>
      <c r="E787" s="147"/>
      <c r="F787" s="30"/>
      <c r="G787" s="30"/>
      <c r="H787" s="30"/>
      <c r="I787" s="30"/>
      <c r="J787" s="30"/>
      <c r="K787" s="30"/>
      <c r="L787" s="30"/>
      <c r="M787" s="23"/>
      <c r="N787" s="23"/>
      <c r="O787" s="123"/>
      <c r="AA787" s="136"/>
      <c r="AB787" s="123"/>
    </row>
    <row r="788" spans="1:28" x14ac:dyDescent="0.2">
      <c r="A788" s="23"/>
      <c r="B788" s="30"/>
      <c r="C788" s="30"/>
      <c r="D788" s="147"/>
      <c r="E788" s="147"/>
      <c r="F788" s="30"/>
      <c r="G788" s="30"/>
      <c r="H788" s="30"/>
      <c r="I788" s="30"/>
      <c r="J788" s="30"/>
      <c r="K788" s="30"/>
      <c r="L788" s="30"/>
      <c r="M788" s="23"/>
      <c r="N788" s="23"/>
      <c r="O788" s="123"/>
      <c r="AA788" s="136"/>
      <c r="AB788" s="123"/>
    </row>
    <row r="789" spans="1:28" x14ac:dyDescent="0.2">
      <c r="A789" s="23"/>
      <c r="B789" s="30"/>
      <c r="C789" s="30"/>
      <c r="D789" s="147"/>
      <c r="E789" s="147"/>
      <c r="F789" s="30"/>
      <c r="G789" s="30"/>
      <c r="H789" s="30"/>
      <c r="I789" s="30"/>
      <c r="J789" s="30"/>
      <c r="K789" s="30"/>
      <c r="L789" s="30"/>
      <c r="M789" s="23"/>
      <c r="N789" s="23"/>
      <c r="O789" s="123"/>
      <c r="AA789" s="136"/>
      <c r="AB789" s="123"/>
    </row>
    <row r="790" spans="1:28" x14ac:dyDescent="0.2">
      <c r="A790" s="23"/>
      <c r="B790" s="30"/>
      <c r="C790" s="30"/>
      <c r="D790" s="147"/>
      <c r="E790" s="147"/>
      <c r="F790" s="30"/>
      <c r="G790" s="30"/>
      <c r="H790" s="30"/>
      <c r="I790" s="30"/>
      <c r="J790" s="30"/>
      <c r="K790" s="30"/>
      <c r="L790" s="30"/>
      <c r="M790" s="23"/>
      <c r="N790" s="23"/>
      <c r="O790" s="123"/>
      <c r="AA790" s="136"/>
      <c r="AB790" s="123"/>
    </row>
    <row r="791" spans="1:28" x14ac:dyDescent="0.2">
      <c r="A791" s="23"/>
      <c r="B791" s="30"/>
      <c r="C791" s="30"/>
      <c r="D791" s="147"/>
      <c r="E791" s="147"/>
      <c r="F791" s="30"/>
      <c r="G791" s="30"/>
      <c r="H791" s="30"/>
      <c r="I791" s="30"/>
      <c r="J791" s="30"/>
      <c r="K791" s="30"/>
      <c r="L791" s="30"/>
      <c r="M791" s="23"/>
      <c r="N791" s="23"/>
      <c r="O791" s="123"/>
      <c r="AA791" s="136"/>
      <c r="AB791" s="123"/>
    </row>
    <row r="792" spans="1:28" x14ac:dyDescent="0.2">
      <c r="A792" s="23"/>
      <c r="B792" s="30"/>
      <c r="C792" s="30"/>
      <c r="D792" s="147"/>
      <c r="E792" s="147"/>
      <c r="F792" s="30"/>
      <c r="G792" s="30"/>
      <c r="H792" s="30"/>
      <c r="I792" s="30"/>
      <c r="J792" s="30"/>
      <c r="K792" s="30"/>
      <c r="L792" s="30"/>
      <c r="M792" s="23"/>
      <c r="N792" s="23"/>
      <c r="O792" s="123"/>
      <c r="AA792" s="136"/>
      <c r="AB792" s="123"/>
    </row>
    <row r="793" spans="1:28" x14ac:dyDescent="0.2">
      <c r="A793" s="23"/>
      <c r="B793" s="30"/>
      <c r="C793" s="30"/>
      <c r="D793" s="147"/>
      <c r="E793" s="147"/>
      <c r="F793" s="30"/>
      <c r="G793" s="30"/>
      <c r="H793" s="30"/>
      <c r="I793" s="30"/>
      <c r="J793" s="30"/>
      <c r="K793" s="30"/>
      <c r="L793" s="30"/>
      <c r="M793" s="23"/>
      <c r="N793" s="23"/>
      <c r="O793" s="123"/>
      <c r="AA793" s="136"/>
      <c r="AB793" s="123"/>
    </row>
    <row r="794" spans="1:28" x14ac:dyDescent="0.2">
      <c r="A794" s="23"/>
      <c r="B794" s="30"/>
      <c r="C794" s="30"/>
      <c r="D794" s="147"/>
      <c r="E794" s="147"/>
      <c r="F794" s="30"/>
      <c r="G794" s="30"/>
      <c r="H794" s="30"/>
      <c r="I794" s="30"/>
      <c r="J794" s="30"/>
      <c r="K794" s="30"/>
      <c r="L794" s="30"/>
      <c r="M794" s="23"/>
      <c r="N794" s="23"/>
      <c r="O794" s="123"/>
      <c r="AA794" s="136"/>
      <c r="AB794" s="123"/>
    </row>
    <row r="795" spans="1:28" x14ac:dyDescent="0.2">
      <c r="A795" s="23"/>
      <c r="B795" s="30"/>
      <c r="C795" s="30"/>
      <c r="D795" s="147"/>
      <c r="E795" s="147"/>
      <c r="F795" s="30"/>
      <c r="G795" s="30"/>
      <c r="H795" s="30"/>
      <c r="I795" s="30"/>
      <c r="J795" s="30"/>
      <c r="K795" s="30"/>
      <c r="L795" s="30"/>
      <c r="M795" s="23"/>
      <c r="N795" s="23"/>
      <c r="O795" s="123"/>
      <c r="AA795" s="136"/>
      <c r="AB795" s="123"/>
    </row>
    <row r="796" spans="1:28" x14ac:dyDescent="0.2">
      <c r="A796" s="23"/>
      <c r="B796" s="30"/>
      <c r="C796" s="30"/>
      <c r="D796" s="147"/>
      <c r="E796" s="147"/>
      <c r="F796" s="30"/>
      <c r="G796" s="30"/>
      <c r="H796" s="30"/>
      <c r="I796" s="30"/>
      <c r="J796" s="30"/>
      <c r="K796" s="30"/>
      <c r="L796" s="30"/>
      <c r="M796" s="23"/>
      <c r="N796" s="23"/>
      <c r="O796" s="123"/>
      <c r="AA796" s="136"/>
      <c r="AB796" s="123"/>
    </row>
    <row r="797" spans="1:28" x14ac:dyDescent="0.2">
      <c r="A797" s="23"/>
      <c r="B797" s="30"/>
      <c r="C797" s="30"/>
      <c r="D797" s="147"/>
      <c r="E797" s="147"/>
      <c r="F797" s="30"/>
      <c r="G797" s="30"/>
      <c r="H797" s="30"/>
      <c r="I797" s="30"/>
      <c r="J797" s="30"/>
      <c r="K797" s="30"/>
      <c r="L797" s="30"/>
      <c r="M797" s="23"/>
      <c r="N797" s="23"/>
      <c r="O797" s="123"/>
      <c r="AA797" s="136"/>
      <c r="AB797" s="123"/>
    </row>
    <row r="798" spans="1:28" x14ac:dyDescent="0.2">
      <c r="A798" s="23"/>
      <c r="B798" s="30"/>
      <c r="C798" s="30"/>
      <c r="D798" s="147"/>
      <c r="E798" s="147"/>
      <c r="F798" s="30"/>
      <c r="G798" s="30"/>
      <c r="H798" s="30"/>
      <c r="I798" s="30"/>
      <c r="J798" s="30"/>
      <c r="K798" s="30"/>
      <c r="L798" s="30"/>
      <c r="M798" s="23"/>
      <c r="N798" s="23"/>
      <c r="O798" s="123"/>
      <c r="AA798" s="136"/>
      <c r="AB798" s="123"/>
    </row>
    <row r="799" spans="1:28" x14ac:dyDescent="0.2">
      <c r="A799" s="23"/>
      <c r="B799" s="30"/>
      <c r="C799" s="30"/>
      <c r="D799" s="147"/>
      <c r="E799" s="147"/>
      <c r="F799" s="30"/>
      <c r="G799" s="30"/>
      <c r="H799" s="30"/>
      <c r="I799" s="30"/>
      <c r="J799" s="30"/>
      <c r="K799" s="30"/>
      <c r="L799" s="30"/>
      <c r="M799" s="23"/>
      <c r="N799" s="23"/>
      <c r="O799" s="123"/>
      <c r="AA799" s="136"/>
      <c r="AB799" s="123"/>
    </row>
    <row r="800" spans="1:28" x14ac:dyDescent="0.2">
      <c r="A800" s="23"/>
      <c r="B800" s="30"/>
      <c r="C800" s="30"/>
      <c r="D800" s="147"/>
      <c r="E800" s="147"/>
      <c r="F800" s="30"/>
      <c r="G800" s="30"/>
      <c r="H800" s="30"/>
      <c r="I800" s="30"/>
      <c r="J800" s="30"/>
      <c r="K800" s="30"/>
      <c r="L800" s="30"/>
      <c r="M800" s="23"/>
      <c r="N800" s="23"/>
      <c r="O800" s="123"/>
      <c r="AA800" s="136"/>
      <c r="AB800" s="123"/>
    </row>
    <row r="801" spans="1:28" x14ac:dyDescent="0.2">
      <c r="A801" s="23"/>
      <c r="B801" s="30"/>
      <c r="C801" s="30"/>
      <c r="D801" s="147"/>
      <c r="E801" s="147"/>
      <c r="F801" s="30"/>
      <c r="G801" s="30"/>
      <c r="H801" s="30"/>
      <c r="I801" s="30"/>
      <c r="J801" s="30"/>
      <c r="K801" s="30"/>
      <c r="L801" s="30"/>
      <c r="M801" s="23"/>
      <c r="N801" s="23"/>
      <c r="O801" s="123"/>
      <c r="AA801" s="136"/>
      <c r="AB801" s="123"/>
    </row>
    <row r="802" spans="1:28" x14ac:dyDescent="0.2">
      <c r="A802" s="23"/>
      <c r="B802" s="30"/>
      <c r="C802" s="30"/>
      <c r="D802" s="147"/>
      <c r="E802" s="147"/>
      <c r="F802" s="30"/>
      <c r="G802" s="30"/>
      <c r="H802" s="30"/>
      <c r="I802" s="30"/>
      <c r="J802" s="30"/>
      <c r="K802" s="30"/>
      <c r="L802" s="30"/>
      <c r="M802" s="23"/>
      <c r="N802" s="23"/>
      <c r="O802" s="123"/>
      <c r="AA802" s="136"/>
      <c r="AB802" s="123"/>
    </row>
    <row r="803" spans="1:28" x14ac:dyDescent="0.2">
      <c r="A803" s="23"/>
      <c r="B803" s="30"/>
      <c r="C803" s="30"/>
      <c r="D803" s="147"/>
      <c r="E803" s="147"/>
      <c r="F803" s="30"/>
      <c r="G803" s="30"/>
      <c r="H803" s="30"/>
      <c r="I803" s="30"/>
      <c r="J803" s="30"/>
      <c r="K803" s="30"/>
      <c r="L803" s="30"/>
      <c r="M803" s="23"/>
      <c r="N803" s="23"/>
      <c r="O803" s="123"/>
      <c r="AA803" s="136"/>
      <c r="AB803" s="123"/>
    </row>
    <row r="804" spans="1:28" x14ac:dyDescent="0.2">
      <c r="A804" s="23"/>
      <c r="B804" s="30"/>
      <c r="C804" s="30"/>
      <c r="D804" s="147"/>
      <c r="E804" s="147"/>
      <c r="F804" s="30"/>
      <c r="G804" s="30"/>
      <c r="H804" s="30"/>
      <c r="I804" s="30"/>
      <c r="J804" s="30"/>
      <c r="K804" s="30"/>
      <c r="L804" s="30"/>
      <c r="M804" s="23"/>
      <c r="N804" s="23"/>
      <c r="O804" s="123"/>
      <c r="AA804" s="136"/>
      <c r="AB804" s="123"/>
    </row>
    <row r="805" spans="1:28" x14ac:dyDescent="0.2">
      <c r="A805" s="23"/>
      <c r="B805" s="30"/>
      <c r="C805" s="30"/>
      <c r="D805" s="147"/>
      <c r="E805" s="147"/>
      <c r="F805" s="30"/>
      <c r="G805" s="30"/>
      <c r="H805" s="30"/>
      <c r="I805" s="30"/>
      <c r="J805" s="30"/>
      <c r="K805" s="30"/>
      <c r="L805" s="30"/>
      <c r="M805" s="23"/>
      <c r="N805" s="23"/>
      <c r="O805" s="123"/>
      <c r="AA805" s="136"/>
      <c r="AB805" s="123"/>
    </row>
    <row r="806" spans="1:28" x14ac:dyDescent="0.2">
      <c r="A806" s="23"/>
      <c r="B806" s="30"/>
      <c r="C806" s="30"/>
      <c r="D806" s="147"/>
      <c r="E806" s="147"/>
      <c r="F806" s="30"/>
      <c r="G806" s="30"/>
      <c r="H806" s="30"/>
      <c r="I806" s="30"/>
      <c r="J806" s="30"/>
      <c r="K806" s="30"/>
      <c r="L806" s="30"/>
      <c r="M806" s="23"/>
      <c r="N806" s="23"/>
      <c r="O806" s="123"/>
      <c r="AA806" s="136"/>
      <c r="AB806" s="123"/>
    </row>
    <row r="807" spans="1:28" x14ac:dyDescent="0.2">
      <c r="A807" s="23"/>
      <c r="B807" s="30"/>
      <c r="C807" s="30"/>
      <c r="D807" s="147"/>
      <c r="E807" s="147"/>
      <c r="F807" s="30"/>
      <c r="G807" s="30"/>
      <c r="H807" s="30"/>
      <c r="I807" s="30"/>
      <c r="J807" s="30"/>
      <c r="K807" s="30"/>
      <c r="L807" s="30"/>
      <c r="M807" s="23"/>
      <c r="N807" s="23"/>
      <c r="O807" s="123"/>
      <c r="AA807" s="136"/>
      <c r="AB807" s="123"/>
    </row>
    <row r="808" spans="1:28" x14ac:dyDescent="0.2">
      <c r="A808" s="23"/>
      <c r="B808" s="30"/>
      <c r="C808" s="30"/>
      <c r="D808" s="147"/>
      <c r="E808" s="147"/>
      <c r="F808" s="30"/>
      <c r="G808" s="30"/>
      <c r="H808" s="30"/>
      <c r="I808" s="30"/>
      <c r="J808" s="30"/>
      <c r="K808" s="30"/>
      <c r="L808" s="30"/>
      <c r="M808" s="23"/>
      <c r="N808" s="23"/>
      <c r="O808" s="123"/>
      <c r="AA808" s="136"/>
      <c r="AB808" s="123"/>
    </row>
    <row r="809" spans="1:28" x14ac:dyDescent="0.2">
      <c r="A809" s="23"/>
      <c r="B809" s="30"/>
      <c r="C809" s="30"/>
      <c r="D809" s="147"/>
      <c r="E809" s="147"/>
      <c r="F809" s="30"/>
      <c r="G809" s="30"/>
      <c r="H809" s="30"/>
      <c r="I809" s="30"/>
      <c r="J809" s="30"/>
      <c r="K809" s="30"/>
      <c r="L809" s="30"/>
      <c r="M809" s="23"/>
      <c r="N809" s="23"/>
      <c r="O809" s="123"/>
      <c r="AA809" s="136"/>
      <c r="AB809" s="123"/>
    </row>
    <row r="810" spans="1:28" x14ac:dyDescent="0.2">
      <c r="A810" s="23"/>
      <c r="B810" s="30"/>
      <c r="C810" s="30"/>
      <c r="D810" s="147"/>
      <c r="E810" s="147"/>
      <c r="F810" s="30"/>
      <c r="G810" s="30"/>
      <c r="H810" s="30"/>
      <c r="I810" s="30"/>
      <c r="J810" s="30"/>
      <c r="K810" s="30"/>
      <c r="L810" s="30"/>
      <c r="M810" s="23"/>
      <c r="N810" s="23"/>
      <c r="O810" s="123"/>
      <c r="AA810" s="136"/>
      <c r="AB810" s="123"/>
    </row>
    <row r="811" spans="1:28" x14ac:dyDescent="0.2">
      <c r="A811" s="23"/>
      <c r="B811" s="30"/>
      <c r="C811" s="30"/>
      <c r="D811" s="147"/>
      <c r="E811" s="147"/>
      <c r="F811" s="30"/>
      <c r="G811" s="30"/>
      <c r="H811" s="30"/>
      <c r="I811" s="30"/>
      <c r="J811" s="30"/>
      <c r="K811" s="30"/>
      <c r="L811" s="30"/>
      <c r="M811" s="23"/>
      <c r="N811" s="23"/>
      <c r="O811" s="123"/>
      <c r="AA811" s="136"/>
      <c r="AB811" s="123"/>
    </row>
    <row r="812" spans="1:28" x14ac:dyDescent="0.2">
      <c r="A812" s="23"/>
      <c r="B812" s="30"/>
      <c r="C812" s="30"/>
      <c r="D812" s="147"/>
      <c r="E812" s="147"/>
      <c r="F812" s="30"/>
      <c r="G812" s="30"/>
      <c r="H812" s="30"/>
      <c r="I812" s="30"/>
      <c r="J812" s="30"/>
      <c r="K812" s="30"/>
      <c r="L812" s="30"/>
      <c r="M812" s="23"/>
      <c r="N812" s="23"/>
      <c r="O812" s="123"/>
      <c r="AA812" s="136"/>
      <c r="AB812" s="123"/>
    </row>
    <row r="813" spans="1:28" x14ac:dyDescent="0.2">
      <c r="A813" s="23"/>
      <c r="B813" s="30"/>
      <c r="C813" s="30"/>
      <c r="D813" s="147"/>
      <c r="E813" s="147"/>
      <c r="F813" s="30"/>
      <c r="G813" s="30"/>
      <c r="H813" s="30"/>
      <c r="I813" s="30"/>
      <c r="J813" s="30"/>
      <c r="K813" s="30"/>
      <c r="L813" s="30"/>
      <c r="M813" s="23"/>
      <c r="N813" s="23"/>
      <c r="O813" s="123"/>
      <c r="AA813" s="136"/>
      <c r="AB813" s="123"/>
    </row>
    <row r="814" spans="1:28" x14ac:dyDescent="0.2">
      <c r="A814" s="23"/>
      <c r="B814" s="30"/>
      <c r="C814" s="30"/>
      <c r="D814" s="147"/>
      <c r="E814" s="147"/>
      <c r="F814" s="30"/>
      <c r="G814" s="30"/>
      <c r="H814" s="30"/>
      <c r="I814" s="30"/>
      <c r="J814" s="30"/>
      <c r="K814" s="30"/>
      <c r="L814" s="30"/>
      <c r="M814" s="23"/>
      <c r="N814" s="23"/>
      <c r="O814" s="123"/>
      <c r="AA814" s="136"/>
      <c r="AB814" s="123"/>
    </row>
    <row r="815" spans="1:28" x14ac:dyDescent="0.2">
      <c r="A815" s="23"/>
      <c r="B815" s="30"/>
      <c r="C815" s="30"/>
      <c r="D815" s="147"/>
      <c r="E815" s="147"/>
      <c r="F815" s="30"/>
      <c r="G815" s="30"/>
      <c r="H815" s="30"/>
      <c r="I815" s="30"/>
      <c r="J815" s="30"/>
      <c r="K815" s="30"/>
      <c r="L815" s="30"/>
      <c r="M815" s="23"/>
      <c r="N815" s="23"/>
      <c r="O815" s="123"/>
      <c r="AA815" s="136"/>
      <c r="AB815" s="123"/>
    </row>
    <row r="816" spans="1:28" x14ac:dyDescent="0.2">
      <c r="A816" s="23"/>
      <c r="B816" s="30"/>
      <c r="C816" s="30"/>
      <c r="D816" s="147"/>
      <c r="E816" s="147"/>
      <c r="F816" s="30"/>
      <c r="G816" s="30"/>
      <c r="H816" s="30"/>
      <c r="I816" s="30"/>
      <c r="J816" s="30"/>
      <c r="K816" s="30"/>
      <c r="L816" s="30"/>
      <c r="M816" s="23"/>
      <c r="N816" s="23"/>
      <c r="O816" s="123"/>
      <c r="AA816" s="136"/>
      <c r="AB816" s="123"/>
    </row>
    <row r="817" spans="1:28" x14ac:dyDescent="0.2">
      <c r="A817" s="23"/>
      <c r="B817" s="30"/>
      <c r="C817" s="30"/>
      <c r="D817" s="147"/>
      <c r="E817" s="147"/>
      <c r="F817" s="30"/>
      <c r="G817" s="30"/>
      <c r="H817" s="30"/>
      <c r="I817" s="30"/>
      <c r="J817" s="30"/>
      <c r="K817" s="30"/>
      <c r="L817" s="30"/>
      <c r="M817" s="23"/>
      <c r="N817" s="23"/>
      <c r="O817" s="123"/>
      <c r="AA817" s="136"/>
      <c r="AB817" s="123"/>
    </row>
    <row r="818" spans="1:28" x14ac:dyDescent="0.2">
      <c r="A818" s="23"/>
      <c r="B818" s="30"/>
      <c r="C818" s="30"/>
      <c r="D818" s="147"/>
      <c r="E818" s="147"/>
      <c r="F818" s="30"/>
      <c r="G818" s="30"/>
      <c r="H818" s="30"/>
      <c r="I818" s="30"/>
      <c r="J818" s="30"/>
      <c r="K818" s="30"/>
      <c r="L818" s="30"/>
      <c r="M818" s="23"/>
      <c r="N818" s="23"/>
      <c r="O818" s="123"/>
      <c r="AA818" s="136"/>
      <c r="AB818" s="123"/>
    </row>
    <row r="819" spans="1:28" x14ac:dyDescent="0.2">
      <c r="A819" s="23"/>
      <c r="B819" s="30"/>
      <c r="C819" s="30"/>
      <c r="D819" s="147"/>
      <c r="E819" s="147"/>
      <c r="F819" s="30"/>
      <c r="G819" s="30"/>
      <c r="H819" s="30"/>
      <c r="I819" s="30"/>
      <c r="J819" s="30"/>
      <c r="K819" s="30"/>
      <c r="L819" s="30"/>
      <c r="M819" s="23"/>
      <c r="N819" s="23"/>
      <c r="O819" s="123"/>
      <c r="AA819" s="136"/>
      <c r="AB819" s="123"/>
    </row>
    <row r="820" spans="1:28" x14ac:dyDescent="0.2">
      <c r="A820" s="23"/>
      <c r="B820" s="30"/>
      <c r="C820" s="30"/>
      <c r="D820" s="147"/>
      <c r="E820" s="147"/>
      <c r="F820" s="30"/>
      <c r="G820" s="30"/>
      <c r="H820" s="30"/>
      <c r="I820" s="30"/>
      <c r="J820" s="30"/>
      <c r="K820" s="30"/>
      <c r="L820" s="30"/>
      <c r="M820" s="23"/>
      <c r="N820" s="23"/>
      <c r="O820" s="123"/>
      <c r="AA820" s="136"/>
      <c r="AB820" s="123"/>
    </row>
    <row r="821" spans="1:28" x14ac:dyDescent="0.2">
      <c r="A821" s="23"/>
      <c r="B821" s="30"/>
      <c r="C821" s="30"/>
      <c r="D821" s="147"/>
      <c r="E821" s="147"/>
      <c r="F821" s="30"/>
      <c r="G821" s="30"/>
      <c r="H821" s="30"/>
      <c r="I821" s="30"/>
      <c r="J821" s="30"/>
      <c r="K821" s="30"/>
      <c r="L821" s="30"/>
      <c r="M821" s="23"/>
      <c r="N821" s="23"/>
      <c r="O821" s="123"/>
      <c r="AA821" s="136"/>
      <c r="AB821" s="123"/>
    </row>
    <row r="822" spans="1:28" x14ac:dyDescent="0.2">
      <c r="A822" s="23"/>
      <c r="B822" s="30"/>
      <c r="C822" s="30"/>
      <c r="D822" s="147"/>
      <c r="E822" s="147"/>
      <c r="F822" s="30"/>
      <c r="G822" s="30"/>
      <c r="H822" s="30"/>
      <c r="I822" s="30"/>
      <c r="J822" s="30"/>
      <c r="K822" s="30"/>
      <c r="L822" s="30"/>
      <c r="M822" s="23"/>
      <c r="N822" s="23"/>
      <c r="O822" s="123"/>
      <c r="AA822" s="136"/>
      <c r="AB822" s="123"/>
    </row>
    <row r="823" spans="1:28" x14ac:dyDescent="0.2">
      <c r="A823" s="23"/>
      <c r="B823" s="30"/>
      <c r="C823" s="30"/>
      <c r="D823" s="147"/>
      <c r="E823" s="147"/>
      <c r="F823" s="30"/>
      <c r="G823" s="30"/>
      <c r="H823" s="30"/>
      <c r="I823" s="30"/>
      <c r="J823" s="30"/>
      <c r="K823" s="30"/>
      <c r="L823" s="30"/>
      <c r="M823" s="23"/>
      <c r="N823" s="23"/>
      <c r="O823" s="123"/>
      <c r="AA823" s="136"/>
      <c r="AB823" s="123"/>
    </row>
    <row r="824" spans="1:28" x14ac:dyDescent="0.2">
      <c r="A824" s="23"/>
      <c r="B824" s="30"/>
      <c r="C824" s="30"/>
      <c r="D824" s="147"/>
      <c r="E824" s="147"/>
      <c r="F824" s="30"/>
      <c r="G824" s="30"/>
      <c r="H824" s="30"/>
      <c r="I824" s="30"/>
      <c r="J824" s="30"/>
      <c r="K824" s="30"/>
      <c r="L824" s="30"/>
      <c r="M824" s="23"/>
      <c r="N824" s="23"/>
      <c r="O824" s="123"/>
      <c r="AA824" s="136"/>
      <c r="AB824" s="123"/>
    </row>
    <row r="825" spans="1:28" x14ac:dyDescent="0.2">
      <c r="A825" s="23"/>
      <c r="B825" s="30"/>
      <c r="C825" s="30"/>
      <c r="D825" s="147"/>
      <c r="E825" s="147"/>
      <c r="F825" s="30"/>
      <c r="G825" s="30"/>
      <c r="H825" s="30"/>
      <c r="I825" s="30"/>
      <c r="J825" s="30"/>
      <c r="K825" s="30"/>
      <c r="L825" s="30"/>
      <c r="M825" s="23"/>
      <c r="N825" s="23"/>
      <c r="O825" s="123"/>
      <c r="AA825" s="136"/>
      <c r="AB825" s="123"/>
    </row>
    <row r="826" spans="1:28" x14ac:dyDescent="0.2">
      <c r="A826" s="23"/>
      <c r="B826" s="30"/>
      <c r="C826" s="30"/>
      <c r="D826" s="147"/>
      <c r="E826" s="147"/>
      <c r="F826" s="30"/>
      <c r="G826" s="30"/>
      <c r="H826" s="30"/>
      <c r="I826" s="30"/>
      <c r="J826" s="30"/>
      <c r="K826" s="30"/>
      <c r="L826" s="30"/>
      <c r="M826" s="23"/>
      <c r="N826" s="23"/>
      <c r="O826" s="123"/>
      <c r="AA826" s="136"/>
      <c r="AB826" s="123"/>
    </row>
    <row r="827" spans="1:28" x14ac:dyDescent="0.2">
      <c r="A827" s="23"/>
      <c r="B827" s="30"/>
      <c r="C827" s="30"/>
      <c r="D827" s="147"/>
      <c r="E827" s="147"/>
      <c r="F827" s="30"/>
      <c r="G827" s="30"/>
      <c r="H827" s="30"/>
      <c r="I827" s="30"/>
      <c r="J827" s="30"/>
      <c r="K827" s="30"/>
      <c r="L827" s="30"/>
      <c r="M827" s="23"/>
      <c r="N827" s="23"/>
      <c r="O827" s="123"/>
      <c r="AA827" s="136"/>
      <c r="AB827" s="123"/>
    </row>
    <row r="828" spans="1:28" x14ac:dyDescent="0.2">
      <c r="A828" s="23"/>
      <c r="B828" s="30"/>
      <c r="C828" s="30"/>
      <c r="D828" s="147"/>
      <c r="E828" s="147"/>
      <c r="F828" s="30"/>
      <c r="G828" s="30"/>
      <c r="H828" s="30"/>
      <c r="I828" s="30"/>
      <c r="J828" s="30"/>
      <c r="K828" s="30"/>
      <c r="L828" s="30"/>
      <c r="M828" s="23"/>
      <c r="N828" s="23"/>
      <c r="O828" s="123"/>
      <c r="AA828" s="136"/>
      <c r="AB828" s="123"/>
    </row>
    <row r="829" spans="1:28" x14ac:dyDescent="0.2">
      <c r="A829" s="23"/>
      <c r="B829" s="30"/>
      <c r="C829" s="30"/>
      <c r="D829" s="147"/>
      <c r="E829" s="147"/>
      <c r="F829" s="30"/>
      <c r="G829" s="30"/>
      <c r="H829" s="30"/>
      <c r="I829" s="30"/>
      <c r="J829" s="30"/>
      <c r="K829" s="30"/>
      <c r="L829" s="30"/>
      <c r="M829" s="23"/>
      <c r="N829" s="23"/>
      <c r="O829" s="123"/>
      <c r="AA829" s="136"/>
      <c r="AB829" s="123"/>
    </row>
    <row r="830" spans="1:28" x14ac:dyDescent="0.2">
      <c r="A830" s="23"/>
      <c r="B830" s="30"/>
      <c r="C830" s="30"/>
      <c r="D830" s="147"/>
      <c r="E830" s="147"/>
      <c r="F830" s="30"/>
      <c r="G830" s="30"/>
      <c r="H830" s="30"/>
      <c r="I830" s="30"/>
      <c r="J830" s="30"/>
      <c r="K830" s="30"/>
      <c r="L830" s="30"/>
      <c r="M830" s="23"/>
      <c r="N830" s="23"/>
      <c r="O830" s="123"/>
      <c r="AA830" s="136"/>
      <c r="AB830" s="123"/>
    </row>
    <row r="831" spans="1:28" x14ac:dyDescent="0.2">
      <c r="A831" s="23"/>
      <c r="B831" s="30"/>
      <c r="C831" s="30"/>
      <c r="D831" s="147"/>
      <c r="E831" s="147"/>
      <c r="F831" s="30"/>
      <c r="G831" s="30"/>
      <c r="H831" s="30"/>
      <c r="I831" s="30"/>
      <c r="J831" s="30"/>
      <c r="K831" s="30"/>
      <c r="L831" s="30"/>
      <c r="M831" s="23"/>
      <c r="N831" s="23"/>
      <c r="O831" s="123"/>
      <c r="AA831" s="136"/>
      <c r="AB831" s="123"/>
    </row>
    <row r="832" spans="1:28" x14ac:dyDescent="0.2">
      <c r="A832" s="23"/>
      <c r="B832" s="30"/>
      <c r="C832" s="30"/>
      <c r="D832" s="147"/>
      <c r="E832" s="147"/>
      <c r="F832" s="30"/>
      <c r="G832" s="30"/>
      <c r="H832" s="30"/>
      <c r="I832" s="30"/>
      <c r="J832" s="30"/>
      <c r="K832" s="30"/>
      <c r="L832" s="30"/>
      <c r="M832" s="23"/>
      <c r="N832" s="23"/>
      <c r="O832" s="123"/>
      <c r="AA832" s="136"/>
      <c r="AB832" s="123"/>
    </row>
    <row r="833" spans="1:28" x14ac:dyDescent="0.2">
      <c r="A833" s="23"/>
      <c r="B833" s="30"/>
      <c r="C833" s="30"/>
      <c r="D833" s="147"/>
      <c r="E833" s="147"/>
      <c r="F833" s="30"/>
      <c r="G833" s="30"/>
      <c r="H833" s="30"/>
      <c r="I833" s="30"/>
      <c r="J833" s="30"/>
      <c r="K833" s="30"/>
      <c r="L833" s="30"/>
      <c r="M833" s="23"/>
      <c r="N833" s="23"/>
      <c r="O833" s="123"/>
      <c r="AA833" s="136"/>
      <c r="AB833" s="123"/>
    </row>
    <row r="834" spans="1:28" x14ac:dyDescent="0.2">
      <c r="A834" s="23"/>
      <c r="B834" s="30"/>
      <c r="C834" s="30"/>
      <c r="D834" s="147"/>
      <c r="E834" s="147"/>
      <c r="F834" s="30"/>
      <c r="G834" s="30"/>
      <c r="H834" s="30"/>
      <c r="I834" s="30"/>
      <c r="J834" s="30"/>
      <c r="K834" s="30"/>
      <c r="L834" s="30"/>
      <c r="M834" s="23"/>
      <c r="N834" s="23"/>
      <c r="O834" s="123"/>
      <c r="AA834" s="136"/>
      <c r="AB834" s="123"/>
    </row>
    <row r="835" spans="1:28" x14ac:dyDescent="0.2">
      <c r="A835" s="23"/>
      <c r="B835" s="30"/>
      <c r="C835" s="30"/>
      <c r="D835" s="147"/>
      <c r="E835" s="147"/>
      <c r="F835" s="30"/>
      <c r="G835" s="30"/>
      <c r="H835" s="30"/>
      <c r="I835" s="30"/>
      <c r="J835" s="30"/>
      <c r="K835" s="30"/>
      <c r="L835" s="30"/>
      <c r="M835" s="23"/>
      <c r="N835" s="23"/>
      <c r="O835" s="123"/>
      <c r="AA835" s="136"/>
      <c r="AB835" s="123"/>
    </row>
    <row r="836" spans="1:28" x14ac:dyDescent="0.2">
      <c r="A836" s="23"/>
      <c r="B836" s="30"/>
      <c r="C836" s="30"/>
      <c r="D836" s="147"/>
      <c r="E836" s="147"/>
      <c r="F836" s="30"/>
      <c r="G836" s="30"/>
      <c r="H836" s="30"/>
      <c r="I836" s="30"/>
      <c r="J836" s="30"/>
      <c r="K836" s="30"/>
      <c r="L836" s="30"/>
      <c r="M836" s="23"/>
      <c r="N836" s="23"/>
      <c r="O836" s="123"/>
      <c r="AA836" s="136"/>
      <c r="AB836" s="123"/>
    </row>
    <row r="837" spans="1:28" x14ac:dyDescent="0.2">
      <c r="A837" s="23"/>
      <c r="B837" s="30"/>
      <c r="C837" s="30"/>
      <c r="D837" s="147"/>
      <c r="E837" s="147"/>
      <c r="F837" s="30"/>
      <c r="G837" s="30"/>
      <c r="H837" s="30"/>
      <c r="I837" s="30"/>
      <c r="J837" s="30"/>
      <c r="K837" s="30"/>
      <c r="L837" s="30"/>
      <c r="M837" s="23"/>
      <c r="N837" s="23"/>
      <c r="O837" s="123"/>
      <c r="AA837" s="136"/>
      <c r="AB837" s="123"/>
    </row>
    <row r="838" spans="1:28" x14ac:dyDescent="0.2">
      <c r="A838" s="23"/>
      <c r="B838" s="30"/>
      <c r="C838" s="30"/>
      <c r="D838" s="147"/>
      <c r="E838" s="147"/>
      <c r="F838" s="30"/>
      <c r="G838" s="30"/>
      <c r="H838" s="30"/>
      <c r="I838" s="30"/>
      <c r="J838" s="30"/>
      <c r="K838" s="30"/>
      <c r="L838" s="30"/>
      <c r="M838" s="23"/>
      <c r="N838" s="23"/>
      <c r="O838" s="123"/>
      <c r="AA838" s="136"/>
      <c r="AB838" s="123"/>
    </row>
    <row r="839" spans="1:28" x14ac:dyDescent="0.2">
      <c r="A839" s="23"/>
      <c r="B839" s="30"/>
      <c r="C839" s="30"/>
      <c r="D839" s="147"/>
      <c r="E839" s="147"/>
      <c r="F839" s="30"/>
      <c r="G839" s="30"/>
      <c r="H839" s="30"/>
      <c r="I839" s="30"/>
      <c r="J839" s="30"/>
      <c r="K839" s="30"/>
      <c r="L839" s="30"/>
      <c r="M839" s="23"/>
      <c r="N839" s="23"/>
      <c r="O839" s="123"/>
      <c r="AA839" s="136"/>
      <c r="AB839" s="123"/>
    </row>
    <row r="840" spans="1:28" x14ac:dyDescent="0.2">
      <c r="A840" s="23"/>
      <c r="B840" s="30"/>
      <c r="C840" s="30"/>
      <c r="D840" s="147"/>
      <c r="E840" s="147"/>
      <c r="F840" s="30"/>
      <c r="G840" s="30"/>
      <c r="H840" s="30"/>
      <c r="I840" s="30"/>
      <c r="J840" s="30"/>
      <c r="K840" s="30"/>
      <c r="L840" s="30"/>
      <c r="M840" s="23"/>
      <c r="N840" s="23"/>
      <c r="O840" s="123"/>
      <c r="AA840" s="136"/>
      <c r="AB840" s="123"/>
    </row>
    <row r="841" spans="1:28" x14ac:dyDescent="0.2">
      <c r="A841" s="23"/>
      <c r="B841" s="30"/>
      <c r="C841" s="30"/>
      <c r="D841" s="147"/>
      <c r="E841" s="147"/>
      <c r="F841" s="30"/>
      <c r="G841" s="30"/>
      <c r="H841" s="30"/>
      <c r="I841" s="30"/>
      <c r="J841" s="30"/>
      <c r="K841" s="30"/>
      <c r="L841" s="30"/>
      <c r="M841" s="23"/>
      <c r="N841" s="23"/>
      <c r="O841" s="123"/>
      <c r="AA841" s="136"/>
      <c r="AB841" s="123"/>
    </row>
    <row r="842" spans="1:28" x14ac:dyDescent="0.2">
      <c r="A842" s="23"/>
      <c r="B842" s="30"/>
      <c r="C842" s="30"/>
      <c r="D842" s="147"/>
      <c r="E842" s="147"/>
      <c r="F842" s="30"/>
      <c r="G842" s="30"/>
      <c r="H842" s="30"/>
      <c r="I842" s="30"/>
      <c r="J842" s="30"/>
      <c r="K842" s="30"/>
      <c r="L842" s="30"/>
      <c r="M842" s="23"/>
      <c r="N842" s="23"/>
      <c r="O842" s="123"/>
      <c r="AA842" s="136"/>
      <c r="AB842" s="123"/>
    </row>
    <row r="843" spans="1:28" x14ac:dyDescent="0.2">
      <c r="A843" s="23"/>
      <c r="B843" s="30"/>
      <c r="C843" s="30"/>
      <c r="D843" s="147"/>
      <c r="E843" s="147"/>
      <c r="F843" s="30"/>
      <c r="G843" s="30"/>
      <c r="H843" s="30"/>
      <c r="I843" s="30"/>
      <c r="J843" s="30"/>
      <c r="K843" s="30"/>
      <c r="L843" s="30"/>
      <c r="M843" s="23"/>
      <c r="N843" s="23"/>
      <c r="O843" s="123"/>
      <c r="AA843" s="136"/>
      <c r="AB843" s="123"/>
    </row>
    <row r="844" spans="1:28" x14ac:dyDescent="0.2">
      <c r="A844" s="23"/>
      <c r="B844" s="30"/>
      <c r="C844" s="30"/>
      <c r="D844" s="147"/>
      <c r="E844" s="147"/>
      <c r="F844" s="30"/>
      <c r="G844" s="30"/>
      <c r="H844" s="30"/>
      <c r="I844" s="30"/>
      <c r="J844" s="30"/>
      <c r="K844" s="30"/>
      <c r="L844" s="30"/>
      <c r="M844" s="23"/>
      <c r="N844" s="23"/>
      <c r="O844" s="123"/>
      <c r="AA844" s="136"/>
      <c r="AB844" s="123"/>
    </row>
    <row r="845" spans="1:28" x14ac:dyDescent="0.2">
      <c r="A845" s="23"/>
      <c r="B845" s="30"/>
      <c r="C845" s="30"/>
      <c r="D845" s="147"/>
      <c r="E845" s="147"/>
      <c r="F845" s="30"/>
      <c r="G845" s="30"/>
      <c r="H845" s="30"/>
      <c r="I845" s="30"/>
      <c r="J845" s="30"/>
      <c r="K845" s="30"/>
      <c r="L845" s="30"/>
      <c r="M845" s="23"/>
      <c r="N845" s="23"/>
      <c r="O845" s="123"/>
      <c r="AA845" s="136"/>
      <c r="AB845" s="123"/>
    </row>
    <row r="846" spans="1:28" x14ac:dyDescent="0.2">
      <c r="A846" s="23"/>
      <c r="B846" s="30"/>
      <c r="C846" s="30"/>
      <c r="D846" s="147"/>
      <c r="E846" s="147"/>
      <c r="F846" s="30"/>
      <c r="G846" s="30"/>
      <c r="H846" s="30"/>
      <c r="I846" s="30"/>
      <c r="J846" s="30"/>
      <c r="K846" s="30"/>
      <c r="L846" s="30"/>
      <c r="M846" s="23"/>
      <c r="N846" s="23"/>
      <c r="O846" s="123"/>
      <c r="AA846" s="136"/>
      <c r="AB846" s="123"/>
    </row>
    <row r="847" spans="1:28" x14ac:dyDescent="0.2">
      <c r="A847" s="23"/>
      <c r="B847" s="30"/>
      <c r="C847" s="30"/>
      <c r="D847" s="147"/>
      <c r="E847" s="147"/>
      <c r="F847" s="30"/>
      <c r="G847" s="30"/>
      <c r="H847" s="30"/>
      <c r="I847" s="30"/>
      <c r="J847" s="30"/>
      <c r="K847" s="30"/>
      <c r="L847" s="30"/>
      <c r="M847" s="23"/>
      <c r="N847" s="23"/>
      <c r="O847" s="123"/>
      <c r="AA847" s="136"/>
      <c r="AB847" s="123"/>
    </row>
    <row r="848" spans="1:28" x14ac:dyDescent="0.2">
      <c r="A848" s="23"/>
      <c r="B848" s="30"/>
      <c r="C848" s="30"/>
      <c r="D848" s="147"/>
      <c r="E848" s="147"/>
      <c r="F848" s="30"/>
      <c r="G848" s="30"/>
      <c r="H848" s="30"/>
      <c r="I848" s="30"/>
      <c r="J848" s="30"/>
      <c r="K848" s="30"/>
      <c r="L848" s="30"/>
      <c r="M848" s="23"/>
      <c r="N848" s="23"/>
      <c r="O848" s="123"/>
      <c r="AA848" s="136"/>
      <c r="AB848" s="123"/>
    </row>
    <row r="849" spans="1:28" x14ac:dyDescent="0.2">
      <c r="A849" s="23"/>
      <c r="B849" s="30"/>
      <c r="C849" s="30"/>
      <c r="D849" s="147"/>
      <c r="E849" s="147"/>
      <c r="F849" s="30"/>
      <c r="G849" s="30"/>
      <c r="H849" s="30"/>
      <c r="I849" s="30"/>
      <c r="J849" s="30"/>
      <c r="K849" s="30"/>
      <c r="L849" s="30"/>
      <c r="M849" s="23"/>
      <c r="N849" s="23"/>
      <c r="O849" s="123"/>
      <c r="AA849" s="136"/>
      <c r="AB849" s="123"/>
    </row>
    <row r="850" spans="1:28" x14ac:dyDescent="0.2">
      <c r="A850" s="23"/>
      <c r="B850" s="30"/>
      <c r="C850" s="30"/>
      <c r="D850" s="147"/>
      <c r="E850" s="147"/>
      <c r="F850" s="30"/>
      <c r="G850" s="30"/>
      <c r="H850" s="30"/>
      <c r="I850" s="30"/>
      <c r="J850" s="30"/>
      <c r="K850" s="30"/>
      <c r="L850" s="30"/>
      <c r="M850" s="23"/>
      <c r="N850" s="23"/>
      <c r="O850" s="123"/>
      <c r="AA850" s="136"/>
      <c r="AB850" s="123"/>
    </row>
    <row r="851" spans="1:28" x14ac:dyDescent="0.2">
      <c r="A851" s="23"/>
      <c r="B851" s="30"/>
      <c r="C851" s="30"/>
      <c r="D851" s="147"/>
      <c r="E851" s="147"/>
      <c r="F851" s="30"/>
      <c r="G851" s="30"/>
      <c r="H851" s="30"/>
      <c r="I851" s="30"/>
      <c r="J851" s="30"/>
      <c r="K851" s="30"/>
      <c r="L851" s="30"/>
      <c r="M851" s="23"/>
      <c r="N851" s="23"/>
      <c r="O851" s="123"/>
      <c r="AA851" s="136"/>
      <c r="AB851" s="123"/>
    </row>
    <row r="852" spans="1:28" x14ac:dyDescent="0.2">
      <c r="A852" s="23"/>
      <c r="B852" s="30"/>
      <c r="C852" s="30"/>
      <c r="D852" s="147"/>
      <c r="E852" s="147"/>
      <c r="F852" s="30"/>
      <c r="G852" s="30"/>
      <c r="H852" s="30"/>
      <c r="I852" s="30"/>
      <c r="J852" s="30"/>
      <c r="K852" s="30"/>
      <c r="L852" s="30"/>
      <c r="M852" s="23"/>
      <c r="N852" s="23"/>
      <c r="O852" s="123"/>
      <c r="AA852" s="136"/>
      <c r="AB852" s="123"/>
    </row>
    <row r="853" spans="1:28" x14ac:dyDescent="0.2">
      <c r="A853" s="23"/>
      <c r="B853" s="30"/>
      <c r="C853" s="30"/>
      <c r="D853" s="147"/>
      <c r="E853" s="147"/>
      <c r="F853" s="30"/>
      <c r="G853" s="30"/>
      <c r="H853" s="30"/>
      <c r="I853" s="30"/>
      <c r="J853" s="30"/>
      <c r="K853" s="30"/>
      <c r="L853" s="30"/>
      <c r="M853" s="23"/>
      <c r="N853" s="23"/>
      <c r="O853" s="123"/>
      <c r="AA853" s="136"/>
      <c r="AB853" s="123"/>
    </row>
    <row r="854" spans="1:28" x14ac:dyDescent="0.2">
      <c r="A854" s="23"/>
      <c r="B854" s="30"/>
      <c r="C854" s="30"/>
      <c r="D854" s="147"/>
      <c r="E854" s="147"/>
      <c r="F854" s="30"/>
      <c r="G854" s="30"/>
      <c r="H854" s="30"/>
      <c r="I854" s="30"/>
      <c r="J854" s="30"/>
      <c r="K854" s="30"/>
      <c r="L854" s="30"/>
      <c r="M854" s="23"/>
      <c r="N854" s="23"/>
      <c r="O854" s="123"/>
      <c r="AA854" s="136"/>
      <c r="AB854" s="123"/>
    </row>
    <row r="855" spans="1:28" x14ac:dyDescent="0.2">
      <c r="A855" s="23"/>
      <c r="B855" s="30"/>
      <c r="C855" s="30"/>
      <c r="D855" s="147"/>
      <c r="E855" s="147"/>
      <c r="F855" s="30"/>
      <c r="G855" s="30"/>
      <c r="H855" s="30"/>
      <c r="I855" s="30"/>
      <c r="J855" s="30"/>
      <c r="K855" s="30"/>
      <c r="L855" s="30"/>
      <c r="M855" s="23"/>
      <c r="N855" s="23"/>
      <c r="O855" s="123"/>
      <c r="AA855" s="136"/>
      <c r="AB855" s="123"/>
    </row>
    <row r="856" spans="1:28" x14ac:dyDescent="0.2">
      <c r="A856" s="23"/>
      <c r="B856" s="30"/>
      <c r="C856" s="30"/>
      <c r="D856" s="147"/>
      <c r="E856" s="147"/>
      <c r="F856" s="30"/>
      <c r="G856" s="30"/>
      <c r="H856" s="30"/>
      <c r="I856" s="30"/>
      <c r="J856" s="30"/>
      <c r="K856" s="30"/>
      <c r="L856" s="30"/>
      <c r="M856" s="23"/>
      <c r="N856" s="23"/>
      <c r="O856" s="123"/>
      <c r="AA856" s="136"/>
      <c r="AB856" s="123"/>
    </row>
    <row r="857" spans="1:28" x14ac:dyDescent="0.2">
      <c r="A857" s="23"/>
      <c r="B857" s="30"/>
      <c r="C857" s="30"/>
      <c r="D857" s="147"/>
      <c r="E857" s="147"/>
      <c r="F857" s="30"/>
      <c r="G857" s="30"/>
      <c r="H857" s="30"/>
      <c r="I857" s="30"/>
      <c r="J857" s="30"/>
      <c r="K857" s="30"/>
      <c r="L857" s="30"/>
      <c r="M857" s="23"/>
      <c r="N857" s="23"/>
      <c r="O857" s="123"/>
      <c r="AA857" s="136"/>
      <c r="AB857" s="123"/>
    </row>
    <row r="858" spans="1:28" x14ac:dyDescent="0.2">
      <c r="A858" s="23"/>
      <c r="B858" s="30"/>
      <c r="C858" s="30"/>
      <c r="D858" s="147"/>
      <c r="E858" s="147"/>
      <c r="F858" s="30"/>
      <c r="G858" s="30"/>
      <c r="H858" s="30"/>
      <c r="I858" s="30"/>
      <c r="J858" s="30"/>
      <c r="K858" s="30"/>
      <c r="L858" s="30"/>
      <c r="M858" s="23"/>
      <c r="N858" s="23"/>
      <c r="O858" s="123"/>
      <c r="AA858" s="136"/>
      <c r="AB858" s="123"/>
    </row>
    <row r="859" spans="1:28" x14ac:dyDescent="0.2">
      <c r="A859" s="23"/>
      <c r="B859" s="30"/>
      <c r="C859" s="30"/>
      <c r="D859" s="147"/>
      <c r="E859" s="147"/>
      <c r="F859" s="30"/>
      <c r="G859" s="30"/>
      <c r="H859" s="30"/>
      <c r="I859" s="30"/>
      <c r="J859" s="30"/>
      <c r="K859" s="30"/>
      <c r="L859" s="30"/>
      <c r="M859" s="23"/>
      <c r="N859" s="23"/>
      <c r="O859" s="123"/>
      <c r="AA859" s="136"/>
      <c r="AB859" s="123"/>
    </row>
    <row r="860" spans="1:28" x14ac:dyDescent="0.2">
      <c r="A860" s="23"/>
      <c r="B860" s="30"/>
      <c r="C860" s="30"/>
      <c r="D860" s="147"/>
      <c r="E860" s="147"/>
      <c r="F860" s="30"/>
      <c r="G860" s="30"/>
      <c r="H860" s="30"/>
      <c r="I860" s="30"/>
      <c r="J860" s="30"/>
      <c r="K860" s="30"/>
      <c r="L860" s="30"/>
      <c r="M860" s="23"/>
      <c r="N860" s="23"/>
      <c r="O860" s="123"/>
      <c r="AA860" s="136"/>
      <c r="AB860" s="123"/>
    </row>
    <row r="861" spans="1:28" x14ac:dyDescent="0.2">
      <c r="A861" s="23"/>
      <c r="B861" s="30"/>
      <c r="C861" s="30"/>
      <c r="D861" s="147"/>
      <c r="E861" s="147"/>
      <c r="F861" s="30"/>
      <c r="G861" s="30"/>
      <c r="H861" s="30"/>
      <c r="I861" s="30"/>
      <c r="J861" s="30"/>
      <c r="K861" s="30"/>
      <c r="L861" s="30"/>
      <c r="M861" s="23"/>
      <c r="N861" s="23"/>
      <c r="O861" s="123"/>
      <c r="AA861" s="136"/>
      <c r="AB861" s="123"/>
    </row>
    <row r="862" spans="1:28" x14ac:dyDescent="0.2">
      <c r="A862" s="23"/>
      <c r="B862" s="30"/>
      <c r="C862" s="30"/>
      <c r="D862" s="147"/>
      <c r="E862" s="147"/>
      <c r="F862" s="30"/>
      <c r="G862" s="30"/>
      <c r="H862" s="30"/>
      <c r="I862" s="30"/>
      <c r="J862" s="30"/>
      <c r="K862" s="30"/>
      <c r="L862" s="30"/>
      <c r="M862" s="23"/>
      <c r="N862" s="23"/>
      <c r="O862" s="123"/>
      <c r="AA862" s="136"/>
      <c r="AB862" s="123"/>
    </row>
    <row r="863" spans="1:28" x14ac:dyDescent="0.2">
      <c r="A863" s="23"/>
      <c r="B863" s="30"/>
      <c r="C863" s="30"/>
      <c r="D863" s="147"/>
      <c r="E863" s="147"/>
      <c r="F863" s="30"/>
      <c r="G863" s="30"/>
      <c r="H863" s="30"/>
      <c r="I863" s="30"/>
      <c r="J863" s="30"/>
      <c r="K863" s="30"/>
      <c r="L863" s="30"/>
      <c r="M863" s="23"/>
      <c r="N863" s="23"/>
      <c r="O863" s="123"/>
      <c r="AA863" s="136"/>
      <c r="AB863" s="123"/>
    </row>
    <row r="864" spans="1:28" x14ac:dyDescent="0.2">
      <c r="A864" s="23"/>
      <c r="B864" s="30"/>
      <c r="C864" s="30"/>
      <c r="D864" s="147"/>
      <c r="E864" s="147"/>
      <c r="F864" s="30"/>
      <c r="G864" s="30"/>
      <c r="H864" s="30"/>
      <c r="I864" s="30"/>
      <c r="J864" s="30"/>
      <c r="K864" s="30"/>
      <c r="L864" s="30"/>
      <c r="M864" s="23"/>
      <c r="N864" s="23"/>
      <c r="O864" s="123"/>
      <c r="AA864" s="136"/>
      <c r="AB864" s="123"/>
    </row>
    <row r="865" spans="1:28" x14ac:dyDescent="0.2">
      <c r="A865" s="23"/>
      <c r="B865" s="30"/>
      <c r="C865" s="30"/>
      <c r="D865" s="147"/>
      <c r="E865" s="147"/>
      <c r="F865" s="30"/>
      <c r="G865" s="30"/>
      <c r="H865" s="30"/>
      <c r="I865" s="30"/>
      <c r="J865" s="30"/>
      <c r="K865" s="30"/>
      <c r="L865" s="30"/>
      <c r="M865" s="23"/>
      <c r="N865" s="23"/>
      <c r="O865" s="123"/>
      <c r="AA865" s="136"/>
      <c r="AB865" s="123"/>
    </row>
    <row r="866" spans="1:28" x14ac:dyDescent="0.2">
      <c r="A866" s="23"/>
      <c r="B866" s="30"/>
      <c r="C866" s="30"/>
      <c r="D866" s="147"/>
      <c r="E866" s="147"/>
      <c r="F866" s="30"/>
      <c r="G866" s="30"/>
      <c r="H866" s="30"/>
      <c r="I866" s="30"/>
      <c r="J866" s="30"/>
      <c r="K866" s="30"/>
      <c r="L866" s="30"/>
      <c r="M866" s="23"/>
      <c r="N866" s="23"/>
      <c r="O866" s="123"/>
      <c r="AA866" s="136"/>
      <c r="AB866" s="123"/>
    </row>
    <row r="867" spans="1:28" x14ac:dyDescent="0.2">
      <c r="A867" s="23"/>
      <c r="B867" s="30"/>
      <c r="C867" s="30"/>
      <c r="D867" s="147"/>
      <c r="E867" s="147"/>
      <c r="F867" s="30"/>
      <c r="G867" s="30"/>
      <c r="H867" s="30"/>
      <c r="I867" s="30"/>
      <c r="J867" s="30"/>
      <c r="K867" s="30"/>
      <c r="L867" s="30"/>
      <c r="M867" s="23"/>
      <c r="N867" s="23"/>
      <c r="O867" s="123"/>
      <c r="AA867" s="136"/>
      <c r="AB867" s="123"/>
    </row>
    <row r="868" spans="1:28" x14ac:dyDescent="0.2">
      <c r="A868" s="23"/>
      <c r="B868" s="30"/>
      <c r="C868" s="30"/>
      <c r="D868" s="147"/>
      <c r="E868" s="147"/>
      <c r="F868" s="30"/>
      <c r="G868" s="30"/>
      <c r="H868" s="30"/>
      <c r="I868" s="30"/>
      <c r="J868" s="30"/>
      <c r="K868" s="30"/>
      <c r="L868" s="30"/>
      <c r="M868" s="23"/>
      <c r="N868" s="23"/>
      <c r="O868" s="123"/>
      <c r="AA868" s="136"/>
      <c r="AB868" s="123"/>
    </row>
    <row r="869" spans="1:28" x14ac:dyDescent="0.2">
      <c r="A869" s="23"/>
      <c r="B869" s="30"/>
      <c r="C869" s="30"/>
      <c r="D869" s="147"/>
      <c r="E869" s="147"/>
      <c r="F869" s="30"/>
      <c r="G869" s="30"/>
      <c r="H869" s="30"/>
      <c r="I869" s="30"/>
      <c r="J869" s="30"/>
      <c r="K869" s="30"/>
      <c r="L869" s="30"/>
      <c r="M869" s="23"/>
      <c r="N869" s="23"/>
      <c r="O869" s="123"/>
      <c r="AA869" s="136"/>
      <c r="AB869" s="123"/>
    </row>
    <row r="870" spans="1:28" x14ac:dyDescent="0.2">
      <c r="A870" s="23"/>
      <c r="B870" s="30"/>
      <c r="C870" s="30"/>
      <c r="D870" s="147"/>
      <c r="E870" s="147"/>
      <c r="F870" s="30"/>
      <c r="G870" s="30"/>
      <c r="H870" s="30"/>
      <c r="I870" s="30"/>
      <c r="J870" s="30"/>
      <c r="K870" s="30"/>
      <c r="L870" s="30"/>
      <c r="M870" s="23"/>
      <c r="N870" s="23"/>
      <c r="O870" s="123"/>
      <c r="AA870" s="136"/>
      <c r="AB870" s="123"/>
    </row>
    <row r="871" spans="1:28" x14ac:dyDescent="0.2">
      <c r="A871" s="23"/>
      <c r="B871" s="30"/>
      <c r="C871" s="30"/>
      <c r="D871" s="147"/>
      <c r="E871" s="147"/>
      <c r="F871" s="30"/>
      <c r="G871" s="30"/>
      <c r="H871" s="30"/>
      <c r="I871" s="30"/>
      <c r="J871" s="30"/>
      <c r="K871" s="30"/>
      <c r="L871" s="30"/>
      <c r="M871" s="23"/>
      <c r="N871" s="23"/>
      <c r="O871" s="123"/>
      <c r="AA871" s="136"/>
      <c r="AB871" s="123"/>
    </row>
    <row r="872" spans="1:28" x14ac:dyDescent="0.2">
      <c r="A872" s="23"/>
      <c r="B872" s="30"/>
      <c r="C872" s="30"/>
      <c r="D872" s="147"/>
      <c r="E872" s="147"/>
      <c r="F872" s="30"/>
      <c r="G872" s="30"/>
      <c r="H872" s="30"/>
      <c r="I872" s="30"/>
      <c r="J872" s="30"/>
      <c r="K872" s="30"/>
      <c r="L872" s="30"/>
      <c r="M872" s="23"/>
      <c r="N872" s="23"/>
      <c r="O872" s="123"/>
      <c r="AA872" s="136"/>
      <c r="AB872" s="123"/>
    </row>
    <row r="873" spans="1:28" x14ac:dyDescent="0.2">
      <c r="A873" s="23"/>
      <c r="B873" s="30"/>
      <c r="C873" s="30"/>
      <c r="D873" s="147"/>
      <c r="E873" s="147"/>
      <c r="F873" s="30"/>
      <c r="G873" s="30"/>
      <c r="H873" s="30"/>
      <c r="I873" s="30"/>
      <c r="J873" s="30"/>
      <c r="K873" s="30"/>
      <c r="L873" s="30"/>
      <c r="M873" s="23"/>
      <c r="N873" s="23"/>
      <c r="O873" s="123"/>
      <c r="AA873" s="136"/>
      <c r="AB873" s="123"/>
    </row>
    <row r="874" spans="1:28" x14ac:dyDescent="0.2">
      <c r="A874" s="23"/>
      <c r="B874" s="30"/>
      <c r="C874" s="30"/>
      <c r="D874" s="147"/>
      <c r="E874" s="147"/>
      <c r="F874" s="30"/>
      <c r="G874" s="30"/>
      <c r="H874" s="30"/>
      <c r="I874" s="30"/>
      <c r="J874" s="30"/>
      <c r="K874" s="30"/>
      <c r="L874" s="30"/>
      <c r="M874" s="23"/>
      <c r="N874" s="23"/>
      <c r="O874" s="123"/>
      <c r="AA874" s="136"/>
      <c r="AB874" s="123"/>
    </row>
    <row r="875" spans="1:28" x14ac:dyDescent="0.2">
      <c r="A875" s="23"/>
      <c r="B875" s="30"/>
      <c r="C875" s="30"/>
      <c r="D875" s="147"/>
      <c r="E875" s="147"/>
      <c r="F875" s="30"/>
      <c r="G875" s="30"/>
      <c r="H875" s="30"/>
      <c r="I875" s="30"/>
      <c r="J875" s="30"/>
      <c r="K875" s="30"/>
      <c r="L875" s="30"/>
      <c r="M875" s="23"/>
      <c r="N875" s="23"/>
      <c r="O875" s="123"/>
      <c r="AA875" s="136"/>
      <c r="AB875" s="123"/>
    </row>
    <row r="876" spans="1:28" x14ac:dyDescent="0.2">
      <c r="A876" s="23"/>
      <c r="B876" s="30"/>
      <c r="C876" s="30"/>
      <c r="D876" s="147"/>
      <c r="E876" s="147"/>
      <c r="F876" s="30"/>
      <c r="G876" s="30"/>
      <c r="H876" s="30"/>
      <c r="I876" s="30"/>
      <c r="J876" s="30"/>
      <c r="K876" s="30"/>
      <c r="L876" s="30"/>
      <c r="M876" s="23"/>
      <c r="N876" s="23"/>
      <c r="O876" s="123"/>
      <c r="AA876" s="136"/>
      <c r="AB876" s="123"/>
    </row>
    <row r="877" spans="1:28" x14ac:dyDescent="0.2">
      <c r="A877" s="23"/>
      <c r="B877" s="30"/>
      <c r="C877" s="30"/>
      <c r="D877" s="147"/>
      <c r="E877" s="147"/>
      <c r="F877" s="30"/>
      <c r="G877" s="30"/>
      <c r="H877" s="30"/>
      <c r="I877" s="30"/>
      <c r="J877" s="30"/>
      <c r="K877" s="30"/>
      <c r="L877" s="30"/>
      <c r="M877" s="23"/>
      <c r="N877" s="23"/>
      <c r="O877" s="123"/>
      <c r="AA877" s="136"/>
      <c r="AB877" s="123"/>
    </row>
    <row r="878" spans="1:28" x14ac:dyDescent="0.2">
      <c r="A878" s="23"/>
      <c r="B878" s="30"/>
      <c r="C878" s="30"/>
      <c r="D878" s="147"/>
      <c r="E878" s="147"/>
      <c r="F878" s="30"/>
      <c r="G878" s="30"/>
      <c r="H878" s="30"/>
      <c r="I878" s="30"/>
      <c r="J878" s="30"/>
      <c r="K878" s="30"/>
      <c r="L878" s="30"/>
      <c r="M878" s="23"/>
      <c r="N878" s="23"/>
      <c r="O878" s="123"/>
      <c r="AA878" s="136"/>
      <c r="AB878" s="123"/>
    </row>
    <row r="879" spans="1:28" x14ac:dyDescent="0.2">
      <c r="A879" s="23"/>
      <c r="B879" s="30"/>
      <c r="C879" s="30"/>
      <c r="D879" s="147"/>
      <c r="E879" s="147"/>
      <c r="F879" s="30"/>
      <c r="G879" s="30"/>
      <c r="H879" s="30"/>
      <c r="I879" s="30"/>
      <c r="J879" s="30"/>
      <c r="K879" s="30"/>
      <c r="L879" s="30"/>
      <c r="M879" s="23"/>
      <c r="N879" s="23"/>
      <c r="O879" s="123"/>
      <c r="AA879" s="136"/>
      <c r="AB879" s="123"/>
    </row>
    <row r="880" spans="1:28" x14ac:dyDescent="0.2">
      <c r="A880" s="23"/>
      <c r="B880" s="30"/>
      <c r="C880" s="30"/>
      <c r="D880" s="147"/>
      <c r="E880" s="147"/>
      <c r="F880" s="30"/>
      <c r="G880" s="30"/>
      <c r="H880" s="30"/>
      <c r="I880" s="30"/>
      <c r="J880" s="30"/>
      <c r="K880" s="30"/>
      <c r="L880" s="30"/>
      <c r="M880" s="23"/>
      <c r="N880" s="23"/>
      <c r="O880" s="123"/>
      <c r="AA880" s="136"/>
      <c r="AB880" s="123"/>
    </row>
    <row r="881" spans="1:28" x14ac:dyDescent="0.2">
      <c r="A881" s="23"/>
      <c r="B881" s="30"/>
      <c r="C881" s="30"/>
      <c r="D881" s="147"/>
      <c r="E881" s="147"/>
      <c r="F881" s="30"/>
      <c r="G881" s="30"/>
      <c r="H881" s="30"/>
      <c r="I881" s="30"/>
      <c r="J881" s="30"/>
      <c r="K881" s="30"/>
      <c r="L881" s="30"/>
      <c r="M881" s="23"/>
      <c r="N881" s="23"/>
      <c r="O881" s="123"/>
      <c r="AA881" s="136"/>
      <c r="AB881" s="123"/>
    </row>
    <row r="882" spans="1:28" x14ac:dyDescent="0.2">
      <c r="A882" s="23"/>
      <c r="B882" s="30"/>
      <c r="C882" s="30"/>
      <c r="D882" s="147"/>
      <c r="E882" s="147"/>
      <c r="F882" s="30"/>
      <c r="G882" s="30"/>
      <c r="H882" s="30"/>
      <c r="I882" s="30"/>
      <c r="J882" s="30"/>
      <c r="K882" s="30"/>
      <c r="L882" s="30"/>
      <c r="M882" s="23"/>
      <c r="N882" s="23"/>
      <c r="O882" s="123"/>
      <c r="AA882" s="136"/>
      <c r="AB882" s="123"/>
    </row>
    <row r="883" spans="1:28" x14ac:dyDescent="0.2">
      <c r="A883" s="23"/>
      <c r="B883" s="30"/>
      <c r="C883" s="30"/>
      <c r="D883" s="147"/>
      <c r="E883" s="147"/>
      <c r="F883" s="30"/>
      <c r="G883" s="30"/>
      <c r="H883" s="30"/>
      <c r="I883" s="30"/>
      <c r="J883" s="30"/>
      <c r="K883" s="30"/>
      <c r="L883" s="30"/>
      <c r="M883" s="23"/>
      <c r="N883" s="23"/>
      <c r="O883" s="123"/>
      <c r="AA883" s="136"/>
      <c r="AB883" s="123"/>
    </row>
    <row r="884" spans="1:28" x14ac:dyDescent="0.2">
      <c r="A884" s="23"/>
      <c r="B884" s="30"/>
      <c r="C884" s="30"/>
      <c r="D884" s="147"/>
      <c r="E884" s="147"/>
      <c r="F884" s="30"/>
      <c r="G884" s="30"/>
      <c r="H884" s="30"/>
      <c r="I884" s="30"/>
      <c r="J884" s="30"/>
      <c r="K884" s="30"/>
      <c r="L884" s="30"/>
      <c r="M884" s="23"/>
      <c r="N884" s="23"/>
      <c r="O884" s="123"/>
      <c r="AA884" s="136"/>
      <c r="AB884" s="123"/>
    </row>
    <row r="885" spans="1:28" x14ac:dyDescent="0.2">
      <c r="A885" s="23"/>
      <c r="B885" s="30"/>
      <c r="C885" s="30"/>
      <c r="D885" s="147"/>
      <c r="E885" s="147"/>
      <c r="F885" s="30"/>
      <c r="G885" s="30"/>
      <c r="H885" s="30"/>
      <c r="I885" s="30"/>
      <c r="J885" s="30"/>
      <c r="K885" s="30"/>
      <c r="L885" s="30"/>
      <c r="M885" s="23"/>
      <c r="N885" s="23"/>
      <c r="O885" s="123"/>
      <c r="AA885" s="136"/>
      <c r="AB885" s="123"/>
    </row>
    <row r="886" spans="1:28" x14ac:dyDescent="0.2">
      <c r="A886" s="23"/>
      <c r="B886" s="30"/>
      <c r="C886" s="30"/>
      <c r="D886" s="147"/>
      <c r="E886" s="147"/>
      <c r="F886" s="30"/>
      <c r="G886" s="30"/>
      <c r="H886" s="30"/>
      <c r="I886" s="30"/>
      <c r="J886" s="30"/>
      <c r="K886" s="30"/>
      <c r="L886" s="30"/>
      <c r="M886" s="23"/>
      <c r="N886" s="23"/>
      <c r="O886" s="123"/>
      <c r="AA886" s="136"/>
      <c r="AB886" s="123"/>
    </row>
    <row r="887" spans="1:28" x14ac:dyDescent="0.2">
      <c r="A887" s="23"/>
      <c r="B887" s="30"/>
      <c r="C887" s="30"/>
      <c r="D887" s="147"/>
      <c r="E887" s="147"/>
      <c r="F887" s="30"/>
      <c r="G887" s="30"/>
      <c r="H887" s="30"/>
      <c r="I887" s="30"/>
      <c r="J887" s="30"/>
      <c r="K887" s="30"/>
      <c r="L887" s="30"/>
      <c r="M887" s="23"/>
      <c r="N887" s="23"/>
      <c r="O887" s="123"/>
      <c r="AA887" s="136"/>
      <c r="AB887" s="123"/>
    </row>
    <row r="888" spans="1:28" x14ac:dyDescent="0.2">
      <c r="A888" s="23"/>
      <c r="B888" s="30"/>
      <c r="C888" s="30"/>
      <c r="D888" s="147"/>
      <c r="E888" s="147"/>
      <c r="F888" s="30"/>
      <c r="G888" s="30"/>
      <c r="H888" s="30"/>
      <c r="I888" s="30"/>
      <c r="J888" s="30"/>
      <c r="K888" s="30"/>
      <c r="L888" s="30"/>
      <c r="M888" s="23"/>
      <c r="N888" s="23"/>
      <c r="O888" s="123"/>
      <c r="AA888" s="136"/>
      <c r="AB888" s="123"/>
    </row>
    <row r="889" spans="1:28" x14ac:dyDescent="0.2">
      <c r="A889" s="23"/>
      <c r="B889" s="30"/>
      <c r="C889" s="30"/>
      <c r="D889" s="147"/>
      <c r="E889" s="147"/>
      <c r="F889" s="30"/>
      <c r="G889" s="30"/>
      <c r="H889" s="30"/>
      <c r="I889" s="30"/>
      <c r="J889" s="30"/>
      <c r="K889" s="30"/>
      <c r="L889" s="30"/>
      <c r="M889" s="23"/>
      <c r="N889" s="23"/>
      <c r="O889" s="123"/>
      <c r="AA889" s="136"/>
      <c r="AB889" s="123"/>
    </row>
    <row r="890" spans="1:28" x14ac:dyDescent="0.2">
      <c r="A890" s="23"/>
      <c r="B890" s="30"/>
      <c r="C890" s="30"/>
      <c r="D890" s="147"/>
      <c r="E890" s="147"/>
      <c r="F890" s="30"/>
      <c r="G890" s="30"/>
      <c r="H890" s="30"/>
      <c r="I890" s="30"/>
      <c r="J890" s="30"/>
      <c r="K890" s="30"/>
      <c r="L890" s="30"/>
      <c r="M890" s="23"/>
      <c r="N890" s="23"/>
      <c r="O890" s="123"/>
      <c r="AA890" s="136"/>
      <c r="AB890" s="123"/>
    </row>
    <row r="891" spans="1:28" x14ac:dyDescent="0.2">
      <c r="A891" s="23"/>
      <c r="B891" s="30"/>
      <c r="C891" s="30"/>
      <c r="D891" s="147"/>
      <c r="E891" s="147"/>
      <c r="F891" s="30"/>
      <c r="G891" s="30"/>
      <c r="H891" s="30"/>
      <c r="I891" s="30"/>
      <c r="J891" s="30"/>
      <c r="K891" s="30"/>
      <c r="L891" s="30"/>
      <c r="M891" s="23"/>
      <c r="N891" s="23"/>
      <c r="O891" s="123"/>
      <c r="AA891" s="136"/>
      <c r="AB891" s="123"/>
    </row>
    <row r="892" spans="1:28" x14ac:dyDescent="0.2">
      <c r="A892" s="23"/>
      <c r="B892" s="30"/>
      <c r="C892" s="30"/>
      <c r="D892" s="147"/>
      <c r="E892" s="147"/>
      <c r="F892" s="30"/>
      <c r="G892" s="30"/>
      <c r="H892" s="30"/>
      <c r="I892" s="30"/>
      <c r="J892" s="30"/>
      <c r="K892" s="30"/>
      <c r="L892" s="30"/>
      <c r="M892" s="23"/>
      <c r="N892" s="23"/>
      <c r="O892" s="123"/>
      <c r="AA892" s="136"/>
      <c r="AB892" s="123"/>
    </row>
    <row r="893" spans="1:28" x14ac:dyDescent="0.2">
      <c r="A893" s="23"/>
      <c r="B893" s="30"/>
      <c r="C893" s="30"/>
      <c r="D893" s="147"/>
      <c r="E893" s="147"/>
      <c r="F893" s="30"/>
      <c r="G893" s="30"/>
      <c r="H893" s="30"/>
      <c r="I893" s="30"/>
      <c r="J893" s="30"/>
      <c r="K893" s="30"/>
      <c r="L893" s="30"/>
      <c r="M893" s="23"/>
      <c r="N893" s="23"/>
      <c r="O893" s="123"/>
      <c r="AA893" s="136"/>
      <c r="AB893" s="123"/>
    </row>
    <row r="894" spans="1:28" x14ac:dyDescent="0.2">
      <c r="A894" s="23"/>
      <c r="B894" s="30"/>
      <c r="C894" s="30"/>
      <c r="D894" s="147"/>
      <c r="E894" s="147"/>
      <c r="F894" s="30"/>
      <c r="G894" s="30"/>
      <c r="H894" s="30"/>
      <c r="I894" s="30"/>
      <c r="J894" s="30"/>
      <c r="K894" s="30"/>
      <c r="L894" s="30"/>
      <c r="M894" s="23"/>
      <c r="N894" s="23"/>
      <c r="O894" s="123"/>
      <c r="AA894" s="136"/>
      <c r="AB894" s="123"/>
    </row>
    <row r="895" spans="1:28" x14ac:dyDescent="0.2">
      <c r="A895" s="23"/>
      <c r="B895" s="30"/>
      <c r="C895" s="30"/>
      <c r="D895" s="147"/>
      <c r="E895" s="147"/>
      <c r="F895" s="30"/>
      <c r="G895" s="30"/>
      <c r="H895" s="30"/>
      <c r="I895" s="30"/>
      <c r="J895" s="30"/>
      <c r="K895" s="30"/>
      <c r="L895" s="30"/>
      <c r="M895" s="23"/>
      <c r="N895" s="23"/>
      <c r="O895" s="123"/>
      <c r="AA895" s="136"/>
      <c r="AB895" s="123"/>
    </row>
    <row r="896" spans="1:28" x14ac:dyDescent="0.2">
      <c r="A896" s="23"/>
      <c r="B896" s="30"/>
      <c r="C896" s="30"/>
      <c r="D896" s="147"/>
      <c r="E896" s="147"/>
      <c r="F896" s="30"/>
      <c r="G896" s="30"/>
      <c r="H896" s="30"/>
      <c r="I896" s="30"/>
      <c r="J896" s="30"/>
      <c r="K896" s="30"/>
      <c r="L896" s="30"/>
      <c r="M896" s="23"/>
      <c r="N896" s="23"/>
      <c r="O896" s="123"/>
      <c r="AA896" s="136"/>
      <c r="AB896" s="123"/>
    </row>
    <row r="897" spans="1:28" x14ac:dyDescent="0.2">
      <c r="A897" s="23"/>
      <c r="B897" s="30"/>
      <c r="C897" s="30"/>
      <c r="D897" s="147"/>
      <c r="E897" s="147"/>
      <c r="F897" s="30"/>
      <c r="G897" s="30"/>
      <c r="H897" s="30"/>
      <c r="I897" s="30"/>
      <c r="J897" s="30"/>
      <c r="K897" s="30"/>
      <c r="L897" s="30"/>
      <c r="M897" s="23"/>
      <c r="N897" s="23"/>
      <c r="O897" s="123"/>
      <c r="AA897" s="136"/>
      <c r="AB897" s="123"/>
    </row>
    <row r="898" spans="1:28" x14ac:dyDescent="0.2">
      <c r="A898" s="23"/>
      <c r="B898" s="30"/>
      <c r="C898" s="30"/>
      <c r="D898" s="147"/>
      <c r="E898" s="147"/>
      <c r="F898" s="30"/>
      <c r="G898" s="30"/>
      <c r="H898" s="30"/>
      <c r="I898" s="30"/>
      <c r="J898" s="30"/>
      <c r="K898" s="30"/>
      <c r="L898" s="30"/>
      <c r="M898" s="23"/>
      <c r="N898" s="23"/>
      <c r="O898" s="123"/>
      <c r="AA898" s="136"/>
      <c r="AB898" s="123"/>
    </row>
    <row r="899" spans="1:28" x14ac:dyDescent="0.2">
      <c r="A899" s="23"/>
      <c r="B899" s="30"/>
      <c r="C899" s="30"/>
      <c r="D899" s="147"/>
      <c r="E899" s="147"/>
      <c r="F899" s="30"/>
      <c r="G899" s="30"/>
      <c r="H899" s="30"/>
      <c r="I899" s="30"/>
      <c r="J899" s="30"/>
      <c r="K899" s="30"/>
      <c r="L899" s="30"/>
      <c r="M899" s="23"/>
      <c r="N899" s="23"/>
      <c r="O899" s="123"/>
      <c r="AA899" s="136"/>
      <c r="AB899" s="123"/>
    </row>
    <row r="900" spans="1:28" x14ac:dyDescent="0.2">
      <c r="A900" s="23"/>
      <c r="B900" s="30"/>
      <c r="C900" s="30"/>
      <c r="D900" s="147"/>
      <c r="E900" s="147"/>
      <c r="F900" s="30"/>
      <c r="G900" s="30"/>
      <c r="H900" s="30"/>
      <c r="I900" s="30"/>
      <c r="J900" s="30"/>
      <c r="K900" s="30"/>
      <c r="L900" s="30"/>
      <c r="M900" s="23"/>
      <c r="N900" s="23"/>
      <c r="O900" s="123"/>
      <c r="AA900" s="136"/>
      <c r="AB900" s="123"/>
    </row>
    <row r="901" spans="1:28" x14ac:dyDescent="0.2">
      <c r="A901" s="23"/>
      <c r="B901" s="30"/>
      <c r="C901" s="30"/>
      <c r="D901" s="147"/>
      <c r="E901" s="147"/>
      <c r="F901" s="30"/>
      <c r="G901" s="30"/>
      <c r="H901" s="30"/>
      <c r="I901" s="30"/>
      <c r="J901" s="30"/>
      <c r="K901" s="30"/>
      <c r="L901" s="30"/>
      <c r="M901" s="23"/>
      <c r="N901" s="23"/>
      <c r="O901" s="123"/>
      <c r="AA901" s="136"/>
      <c r="AB901" s="123"/>
    </row>
    <row r="902" spans="1:28" x14ac:dyDescent="0.2">
      <c r="A902" s="23"/>
      <c r="B902" s="30"/>
      <c r="C902" s="30"/>
      <c r="D902" s="147"/>
      <c r="E902" s="147"/>
      <c r="F902" s="30"/>
      <c r="G902" s="30"/>
      <c r="H902" s="30"/>
      <c r="I902" s="30"/>
      <c r="J902" s="30"/>
      <c r="K902" s="30"/>
      <c r="L902" s="30"/>
      <c r="M902" s="23"/>
      <c r="N902" s="23"/>
      <c r="O902" s="123"/>
      <c r="AA902" s="136"/>
      <c r="AB902" s="123"/>
    </row>
    <row r="903" spans="1:28" x14ac:dyDescent="0.2">
      <c r="A903" s="23"/>
      <c r="B903" s="30"/>
      <c r="C903" s="30"/>
      <c r="D903" s="147"/>
      <c r="E903" s="147"/>
      <c r="F903" s="30"/>
      <c r="G903" s="30"/>
      <c r="H903" s="30"/>
      <c r="I903" s="30"/>
      <c r="J903" s="30"/>
      <c r="K903" s="30"/>
      <c r="L903" s="30"/>
      <c r="M903" s="23"/>
      <c r="N903" s="23"/>
      <c r="O903" s="123"/>
      <c r="AA903" s="136"/>
      <c r="AB903" s="123"/>
    </row>
    <row r="904" spans="1:28" x14ac:dyDescent="0.2">
      <c r="A904" s="23"/>
      <c r="B904" s="30"/>
      <c r="C904" s="30"/>
      <c r="D904" s="147"/>
      <c r="E904" s="147"/>
      <c r="F904" s="30"/>
      <c r="G904" s="30"/>
      <c r="H904" s="30"/>
      <c r="I904" s="30"/>
      <c r="J904" s="30"/>
      <c r="K904" s="30"/>
      <c r="L904" s="30"/>
      <c r="M904" s="23"/>
      <c r="N904" s="23"/>
      <c r="O904" s="123"/>
      <c r="AA904" s="136"/>
      <c r="AB904" s="123"/>
    </row>
    <row r="905" spans="1:28" x14ac:dyDescent="0.2">
      <c r="A905" s="23"/>
      <c r="B905" s="30"/>
      <c r="C905" s="30"/>
      <c r="D905" s="147"/>
      <c r="E905" s="147"/>
      <c r="F905" s="30"/>
      <c r="G905" s="30"/>
      <c r="H905" s="30"/>
      <c r="I905" s="30"/>
      <c r="J905" s="30"/>
      <c r="K905" s="30"/>
      <c r="L905" s="30"/>
      <c r="M905" s="23"/>
      <c r="N905" s="23"/>
      <c r="O905" s="123"/>
      <c r="AA905" s="136"/>
      <c r="AB905" s="123"/>
    </row>
    <row r="906" spans="1:28" x14ac:dyDescent="0.2">
      <c r="A906" s="23"/>
      <c r="B906" s="30"/>
      <c r="C906" s="30"/>
      <c r="D906" s="147"/>
      <c r="E906" s="147"/>
      <c r="F906" s="30"/>
      <c r="G906" s="30"/>
      <c r="H906" s="30"/>
      <c r="I906" s="30"/>
      <c r="J906" s="30"/>
      <c r="K906" s="30"/>
      <c r="L906" s="30"/>
      <c r="M906" s="23"/>
      <c r="N906" s="23"/>
      <c r="O906" s="123"/>
      <c r="AA906" s="136"/>
      <c r="AB906" s="123"/>
    </row>
    <row r="907" spans="1:28" x14ac:dyDescent="0.2">
      <c r="A907" s="23"/>
      <c r="B907" s="30"/>
      <c r="C907" s="30"/>
      <c r="D907" s="147"/>
      <c r="E907" s="147"/>
      <c r="F907" s="30"/>
      <c r="G907" s="30"/>
      <c r="H907" s="30"/>
      <c r="I907" s="30"/>
      <c r="J907" s="30"/>
      <c r="K907" s="30"/>
      <c r="L907" s="30"/>
      <c r="M907" s="23"/>
      <c r="N907" s="23"/>
      <c r="O907" s="123"/>
      <c r="AA907" s="136"/>
      <c r="AB907" s="123"/>
    </row>
    <row r="908" spans="1:28" x14ac:dyDescent="0.2">
      <c r="A908" s="23"/>
      <c r="B908" s="30"/>
      <c r="C908" s="30"/>
      <c r="D908" s="147"/>
      <c r="E908" s="147"/>
      <c r="F908" s="30"/>
      <c r="G908" s="30"/>
      <c r="H908" s="30"/>
      <c r="I908" s="30"/>
      <c r="J908" s="30"/>
      <c r="K908" s="30"/>
      <c r="L908" s="30"/>
      <c r="M908" s="23"/>
      <c r="N908" s="23"/>
      <c r="O908" s="123"/>
      <c r="AA908" s="136"/>
      <c r="AB908" s="123"/>
    </row>
    <row r="909" spans="1:28" x14ac:dyDescent="0.2">
      <c r="A909" s="23"/>
      <c r="B909" s="30"/>
      <c r="C909" s="30"/>
      <c r="D909" s="147"/>
      <c r="E909" s="147"/>
      <c r="F909" s="30"/>
      <c r="G909" s="30"/>
      <c r="H909" s="30"/>
      <c r="I909" s="30"/>
      <c r="J909" s="30"/>
      <c r="K909" s="30"/>
      <c r="L909" s="30"/>
      <c r="M909" s="23"/>
      <c r="N909" s="23"/>
      <c r="O909" s="123"/>
      <c r="AA909" s="136"/>
      <c r="AB909" s="123"/>
    </row>
    <row r="910" spans="1:28" x14ac:dyDescent="0.2">
      <c r="A910" s="23"/>
      <c r="B910" s="30"/>
      <c r="C910" s="30"/>
      <c r="D910" s="147"/>
      <c r="E910" s="147"/>
      <c r="F910" s="30"/>
      <c r="G910" s="30"/>
      <c r="H910" s="30"/>
      <c r="I910" s="30"/>
      <c r="J910" s="30"/>
      <c r="K910" s="30"/>
      <c r="L910" s="30"/>
      <c r="M910" s="23"/>
      <c r="N910" s="23"/>
      <c r="O910" s="123"/>
      <c r="AA910" s="136"/>
      <c r="AB910" s="123"/>
    </row>
    <row r="911" spans="1:28" x14ac:dyDescent="0.2">
      <c r="A911" s="23"/>
      <c r="B911" s="30"/>
      <c r="C911" s="30"/>
      <c r="D911" s="147"/>
      <c r="E911" s="147"/>
      <c r="F911" s="30"/>
      <c r="G911" s="30"/>
      <c r="H911" s="30"/>
      <c r="I911" s="30"/>
      <c r="J911" s="30"/>
      <c r="K911" s="30"/>
      <c r="L911" s="30"/>
      <c r="M911" s="23"/>
      <c r="N911" s="23"/>
      <c r="O911" s="123"/>
      <c r="AA911" s="136"/>
      <c r="AB911" s="123"/>
    </row>
    <row r="912" spans="1:28" x14ac:dyDescent="0.2">
      <c r="A912" s="23"/>
      <c r="B912" s="30"/>
      <c r="C912" s="30"/>
      <c r="D912" s="147"/>
      <c r="E912" s="147"/>
      <c r="F912" s="30"/>
      <c r="G912" s="30"/>
      <c r="H912" s="30"/>
      <c r="I912" s="30"/>
      <c r="J912" s="30"/>
      <c r="K912" s="30"/>
      <c r="L912" s="30"/>
      <c r="M912" s="23"/>
      <c r="N912" s="23"/>
      <c r="O912" s="123"/>
      <c r="AA912" s="136"/>
      <c r="AB912" s="123"/>
    </row>
    <row r="913" spans="1:28" x14ac:dyDescent="0.2">
      <c r="A913" s="23"/>
      <c r="B913" s="30"/>
      <c r="C913" s="30"/>
      <c r="D913" s="147"/>
      <c r="E913" s="147"/>
      <c r="F913" s="30"/>
      <c r="G913" s="30"/>
      <c r="H913" s="30"/>
      <c r="I913" s="30"/>
      <c r="J913" s="30"/>
      <c r="K913" s="30"/>
      <c r="L913" s="30"/>
      <c r="M913" s="23"/>
      <c r="N913" s="23"/>
      <c r="O913" s="123"/>
      <c r="AA913" s="136"/>
      <c r="AB913" s="123"/>
    </row>
    <row r="914" spans="1:28" x14ac:dyDescent="0.2">
      <c r="A914" s="23"/>
      <c r="B914" s="30"/>
      <c r="C914" s="30"/>
      <c r="D914" s="147"/>
      <c r="E914" s="147"/>
      <c r="F914" s="30"/>
      <c r="G914" s="30"/>
      <c r="H914" s="30"/>
      <c r="I914" s="30"/>
      <c r="J914" s="30"/>
      <c r="K914" s="30"/>
      <c r="L914" s="30"/>
      <c r="M914" s="23"/>
      <c r="N914" s="23"/>
      <c r="O914" s="123"/>
      <c r="AA914" s="136"/>
      <c r="AB914" s="123"/>
    </row>
    <row r="915" spans="1:28" x14ac:dyDescent="0.2">
      <c r="A915" s="23"/>
      <c r="B915" s="30"/>
      <c r="C915" s="30"/>
      <c r="D915" s="147"/>
      <c r="E915" s="147"/>
      <c r="F915" s="30"/>
      <c r="G915" s="30"/>
      <c r="H915" s="30"/>
      <c r="I915" s="30"/>
      <c r="J915" s="30"/>
      <c r="K915" s="30"/>
      <c r="L915" s="30"/>
      <c r="M915" s="23"/>
      <c r="N915" s="23"/>
      <c r="O915" s="123"/>
      <c r="AA915" s="136"/>
      <c r="AB915" s="123"/>
    </row>
    <row r="916" spans="1:28" x14ac:dyDescent="0.2">
      <c r="A916" s="23"/>
      <c r="B916" s="30"/>
      <c r="C916" s="30"/>
      <c r="D916" s="147"/>
      <c r="E916" s="147"/>
      <c r="F916" s="30"/>
      <c r="G916" s="30"/>
      <c r="H916" s="30"/>
      <c r="I916" s="30"/>
      <c r="J916" s="30"/>
      <c r="K916" s="30"/>
      <c r="L916" s="30"/>
      <c r="M916" s="23"/>
      <c r="N916" s="23"/>
      <c r="O916" s="123"/>
      <c r="AA916" s="136"/>
      <c r="AB916" s="123"/>
    </row>
    <row r="917" spans="1:28" x14ac:dyDescent="0.2">
      <c r="A917" s="23"/>
      <c r="B917" s="30"/>
      <c r="C917" s="30"/>
      <c r="D917" s="147"/>
      <c r="E917" s="147"/>
      <c r="F917" s="30"/>
      <c r="G917" s="30"/>
      <c r="H917" s="30"/>
      <c r="I917" s="30"/>
      <c r="J917" s="30"/>
      <c r="K917" s="30"/>
      <c r="L917" s="30"/>
      <c r="M917" s="23"/>
      <c r="N917" s="23"/>
      <c r="O917" s="123"/>
      <c r="AA917" s="136"/>
      <c r="AB917" s="123"/>
    </row>
    <row r="918" spans="1:28" x14ac:dyDescent="0.2">
      <c r="A918" s="23"/>
      <c r="B918" s="30"/>
      <c r="C918" s="30"/>
      <c r="D918" s="147"/>
      <c r="E918" s="147"/>
      <c r="F918" s="30"/>
      <c r="G918" s="30"/>
      <c r="H918" s="30"/>
      <c r="I918" s="30"/>
      <c r="J918" s="30"/>
      <c r="K918" s="30"/>
      <c r="L918" s="30"/>
      <c r="M918" s="23"/>
      <c r="N918" s="23"/>
      <c r="O918" s="123"/>
      <c r="AA918" s="136"/>
      <c r="AB918" s="123"/>
    </row>
    <row r="919" spans="1:28" x14ac:dyDescent="0.2">
      <c r="A919" s="23"/>
      <c r="B919" s="30"/>
      <c r="C919" s="30"/>
      <c r="D919" s="147"/>
      <c r="E919" s="147"/>
      <c r="F919" s="30"/>
      <c r="G919" s="30"/>
      <c r="H919" s="30"/>
      <c r="I919" s="30"/>
      <c r="J919" s="30"/>
      <c r="K919" s="30"/>
      <c r="L919" s="30"/>
      <c r="M919" s="23"/>
      <c r="N919" s="23"/>
      <c r="O919" s="123"/>
      <c r="AA919" s="136"/>
      <c r="AB919" s="123"/>
    </row>
    <row r="920" spans="1:28" x14ac:dyDescent="0.2">
      <c r="A920" s="23"/>
      <c r="B920" s="30"/>
      <c r="C920" s="30"/>
      <c r="D920" s="147"/>
      <c r="E920" s="147"/>
      <c r="F920" s="30"/>
      <c r="G920" s="30"/>
      <c r="H920" s="30"/>
      <c r="I920" s="30"/>
      <c r="J920" s="30"/>
      <c r="K920" s="30"/>
      <c r="L920" s="30"/>
      <c r="M920" s="23"/>
      <c r="N920" s="23"/>
      <c r="O920" s="123"/>
      <c r="AA920" s="136"/>
      <c r="AB920" s="123"/>
    </row>
    <row r="921" spans="1:28" x14ac:dyDescent="0.2">
      <c r="A921" s="23"/>
      <c r="B921" s="30"/>
      <c r="C921" s="30"/>
      <c r="D921" s="147"/>
      <c r="E921" s="147"/>
      <c r="F921" s="30"/>
      <c r="G921" s="30"/>
      <c r="H921" s="30"/>
      <c r="I921" s="30"/>
      <c r="J921" s="30"/>
      <c r="K921" s="30"/>
      <c r="L921" s="30"/>
      <c r="M921" s="23"/>
      <c r="N921" s="23"/>
      <c r="O921" s="123"/>
      <c r="AA921" s="136"/>
      <c r="AB921" s="123"/>
    </row>
    <row r="922" spans="1:28" x14ac:dyDescent="0.2">
      <c r="A922" s="23"/>
      <c r="B922" s="30"/>
      <c r="C922" s="30"/>
      <c r="D922" s="147"/>
      <c r="E922" s="147"/>
      <c r="F922" s="30"/>
      <c r="G922" s="30"/>
      <c r="H922" s="30"/>
      <c r="I922" s="30"/>
      <c r="J922" s="30"/>
      <c r="K922" s="30"/>
      <c r="L922" s="30"/>
      <c r="M922" s="23"/>
      <c r="N922" s="23"/>
      <c r="O922" s="123"/>
      <c r="AA922" s="136"/>
      <c r="AB922" s="123"/>
    </row>
    <row r="923" spans="1:28" x14ac:dyDescent="0.2">
      <c r="A923" s="23"/>
      <c r="B923" s="30"/>
      <c r="C923" s="30"/>
      <c r="D923" s="147"/>
      <c r="E923" s="147"/>
      <c r="F923" s="30"/>
      <c r="G923" s="30"/>
      <c r="H923" s="30"/>
      <c r="I923" s="30"/>
      <c r="J923" s="30"/>
      <c r="K923" s="30"/>
      <c r="L923" s="30"/>
      <c r="M923" s="23"/>
      <c r="N923" s="23"/>
      <c r="O923" s="123"/>
      <c r="AA923" s="136"/>
      <c r="AB923" s="123"/>
    </row>
    <row r="924" spans="1:28" x14ac:dyDescent="0.2">
      <c r="A924" s="23"/>
      <c r="B924" s="30"/>
      <c r="C924" s="30"/>
      <c r="D924" s="147"/>
      <c r="E924" s="147"/>
      <c r="F924" s="30"/>
      <c r="G924" s="30"/>
      <c r="H924" s="30"/>
      <c r="I924" s="30"/>
      <c r="J924" s="30"/>
      <c r="K924" s="30"/>
      <c r="L924" s="30"/>
      <c r="M924" s="23"/>
      <c r="N924" s="23"/>
      <c r="O924" s="123"/>
      <c r="AA924" s="136"/>
      <c r="AB924" s="123"/>
    </row>
    <row r="925" spans="1:28" x14ac:dyDescent="0.2">
      <c r="A925" s="23"/>
      <c r="B925" s="30"/>
      <c r="C925" s="30"/>
      <c r="D925" s="147"/>
      <c r="E925" s="147"/>
      <c r="F925" s="30"/>
      <c r="G925" s="30"/>
      <c r="H925" s="30"/>
      <c r="I925" s="30"/>
      <c r="J925" s="30"/>
      <c r="K925" s="30"/>
      <c r="L925" s="30"/>
      <c r="M925" s="23"/>
      <c r="N925" s="23"/>
      <c r="O925" s="123"/>
      <c r="AA925" s="136"/>
      <c r="AB925" s="123"/>
    </row>
    <row r="926" spans="1:28" x14ac:dyDescent="0.2">
      <c r="A926" s="23"/>
      <c r="B926" s="30"/>
      <c r="C926" s="30"/>
      <c r="D926" s="147"/>
      <c r="E926" s="147"/>
      <c r="F926" s="30"/>
      <c r="G926" s="30"/>
      <c r="H926" s="30"/>
      <c r="I926" s="30"/>
      <c r="J926" s="30"/>
      <c r="K926" s="30"/>
      <c r="L926" s="30"/>
      <c r="M926" s="23"/>
      <c r="N926" s="23"/>
      <c r="O926" s="123"/>
      <c r="AA926" s="136"/>
      <c r="AB926" s="123"/>
    </row>
    <row r="927" spans="1:28" x14ac:dyDescent="0.2">
      <c r="A927" s="23"/>
      <c r="B927" s="30"/>
      <c r="C927" s="30"/>
      <c r="D927" s="147"/>
      <c r="E927" s="147"/>
      <c r="F927" s="30"/>
      <c r="G927" s="30"/>
      <c r="H927" s="30"/>
      <c r="I927" s="30"/>
      <c r="J927" s="30"/>
      <c r="K927" s="30"/>
      <c r="L927" s="30"/>
      <c r="M927" s="23"/>
      <c r="N927" s="23"/>
      <c r="O927" s="123"/>
      <c r="AA927" s="136"/>
      <c r="AB927" s="123"/>
    </row>
    <row r="928" spans="1:28" x14ac:dyDescent="0.2">
      <c r="A928" s="23"/>
      <c r="B928" s="30"/>
      <c r="C928" s="30"/>
      <c r="D928" s="147"/>
      <c r="E928" s="147"/>
      <c r="F928" s="30"/>
      <c r="G928" s="30"/>
      <c r="H928" s="30"/>
      <c r="I928" s="30"/>
      <c r="J928" s="30"/>
      <c r="K928" s="30"/>
      <c r="L928" s="30"/>
      <c r="M928" s="23"/>
      <c r="N928" s="23"/>
      <c r="O928" s="123"/>
      <c r="AA928" s="136"/>
      <c r="AB928" s="123"/>
    </row>
    <row r="929" spans="1:28" x14ac:dyDescent="0.2">
      <c r="A929" s="23"/>
      <c r="B929" s="30"/>
      <c r="C929" s="30"/>
      <c r="D929" s="147"/>
      <c r="E929" s="147"/>
      <c r="F929" s="30"/>
      <c r="G929" s="30"/>
      <c r="H929" s="30"/>
      <c r="I929" s="30"/>
      <c r="J929" s="30"/>
      <c r="K929" s="30"/>
      <c r="L929" s="30"/>
      <c r="M929" s="23"/>
      <c r="N929" s="23"/>
      <c r="O929" s="123"/>
      <c r="AA929" s="136"/>
      <c r="AB929" s="123"/>
    </row>
    <row r="930" spans="1:28" x14ac:dyDescent="0.2">
      <c r="A930" s="23"/>
      <c r="B930" s="30"/>
      <c r="C930" s="30"/>
      <c r="D930" s="147"/>
      <c r="E930" s="147"/>
      <c r="F930" s="30"/>
      <c r="G930" s="30"/>
      <c r="H930" s="30"/>
      <c r="I930" s="30"/>
      <c r="J930" s="30"/>
      <c r="K930" s="30"/>
      <c r="L930" s="30"/>
      <c r="M930" s="23"/>
      <c r="N930" s="23"/>
      <c r="O930" s="123"/>
      <c r="AA930" s="136"/>
      <c r="AB930" s="123"/>
    </row>
    <row r="931" spans="1:28" x14ac:dyDescent="0.2">
      <c r="A931" s="23"/>
      <c r="B931" s="30"/>
      <c r="C931" s="30"/>
      <c r="D931" s="147"/>
      <c r="E931" s="147"/>
      <c r="F931" s="30"/>
      <c r="G931" s="30"/>
      <c r="H931" s="30"/>
      <c r="I931" s="30"/>
      <c r="J931" s="30"/>
      <c r="K931" s="30"/>
      <c r="L931" s="30"/>
      <c r="M931" s="23"/>
      <c r="N931" s="23"/>
      <c r="O931" s="123"/>
      <c r="AA931" s="136"/>
      <c r="AB931" s="123"/>
    </row>
    <row r="932" spans="1:28" x14ac:dyDescent="0.2">
      <c r="A932" s="23"/>
      <c r="B932" s="30"/>
      <c r="C932" s="30"/>
      <c r="D932" s="147"/>
      <c r="E932" s="147"/>
      <c r="F932" s="30"/>
      <c r="G932" s="30"/>
      <c r="H932" s="30"/>
      <c r="I932" s="30"/>
      <c r="J932" s="30"/>
      <c r="K932" s="30"/>
      <c r="L932" s="30"/>
      <c r="M932" s="23"/>
      <c r="N932" s="23"/>
      <c r="O932" s="123"/>
      <c r="AA932" s="136"/>
      <c r="AB932" s="123"/>
    </row>
    <row r="933" spans="1:28" x14ac:dyDescent="0.2">
      <c r="A933" s="23"/>
      <c r="B933" s="30"/>
      <c r="C933" s="30"/>
      <c r="D933" s="147"/>
      <c r="E933" s="147"/>
      <c r="F933" s="30"/>
      <c r="G933" s="30"/>
      <c r="H933" s="30"/>
      <c r="I933" s="30"/>
      <c r="J933" s="30"/>
      <c r="K933" s="30"/>
      <c r="L933" s="30"/>
      <c r="M933" s="23"/>
      <c r="N933" s="23"/>
      <c r="O933" s="123"/>
      <c r="AA933" s="136"/>
      <c r="AB933" s="123"/>
    </row>
    <row r="934" spans="1:28" x14ac:dyDescent="0.2">
      <c r="A934" s="23"/>
      <c r="B934" s="30"/>
      <c r="C934" s="30"/>
      <c r="D934" s="147"/>
      <c r="E934" s="147"/>
      <c r="F934" s="30"/>
      <c r="G934" s="30"/>
      <c r="H934" s="30"/>
      <c r="I934" s="30"/>
      <c r="J934" s="30"/>
      <c r="K934" s="30"/>
      <c r="L934" s="30"/>
      <c r="M934" s="23"/>
      <c r="N934" s="23"/>
      <c r="O934" s="123"/>
      <c r="AA934" s="136"/>
      <c r="AB934" s="123"/>
    </row>
    <row r="935" spans="1:28" x14ac:dyDescent="0.2">
      <c r="A935" s="23"/>
      <c r="B935" s="30"/>
      <c r="C935" s="30"/>
      <c r="D935" s="147"/>
      <c r="E935" s="147"/>
      <c r="F935" s="30"/>
      <c r="G935" s="30"/>
      <c r="H935" s="30"/>
      <c r="I935" s="30"/>
      <c r="J935" s="30"/>
      <c r="K935" s="30"/>
      <c r="L935" s="30"/>
      <c r="M935" s="23"/>
      <c r="N935" s="23"/>
      <c r="O935" s="123"/>
      <c r="AA935" s="136"/>
      <c r="AB935" s="123"/>
    </row>
    <row r="936" spans="1:28" x14ac:dyDescent="0.2">
      <c r="A936" s="23"/>
      <c r="B936" s="30"/>
      <c r="C936" s="30"/>
      <c r="D936" s="147"/>
      <c r="E936" s="147"/>
      <c r="F936" s="30"/>
      <c r="G936" s="30"/>
      <c r="H936" s="30"/>
      <c r="I936" s="30"/>
      <c r="J936" s="30"/>
      <c r="K936" s="30"/>
      <c r="L936" s="30"/>
      <c r="M936" s="23"/>
      <c r="N936" s="23"/>
      <c r="O936" s="123"/>
      <c r="AA936" s="136"/>
      <c r="AB936" s="123"/>
    </row>
    <row r="937" spans="1:28" x14ac:dyDescent="0.2">
      <c r="A937" s="23"/>
      <c r="B937" s="30"/>
      <c r="C937" s="30"/>
      <c r="D937" s="147"/>
      <c r="E937" s="147"/>
      <c r="F937" s="30"/>
      <c r="G937" s="30"/>
      <c r="H937" s="30"/>
      <c r="I937" s="30"/>
      <c r="J937" s="30"/>
      <c r="K937" s="30"/>
      <c r="L937" s="30"/>
      <c r="M937" s="23"/>
      <c r="N937" s="23"/>
      <c r="O937" s="123"/>
      <c r="AA937" s="136"/>
      <c r="AB937" s="123"/>
    </row>
    <row r="938" spans="1:28" x14ac:dyDescent="0.2">
      <c r="A938" s="23"/>
      <c r="B938" s="30"/>
      <c r="C938" s="30"/>
      <c r="D938" s="147"/>
      <c r="E938" s="147"/>
      <c r="F938" s="30"/>
      <c r="G938" s="30"/>
      <c r="H938" s="30"/>
      <c r="I938" s="30"/>
      <c r="J938" s="30"/>
      <c r="K938" s="30"/>
      <c r="L938" s="30"/>
      <c r="M938" s="23"/>
      <c r="N938" s="23"/>
      <c r="O938" s="123"/>
      <c r="AA938" s="136"/>
      <c r="AB938" s="123"/>
    </row>
    <row r="939" spans="1:28" x14ac:dyDescent="0.2">
      <c r="A939" s="23"/>
      <c r="B939" s="30"/>
      <c r="C939" s="30"/>
      <c r="D939" s="147"/>
      <c r="E939" s="147"/>
      <c r="F939" s="30"/>
      <c r="G939" s="30"/>
      <c r="H939" s="30"/>
      <c r="I939" s="30"/>
      <c r="J939" s="30"/>
      <c r="K939" s="30"/>
      <c r="L939" s="30"/>
      <c r="M939" s="23"/>
      <c r="N939" s="23"/>
      <c r="O939" s="123"/>
      <c r="AA939" s="136"/>
      <c r="AB939" s="123"/>
    </row>
    <row r="940" spans="1:28" x14ac:dyDescent="0.2">
      <c r="A940" s="23"/>
      <c r="B940" s="30"/>
      <c r="C940" s="30"/>
      <c r="D940" s="147"/>
      <c r="E940" s="147"/>
      <c r="F940" s="30"/>
      <c r="G940" s="30"/>
      <c r="H940" s="30"/>
      <c r="I940" s="30"/>
      <c r="J940" s="30"/>
      <c r="K940" s="30"/>
      <c r="L940" s="30"/>
      <c r="M940" s="23"/>
      <c r="N940" s="23"/>
      <c r="O940" s="123"/>
      <c r="AA940" s="136"/>
      <c r="AB940" s="123"/>
    </row>
    <row r="941" spans="1:28" x14ac:dyDescent="0.2">
      <c r="A941" s="23"/>
      <c r="B941" s="30"/>
      <c r="C941" s="30"/>
      <c r="D941" s="147"/>
      <c r="E941" s="147"/>
      <c r="F941" s="30"/>
      <c r="G941" s="30"/>
      <c r="H941" s="30"/>
      <c r="I941" s="30"/>
      <c r="J941" s="30"/>
      <c r="K941" s="30"/>
      <c r="L941" s="30"/>
      <c r="M941" s="23"/>
      <c r="N941" s="23"/>
      <c r="O941" s="123"/>
      <c r="AA941" s="136"/>
      <c r="AB941" s="123"/>
    </row>
    <row r="942" spans="1:28" x14ac:dyDescent="0.2">
      <c r="A942" s="23"/>
      <c r="B942" s="30"/>
      <c r="C942" s="30"/>
      <c r="D942" s="147"/>
      <c r="E942" s="147"/>
      <c r="F942" s="30"/>
      <c r="G942" s="30"/>
      <c r="H942" s="30"/>
      <c r="I942" s="30"/>
      <c r="J942" s="30"/>
      <c r="K942" s="30"/>
      <c r="L942" s="30"/>
      <c r="M942" s="23"/>
      <c r="N942" s="23"/>
      <c r="O942" s="123"/>
      <c r="AA942" s="136"/>
      <c r="AB942" s="123"/>
    </row>
    <row r="943" spans="1:28" x14ac:dyDescent="0.2">
      <c r="A943" s="23"/>
      <c r="B943" s="30"/>
      <c r="C943" s="30"/>
      <c r="D943" s="147"/>
      <c r="E943" s="147"/>
      <c r="F943" s="30"/>
      <c r="G943" s="30"/>
      <c r="H943" s="30"/>
      <c r="I943" s="30"/>
      <c r="J943" s="30"/>
      <c r="K943" s="30"/>
      <c r="L943" s="30"/>
      <c r="M943" s="23"/>
      <c r="N943" s="23"/>
      <c r="O943" s="123"/>
      <c r="AA943" s="136"/>
      <c r="AB943" s="123"/>
    </row>
    <row r="944" spans="1:28" x14ac:dyDescent="0.2">
      <c r="A944" s="23"/>
      <c r="B944" s="30"/>
      <c r="C944" s="30"/>
      <c r="D944" s="147"/>
      <c r="E944" s="147"/>
      <c r="F944" s="30"/>
      <c r="G944" s="30"/>
      <c r="H944" s="30"/>
      <c r="I944" s="30"/>
      <c r="J944" s="30"/>
      <c r="K944" s="30"/>
      <c r="L944" s="30"/>
      <c r="M944" s="23"/>
      <c r="N944" s="23"/>
      <c r="O944" s="123"/>
      <c r="AA944" s="136"/>
      <c r="AB944" s="123"/>
    </row>
    <row r="945" spans="1:28" x14ac:dyDescent="0.2">
      <c r="A945" s="23"/>
      <c r="B945" s="30"/>
      <c r="C945" s="30"/>
      <c r="D945" s="147"/>
      <c r="E945" s="147"/>
      <c r="F945" s="30"/>
      <c r="G945" s="30"/>
      <c r="H945" s="30"/>
      <c r="I945" s="30"/>
      <c r="J945" s="30"/>
      <c r="K945" s="30"/>
      <c r="L945" s="30"/>
      <c r="M945" s="23"/>
      <c r="N945" s="23"/>
      <c r="O945" s="123"/>
      <c r="AA945" s="136"/>
      <c r="AB945" s="123"/>
    </row>
    <row r="946" spans="1:28" x14ac:dyDescent="0.2">
      <c r="A946" s="23"/>
      <c r="B946" s="30"/>
      <c r="C946" s="30"/>
      <c r="D946" s="147"/>
      <c r="E946" s="147"/>
      <c r="F946" s="30"/>
      <c r="G946" s="30"/>
      <c r="H946" s="30"/>
      <c r="I946" s="30"/>
      <c r="J946" s="30"/>
      <c r="K946" s="30"/>
      <c r="L946" s="30"/>
      <c r="M946" s="23"/>
      <c r="N946" s="23"/>
      <c r="O946" s="123"/>
      <c r="AA946" s="136"/>
      <c r="AB946" s="123"/>
    </row>
    <row r="947" spans="1:28" x14ac:dyDescent="0.2">
      <c r="A947" s="23"/>
      <c r="B947" s="30"/>
      <c r="C947" s="30"/>
      <c r="D947" s="147"/>
      <c r="E947" s="147"/>
      <c r="F947" s="30"/>
      <c r="G947" s="30"/>
      <c r="H947" s="30"/>
      <c r="I947" s="30"/>
      <c r="J947" s="30"/>
      <c r="K947" s="30"/>
      <c r="L947" s="30"/>
      <c r="M947" s="23"/>
      <c r="N947" s="23"/>
      <c r="O947" s="123"/>
      <c r="AA947" s="136"/>
      <c r="AB947" s="123"/>
    </row>
    <row r="948" spans="1:28" x14ac:dyDescent="0.2">
      <c r="A948" s="23"/>
      <c r="B948" s="30"/>
      <c r="C948" s="30"/>
      <c r="D948" s="147"/>
      <c r="E948" s="147"/>
      <c r="F948" s="30"/>
      <c r="G948" s="30"/>
      <c r="H948" s="30"/>
      <c r="I948" s="30"/>
      <c r="J948" s="30"/>
      <c r="K948" s="30"/>
      <c r="L948" s="30"/>
      <c r="M948" s="23"/>
      <c r="N948" s="23"/>
      <c r="O948" s="123"/>
      <c r="AA948" s="136"/>
      <c r="AB948" s="123"/>
    </row>
    <row r="949" spans="1:28" x14ac:dyDescent="0.2">
      <c r="A949" s="23"/>
      <c r="B949" s="30"/>
      <c r="C949" s="30"/>
      <c r="D949" s="147"/>
      <c r="E949" s="147"/>
      <c r="F949" s="30"/>
      <c r="G949" s="30"/>
      <c r="H949" s="30"/>
      <c r="I949" s="30"/>
      <c r="J949" s="30"/>
      <c r="K949" s="30"/>
      <c r="L949" s="30"/>
      <c r="M949" s="23"/>
      <c r="N949" s="23"/>
      <c r="O949" s="123"/>
      <c r="AA949" s="136"/>
      <c r="AB949" s="123"/>
    </row>
    <row r="950" spans="1:28" x14ac:dyDescent="0.2">
      <c r="A950" s="23"/>
      <c r="B950" s="30"/>
      <c r="C950" s="30"/>
      <c r="D950" s="147"/>
      <c r="E950" s="147"/>
      <c r="F950" s="30"/>
      <c r="G950" s="30"/>
      <c r="H950" s="30"/>
      <c r="I950" s="30"/>
      <c r="J950" s="30"/>
      <c r="K950" s="30"/>
      <c r="L950" s="30"/>
      <c r="M950" s="23"/>
      <c r="N950" s="23"/>
      <c r="O950" s="123"/>
      <c r="AA950" s="136"/>
      <c r="AB950" s="123"/>
    </row>
    <row r="951" spans="1:28" x14ac:dyDescent="0.2">
      <c r="A951" s="23"/>
      <c r="B951" s="30"/>
      <c r="C951" s="30"/>
      <c r="D951" s="147"/>
      <c r="E951" s="147"/>
      <c r="F951" s="30"/>
      <c r="G951" s="30"/>
      <c r="H951" s="30"/>
      <c r="I951" s="30"/>
      <c r="J951" s="30"/>
      <c r="K951" s="30"/>
      <c r="L951" s="30"/>
      <c r="M951" s="23"/>
      <c r="N951" s="23"/>
      <c r="O951" s="123"/>
      <c r="AA951" s="136"/>
      <c r="AB951" s="123"/>
    </row>
    <row r="952" spans="1:28" x14ac:dyDescent="0.2">
      <c r="A952" s="23"/>
      <c r="B952" s="30"/>
      <c r="C952" s="30"/>
      <c r="D952" s="147"/>
      <c r="E952" s="147"/>
      <c r="F952" s="30"/>
      <c r="G952" s="30"/>
      <c r="H952" s="30"/>
      <c r="I952" s="30"/>
      <c r="J952" s="30"/>
      <c r="K952" s="30"/>
      <c r="L952" s="30"/>
      <c r="M952" s="23"/>
      <c r="N952" s="23"/>
      <c r="O952" s="123"/>
      <c r="AA952" s="136"/>
      <c r="AB952" s="123"/>
    </row>
    <row r="953" spans="1:28" x14ac:dyDescent="0.2">
      <c r="A953" s="23"/>
      <c r="B953" s="30"/>
      <c r="C953" s="30"/>
      <c r="D953" s="147"/>
      <c r="E953" s="147"/>
      <c r="F953" s="30"/>
      <c r="G953" s="30"/>
      <c r="H953" s="30"/>
      <c r="I953" s="30"/>
      <c r="J953" s="30"/>
      <c r="K953" s="30"/>
      <c r="L953" s="30"/>
      <c r="M953" s="23"/>
      <c r="N953" s="23"/>
      <c r="O953" s="123"/>
      <c r="AA953" s="136"/>
      <c r="AB953" s="123"/>
    </row>
    <row r="954" spans="1:28" x14ac:dyDescent="0.2">
      <c r="A954" s="23"/>
      <c r="B954" s="30"/>
      <c r="C954" s="30"/>
      <c r="D954" s="147"/>
      <c r="E954" s="147"/>
      <c r="F954" s="30"/>
      <c r="G954" s="30"/>
      <c r="H954" s="30"/>
      <c r="I954" s="30"/>
      <c r="J954" s="30"/>
      <c r="K954" s="30"/>
      <c r="L954" s="30"/>
      <c r="M954" s="23"/>
      <c r="N954" s="23"/>
      <c r="O954" s="123"/>
      <c r="AA954" s="136"/>
      <c r="AB954" s="123"/>
    </row>
    <row r="955" spans="1:28" x14ac:dyDescent="0.2">
      <c r="A955" s="23"/>
      <c r="B955" s="30"/>
      <c r="C955" s="30"/>
      <c r="D955" s="147"/>
      <c r="E955" s="147"/>
      <c r="F955" s="30"/>
      <c r="G955" s="30"/>
      <c r="H955" s="30"/>
      <c r="I955" s="30"/>
      <c r="J955" s="30"/>
      <c r="K955" s="30"/>
      <c r="L955" s="30"/>
      <c r="M955" s="23"/>
      <c r="N955" s="23"/>
      <c r="O955" s="123"/>
      <c r="AA955" s="136"/>
      <c r="AB955" s="123"/>
    </row>
    <row r="956" spans="1:28" x14ac:dyDescent="0.2">
      <c r="A956" s="23"/>
      <c r="B956" s="30"/>
      <c r="C956" s="30"/>
      <c r="D956" s="147"/>
      <c r="E956" s="147"/>
      <c r="F956" s="30"/>
      <c r="G956" s="30"/>
      <c r="H956" s="30"/>
      <c r="I956" s="30"/>
      <c r="J956" s="30"/>
      <c r="K956" s="30"/>
      <c r="L956" s="30"/>
      <c r="M956" s="23"/>
      <c r="N956" s="23"/>
      <c r="O956" s="123"/>
      <c r="AA956" s="136"/>
      <c r="AB956" s="123"/>
    </row>
    <row r="957" spans="1:28" x14ac:dyDescent="0.2">
      <c r="A957" s="23"/>
      <c r="B957" s="30"/>
      <c r="C957" s="30"/>
      <c r="D957" s="147"/>
      <c r="E957" s="147"/>
      <c r="F957" s="30"/>
      <c r="G957" s="30"/>
      <c r="H957" s="30"/>
      <c r="I957" s="30"/>
      <c r="J957" s="30"/>
      <c r="K957" s="30"/>
      <c r="L957" s="30"/>
      <c r="M957" s="23"/>
      <c r="N957" s="23"/>
      <c r="O957" s="123"/>
      <c r="AA957" s="136"/>
      <c r="AB957" s="123"/>
    </row>
    <row r="958" spans="1:28" x14ac:dyDescent="0.2">
      <c r="A958" s="23"/>
      <c r="B958" s="30"/>
      <c r="C958" s="30"/>
      <c r="D958" s="147"/>
      <c r="E958" s="147"/>
      <c r="F958" s="30"/>
      <c r="G958" s="30"/>
      <c r="H958" s="30"/>
      <c r="I958" s="30"/>
      <c r="J958" s="30"/>
      <c r="K958" s="30"/>
      <c r="L958" s="30"/>
      <c r="M958" s="23"/>
      <c r="N958" s="23"/>
      <c r="O958" s="123"/>
      <c r="AA958" s="136"/>
      <c r="AB958" s="123"/>
    </row>
    <row r="959" spans="1:28" x14ac:dyDescent="0.2">
      <c r="A959" s="23"/>
      <c r="B959" s="30"/>
      <c r="C959" s="30"/>
      <c r="D959" s="147"/>
      <c r="E959" s="147"/>
      <c r="F959" s="30"/>
      <c r="G959" s="30"/>
      <c r="H959" s="30"/>
      <c r="I959" s="30"/>
      <c r="J959" s="30"/>
      <c r="K959" s="30"/>
      <c r="L959" s="30"/>
      <c r="M959" s="23"/>
      <c r="N959" s="23"/>
      <c r="O959" s="123"/>
      <c r="AA959" s="136"/>
      <c r="AB959" s="123"/>
    </row>
    <row r="960" spans="1:28" x14ac:dyDescent="0.2">
      <c r="A960" s="23"/>
      <c r="B960" s="30"/>
      <c r="C960" s="30"/>
      <c r="D960" s="147"/>
      <c r="E960" s="147"/>
      <c r="F960" s="30"/>
      <c r="G960" s="30"/>
      <c r="H960" s="30"/>
      <c r="I960" s="30"/>
      <c r="J960" s="30"/>
      <c r="K960" s="30"/>
      <c r="L960" s="30"/>
      <c r="M960" s="23"/>
      <c r="N960" s="23"/>
      <c r="O960" s="123"/>
      <c r="AA960" s="136"/>
      <c r="AB960" s="123"/>
    </row>
    <row r="961" spans="1:28" x14ac:dyDescent="0.2">
      <c r="A961" s="23"/>
      <c r="B961" s="30"/>
      <c r="C961" s="30"/>
      <c r="D961" s="147"/>
      <c r="E961" s="147"/>
      <c r="F961" s="30"/>
      <c r="G961" s="30"/>
      <c r="H961" s="30"/>
      <c r="I961" s="30"/>
      <c r="J961" s="30"/>
      <c r="K961" s="30"/>
      <c r="L961" s="30"/>
      <c r="M961" s="23"/>
      <c r="N961" s="23"/>
      <c r="O961" s="123"/>
      <c r="AA961" s="136"/>
      <c r="AB961" s="123"/>
    </row>
    <row r="962" spans="1:28" x14ac:dyDescent="0.2">
      <c r="A962" s="23"/>
      <c r="B962" s="30"/>
      <c r="C962" s="30"/>
      <c r="D962" s="147"/>
      <c r="E962" s="147"/>
      <c r="F962" s="30"/>
      <c r="G962" s="30"/>
      <c r="H962" s="30"/>
      <c r="I962" s="30"/>
      <c r="J962" s="30"/>
      <c r="K962" s="30"/>
      <c r="L962" s="30"/>
      <c r="M962" s="23"/>
      <c r="N962" s="23"/>
      <c r="O962" s="123"/>
      <c r="AA962" s="136"/>
      <c r="AB962" s="123"/>
    </row>
    <row r="963" spans="1:28" x14ac:dyDescent="0.2">
      <c r="A963" s="23"/>
      <c r="B963" s="30"/>
      <c r="C963" s="30"/>
      <c r="D963" s="147"/>
      <c r="E963" s="147"/>
      <c r="F963" s="30"/>
      <c r="G963" s="30"/>
      <c r="H963" s="30"/>
      <c r="I963" s="30"/>
      <c r="J963" s="30"/>
      <c r="K963" s="30"/>
      <c r="L963" s="30"/>
      <c r="M963" s="23"/>
      <c r="N963" s="23"/>
      <c r="O963" s="123"/>
      <c r="AA963" s="136"/>
      <c r="AB963" s="123"/>
    </row>
    <row r="964" spans="1:28" x14ac:dyDescent="0.2">
      <c r="A964" s="23"/>
      <c r="B964" s="30"/>
      <c r="C964" s="30"/>
      <c r="D964" s="147"/>
      <c r="E964" s="147"/>
      <c r="F964" s="30"/>
      <c r="G964" s="30"/>
      <c r="H964" s="30"/>
      <c r="I964" s="30"/>
      <c r="J964" s="30"/>
      <c r="K964" s="30"/>
      <c r="L964" s="30"/>
      <c r="M964" s="23"/>
      <c r="N964" s="23"/>
      <c r="O964" s="123"/>
      <c r="AA964" s="136"/>
      <c r="AB964" s="123"/>
    </row>
    <row r="965" spans="1:28" x14ac:dyDescent="0.2">
      <c r="A965" s="23"/>
      <c r="B965" s="30"/>
      <c r="C965" s="30"/>
      <c r="D965" s="147"/>
      <c r="E965" s="147"/>
      <c r="F965" s="30"/>
      <c r="G965" s="30"/>
      <c r="H965" s="30"/>
      <c r="I965" s="30"/>
      <c r="J965" s="30"/>
      <c r="K965" s="30"/>
      <c r="L965" s="30"/>
      <c r="M965" s="23"/>
      <c r="N965" s="23"/>
      <c r="O965" s="123"/>
      <c r="AA965" s="136"/>
      <c r="AB965" s="123"/>
    </row>
    <row r="966" spans="1:28" x14ac:dyDescent="0.2">
      <c r="A966" s="23"/>
      <c r="B966" s="30"/>
      <c r="C966" s="30"/>
      <c r="D966" s="147"/>
      <c r="E966" s="147"/>
      <c r="F966" s="30"/>
      <c r="G966" s="30"/>
      <c r="H966" s="30"/>
      <c r="I966" s="30"/>
      <c r="J966" s="30"/>
      <c r="K966" s="30"/>
      <c r="L966" s="30"/>
      <c r="M966" s="23"/>
      <c r="N966" s="23"/>
      <c r="O966" s="123"/>
      <c r="AA966" s="136"/>
      <c r="AB966" s="123"/>
    </row>
    <row r="967" spans="1:28" x14ac:dyDescent="0.2">
      <c r="A967" s="23"/>
      <c r="B967" s="30"/>
      <c r="C967" s="30"/>
      <c r="D967" s="147"/>
      <c r="E967" s="147"/>
      <c r="F967" s="30"/>
      <c r="G967" s="30"/>
      <c r="H967" s="30"/>
      <c r="I967" s="30"/>
      <c r="J967" s="30"/>
      <c r="K967" s="30"/>
      <c r="L967" s="30"/>
      <c r="M967" s="23"/>
      <c r="N967" s="23"/>
      <c r="O967" s="123"/>
      <c r="AA967" s="136"/>
      <c r="AB967" s="123"/>
    </row>
    <row r="968" spans="1:28" x14ac:dyDescent="0.2">
      <c r="A968" s="23"/>
      <c r="B968" s="30"/>
      <c r="C968" s="30"/>
      <c r="D968" s="147"/>
      <c r="E968" s="147"/>
      <c r="F968" s="30"/>
      <c r="G968" s="30"/>
      <c r="H968" s="30"/>
      <c r="I968" s="30"/>
      <c r="J968" s="30"/>
      <c r="K968" s="30"/>
      <c r="L968" s="30"/>
      <c r="M968" s="23"/>
      <c r="N968" s="23"/>
      <c r="O968" s="123"/>
      <c r="AA968" s="136"/>
      <c r="AB968" s="123"/>
    </row>
    <row r="969" spans="1:28" x14ac:dyDescent="0.2">
      <c r="A969" s="23"/>
      <c r="B969" s="30"/>
      <c r="C969" s="30"/>
      <c r="D969" s="147"/>
      <c r="E969" s="147"/>
      <c r="F969" s="30"/>
      <c r="G969" s="30"/>
      <c r="H969" s="30"/>
      <c r="I969" s="30"/>
      <c r="J969" s="30"/>
      <c r="K969" s="30"/>
      <c r="L969" s="30"/>
      <c r="M969" s="23"/>
      <c r="N969" s="23"/>
      <c r="O969" s="123"/>
      <c r="AA969" s="136"/>
      <c r="AB969" s="123"/>
    </row>
    <row r="970" spans="1:28" x14ac:dyDescent="0.2">
      <c r="A970" s="23"/>
      <c r="B970" s="30"/>
      <c r="C970" s="30"/>
      <c r="D970" s="147"/>
      <c r="E970" s="147"/>
      <c r="F970" s="30"/>
      <c r="G970" s="30"/>
      <c r="H970" s="30"/>
      <c r="I970" s="30"/>
      <c r="J970" s="30"/>
      <c r="K970" s="30"/>
      <c r="L970" s="30"/>
      <c r="M970" s="23"/>
      <c r="N970" s="23"/>
      <c r="O970" s="123"/>
      <c r="AA970" s="136"/>
      <c r="AB970" s="123"/>
    </row>
    <row r="971" spans="1:28" x14ac:dyDescent="0.2">
      <c r="A971" s="23"/>
      <c r="B971" s="30"/>
      <c r="C971" s="30"/>
      <c r="D971" s="147"/>
      <c r="E971" s="147"/>
      <c r="F971" s="30"/>
      <c r="G971" s="30"/>
      <c r="H971" s="30"/>
      <c r="I971" s="30"/>
      <c r="J971" s="30"/>
      <c r="K971" s="30"/>
      <c r="L971" s="30"/>
      <c r="M971" s="23"/>
      <c r="N971" s="23"/>
      <c r="O971" s="123"/>
      <c r="AA971" s="136"/>
      <c r="AB971" s="123"/>
    </row>
    <row r="972" spans="1:28" x14ac:dyDescent="0.2">
      <c r="A972" s="23"/>
      <c r="B972" s="30"/>
      <c r="C972" s="30"/>
      <c r="D972" s="147"/>
      <c r="E972" s="147"/>
      <c r="F972" s="30"/>
      <c r="G972" s="30"/>
      <c r="H972" s="30"/>
      <c r="I972" s="30"/>
      <c r="J972" s="30"/>
      <c r="K972" s="30"/>
      <c r="L972" s="30"/>
      <c r="M972" s="23"/>
      <c r="N972" s="23"/>
      <c r="O972" s="123"/>
      <c r="AA972" s="136"/>
      <c r="AB972" s="123"/>
    </row>
    <row r="973" spans="1:28" x14ac:dyDescent="0.2">
      <c r="A973" s="23"/>
      <c r="B973" s="30"/>
      <c r="C973" s="30"/>
      <c r="D973" s="147"/>
      <c r="E973" s="147"/>
      <c r="F973" s="30"/>
      <c r="G973" s="30"/>
      <c r="H973" s="30"/>
      <c r="I973" s="30"/>
      <c r="J973" s="30"/>
      <c r="K973" s="30"/>
      <c r="L973" s="30"/>
      <c r="M973" s="23"/>
      <c r="N973" s="23"/>
      <c r="O973" s="123"/>
      <c r="AA973" s="136"/>
      <c r="AB973" s="123"/>
    </row>
    <row r="974" spans="1:28" x14ac:dyDescent="0.2">
      <c r="A974" s="23"/>
      <c r="B974" s="30"/>
      <c r="C974" s="30"/>
      <c r="D974" s="147"/>
      <c r="E974" s="147"/>
      <c r="F974" s="30"/>
      <c r="G974" s="30"/>
      <c r="H974" s="30"/>
      <c r="I974" s="30"/>
      <c r="J974" s="30"/>
      <c r="K974" s="30"/>
      <c r="L974" s="30"/>
      <c r="M974" s="23"/>
      <c r="N974" s="23"/>
      <c r="O974" s="123"/>
      <c r="AA974" s="136"/>
      <c r="AB974" s="123"/>
    </row>
    <row r="975" spans="1:28" x14ac:dyDescent="0.2">
      <c r="A975" s="23"/>
      <c r="B975" s="30"/>
      <c r="C975" s="30"/>
      <c r="D975" s="147"/>
      <c r="E975" s="147"/>
      <c r="F975" s="30"/>
      <c r="G975" s="30"/>
      <c r="H975" s="30"/>
      <c r="I975" s="30"/>
      <c r="J975" s="30"/>
      <c r="K975" s="30"/>
      <c r="L975" s="30"/>
      <c r="M975" s="23"/>
      <c r="N975" s="23"/>
      <c r="O975" s="123"/>
      <c r="AA975" s="136"/>
      <c r="AB975" s="123"/>
    </row>
    <row r="976" spans="1:28" x14ac:dyDescent="0.2">
      <c r="A976" s="23"/>
      <c r="B976" s="30"/>
      <c r="C976" s="30"/>
      <c r="D976" s="147"/>
      <c r="E976" s="147"/>
      <c r="F976" s="30"/>
      <c r="G976" s="30"/>
      <c r="H976" s="30"/>
      <c r="I976" s="30"/>
      <c r="J976" s="30"/>
      <c r="K976" s="30"/>
      <c r="L976" s="30"/>
      <c r="M976" s="23"/>
      <c r="N976" s="23"/>
      <c r="O976" s="123"/>
      <c r="AA976" s="136"/>
      <c r="AB976" s="123"/>
    </row>
    <row r="977" spans="1:28" x14ac:dyDescent="0.2">
      <c r="A977" s="23"/>
      <c r="B977" s="30"/>
      <c r="C977" s="30"/>
      <c r="D977" s="147"/>
      <c r="E977" s="147"/>
      <c r="F977" s="30"/>
      <c r="G977" s="30"/>
      <c r="H977" s="30"/>
      <c r="I977" s="30"/>
      <c r="J977" s="30"/>
      <c r="K977" s="30"/>
      <c r="L977" s="30"/>
      <c r="M977" s="23"/>
      <c r="N977" s="23"/>
      <c r="O977" s="123"/>
      <c r="AA977" s="136"/>
      <c r="AB977" s="123"/>
    </row>
    <row r="978" spans="1:28" x14ac:dyDescent="0.2">
      <c r="A978" s="23"/>
      <c r="B978" s="30"/>
      <c r="C978" s="30"/>
      <c r="D978" s="147"/>
      <c r="E978" s="147"/>
      <c r="F978" s="30"/>
      <c r="G978" s="30"/>
      <c r="H978" s="30"/>
      <c r="I978" s="30"/>
      <c r="J978" s="30"/>
      <c r="K978" s="30"/>
      <c r="L978" s="30"/>
      <c r="M978" s="23"/>
      <c r="N978" s="23"/>
      <c r="O978" s="123"/>
      <c r="AA978" s="136"/>
      <c r="AB978" s="123"/>
    </row>
    <row r="979" spans="1:28" x14ac:dyDescent="0.2">
      <c r="A979" s="23"/>
      <c r="B979" s="30"/>
      <c r="C979" s="30"/>
      <c r="D979" s="147"/>
      <c r="E979" s="147"/>
      <c r="F979" s="30"/>
      <c r="G979" s="30"/>
      <c r="H979" s="30"/>
      <c r="I979" s="30"/>
      <c r="J979" s="30"/>
      <c r="K979" s="30"/>
      <c r="L979" s="30"/>
      <c r="M979" s="23"/>
      <c r="N979" s="23"/>
      <c r="O979" s="123"/>
      <c r="AA979" s="136"/>
      <c r="AB979" s="123"/>
    </row>
    <row r="980" spans="1:28" x14ac:dyDescent="0.2">
      <c r="A980" s="23"/>
      <c r="B980" s="30"/>
      <c r="C980" s="30"/>
      <c r="D980" s="147"/>
      <c r="E980" s="147"/>
      <c r="F980" s="30"/>
      <c r="G980" s="30"/>
      <c r="H980" s="30"/>
      <c r="I980" s="30"/>
      <c r="J980" s="30"/>
      <c r="K980" s="30"/>
      <c r="L980" s="30"/>
      <c r="M980" s="23"/>
      <c r="N980" s="23"/>
      <c r="O980" s="123"/>
      <c r="AA980" s="136"/>
      <c r="AB980" s="123"/>
    </row>
    <row r="981" spans="1:28" x14ac:dyDescent="0.2">
      <c r="A981" s="23"/>
      <c r="B981" s="30"/>
      <c r="C981" s="30"/>
      <c r="D981" s="147"/>
      <c r="E981" s="147"/>
      <c r="F981" s="30"/>
      <c r="G981" s="30"/>
      <c r="H981" s="30"/>
      <c r="I981" s="30"/>
      <c r="J981" s="30"/>
      <c r="K981" s="30"/>
      <c r="L981" s="30"/>
      <c r="M981" s="23"/>
      <c r="N981" s="23"/>
      <c r="O981" s="123"/>
      <c r="AA981" s="136"/>
      <c r="AB981" s="123"/>
    </row>
    <row r="982" spans="1:28" x14ac:dyDescent="0.2">
      <c r="A982" s="23"/>
      <c r="B982" s="30"/>
      <c r="C982" s="30"/>
      <c r="D982" s="147"/>
      <c r="E982" s="147"/>
      <c r="F982" s="30"/>
      <c r="G982" s="30"/>
      <c r="H982" s="30"/>
      <c r="I982" s="30"/>
      <c r="J982" s="30"/>
      <c r="K982" s="30"/>
      <c r="L982" s="30"/>
      <c r="M982" s="23"/>
      <c r="N982" s="23"/>
      <c r="O982" s="123"/>
      <c r="AA982" s="136"/>
      <c r="AB982" s="123"/>
    </row>
    <row r="983" spans="1:28" x14ac:dyDescent="0.2">
      <c r="A983" s="23"/>
      <c r="B983" s="30"/>
      <c r="C983" s="30"/>
      <c r="D983" s="147"/>
      <c r="E983" s="147"/>
      <c r="F983" s="30"/>
      <c r="G983" s="30"/>
      <c r="H983" s="30"/>
      <c r="I983" s="30"/>
      <c r="J983" s="30"/>
      <c r="K983" s="30"/>
      <c r="L983" s="30"/>
      <c r="M983" s="23"/>
      <c r="N983" s="23"/>
      <c r="O983" s="123"/>
      <c r="AA983" s="136"/>
      <c r="AB983" s="123"/>
    </row>
    <row r="984" spans="1:28" x14ac:dyDescent="0.2">
      <c r="A984" s="23"/>
      <c r="B984" s="30"/>
      <c r="C984" s="30"/>
      <c r="D984" s="147"/>
      <c r="E984" s="147"/>
      <c r="F984" s="30"/>
      <c r="G984" s="30"/>
      <c r="H984" s="30"/>
      <c r="I984" s="30"/>
      <c r="J984" s="30"/>
      <c r="K984" s="30"/>
      <c r="L984" s="30"/>
      <c r="M984" s="23"/>
      <c r="N984" s="23"/>
      <c r="O984" s="123"/>
      <c r="AA984" s="136"/>
      <c r="AB984" s="123"/>
    </row>
    <row r="985" spans="1:28" x14ac:dyDescent="0.2">
      <c r="A985" s="23"/>
      <c r="B985" s="30"/>
      <c r="C985" s="30"/>
      <c r="D985" s="147"/>
      <c r="E985" s="147"/>
      <c r="F985" s="30"/>
      <c r="G985" s="30"/>
      <c r="H985" s="30"/>
      <c r="I985" s="30"/>
      <c r="J985" s="30"/>
      <c r="K985" s="30"/>
      <c r="L985" s="30"/>
      <c r="M985" s="23"/>
      <c r="N985" s="23"/>
      <c r="O985" s="123"/>
      <c r="AA985" s="136"/>
      <c r="AB985" s="123"/>
    </row>
    <row r="986" spans="1:28" x14ac:dyDescent="0.2">
      <c r="A986" s="23"/>
      <c r="B986" s="30"/>
      <c r="C986" s="30"/>
      <c r="D986" s="147"/>
      <c r="E986" s="147"/>
      <c r="F986" s="30"/>
      <c r="G986" s="30"/>
      <c r="H986" s="30"/>
      <c r="I986" s="30"/>
      <c r="J986" s="30"/>
      <c r="K986" s="30"/>
      <c r="L986" s="30"/>
      <c r="M986" s="23"/>
      <c r="N986" s="23"/>
      <c r="O986" s="123"/>
      <c r="AA986" s="136"/>
      <c r="AB986" s="123"/>
    </row>
    <row r="987" spans="1:28" x14ac:dyDescent="0.2">
      <c r="A987" s="23"/>
      <c r="B987" s="30"/>
      <c r="C987" s="30"/>
      <c r="D987" s="147"/>
      <c r="E987" s="147"/>
      <c r="F987" s="30"/>
      <c r="G987" s="30"/>
      <c r="H987" s="30"/>
      <c r="I987" s="30"/>
      <c r="J987" s="30"/>
      <c r="K987" s="30"/>
      <c r="L987" s="30"/>
      <c r="M987" s="23"/>
      <c r="N987" s="23"/>
      <c r="O987" s="123"/>
      <c r="AA987" s="136"/>
      <c r="AB987" s="123"/>
    </row>
    <row r="988" spans="1:28" x14ac:dyDescent="0.2">
      <c r="A988" s="23"/>
      <c r="B988" s="30"/>
      <c r="C988" s="30"/>
      <c r="D988" s="147"/>
      <c r="E988" s="147"/>
      <c r="F988" s="30"/>
      <c r="G988" s="30"/>
      <c r="H988" s="30"/>
      <c r="I988" s="30"/>
      <c r="J988" s="30"/>
      <c r="K988" s="30"/>
      <c r="L988" s="30"/>
      <c r="M988" s="23"/>
      <c r="N988" s="23"/>
      <c r="O988" s="123"/>
      <c r="AA988" s="136"/>
      <c r="AB988" s="123"/>
    </row>
    <row r="989" spans="1:28" x14ac:dyDescent="0.2">
      <c r="A989" s="23"/>
      <c r="B989" s="30"/>
      <c r="C989" s="30"/>
      <c r="D989" s="147"/>
      <c r="E989" s="147"/>
      <c r="F989" s="30"/>
      <c r="G989" s="30"/>
      <c r="H989" s="30"/>
      <c r="I989" s="30"/>
      <c r="J989" s="30"/>
      <c r="K989" s="30"/>
      <c r="L989" s="30"/>
      <c r="M989" s="23"/>
      <c r="N989" s="23"/>
      <c r="O989" s="123"/>
      <c r="AA989" s="136"/>
      <c r="AB989" s="123"/>
    </row>
    <row r="990" spans="1:28" x14ac:dyDescent="0.2">
      <c r="A990" s="23"/>
      <c r="B990" s="30"/>
      <c r="C990" s="30"/>
      <c r="D990" s="147"/>
      <c r="E990" s="147"/>
      <c r="F990" s="30"/>
      <c r="G990" s="30"/>
      <c r="H990" s="30"/>
      <c r="I990" s="30"/>
      <c r="J990" s="30"/>
      <c r="K990" s="30"/>
      <c r="L990" s="30"/>
      <c r="M990" s="23"/>
      <c r="N990" s="23"/>
      <c r="O990" s="123"/>
      <c r="AA990" s="136"/>
      <c r="AB990" s="123"/>
    </row>
    <row r="991" spans="1:28" x14ac:dyDescent="0.2">
      <c r="A991" s="23"/>
      <c r="B991" s="30"/>
      <c r="C991" s="30"/>
      <c r="D991" s="147"/>
      <c r="E991" s="147"/>
      <c r="F991" s="30"/>
      <c r="G991" s="30"/>
      <c r="H991" s="30"/>
      <c r="I991" s="30"/>
      <c r="J991" s="30"/>
      <c r="K991" s="30"/>
      <c r="L991" s="30"/>
      <c r="M991" s="23"/>
      <c r="N991" s="23"/>
      <c r="O991" s="123"/>
      <c r="AA991" s="136"/>
      <c r="AB991" s="123"/>
    </row>
    <row r="992" spans="1:28" x14ac:dyDescent="0.2">
      <c r="A992" s="23"/>
      <c r="B992" s="30"/>
      <c r="C992" s="30"/>
      <c r="D992" s="147"/>
      <c r="E992" s="147"/>
      <c r="F992" s="30"/>
      <c r="G992" s="30"/>
      <c r="H992" s="30"/>
      <c r="I992" s="30"/>
      <c r="J992" s="30"/>
      <c r="K992" s="30"/>
      <c r="L992" s="30"/>
      <c r="M992" s="23"/>
      <c r="N992" s="23"/>
      <c r="O992" s="123"/>
      <c r="AA992" s="136"/>
      <c r="AB992" s="123"/>
    </row>
    <row r="993" spans="1:28" x14ac:dyDescent="0.2">
      <c r="A993" s="23"/>
      <c r="B993" s="30"/>
      <c r="C993" s="30"/>
      <c r="D993" s="147"/>
      <c r="E993" s="147"/>
      <c r="F993" s="30"/>
      <c r="G993" s="30"/>
      <c r="H993" s="30"/>
      <c r="I993" s="30"/>
      <c r="J993" s="30"/>
      <c r="K993" s="30"/>
      <c r="L993" s="30"/>
      <c r="M993" s="23"/>
      <c r="N993" s="23"/>
      <c r="O993" s="123"/>
      <c r="AA993" s="136"/>
      <c r="AB993" s="123"/>
    </row>
    <row r="994" spans="1:28" x14ac:dyDescent="0.2">
      <c r="A994" s="23"/>
      <c r="B994" s="30"/>
      <c r="C994" s="30"/>
      <c r="D994" s="147"/>
      <c r="E994" s="147"/>
      <c r="F994" s="30"/>
      <c r="G994" s="30"/>
      <c r="H994" s="30"/>
      <c r="I994" s="30"/>
      <c r="J994" s="30"/>
      <c r="K994" s="30"/>
      <c r="L994" s="30"/>
      <c r="M994" s="23"/>
      <c r="N994" s="23"/>
      <c r="O994" s="123"/>
      <c r="AA994" s="136"/>
      <c r="AB994" s="123"/>
    </row>
    <row r="995" spans="1:28" x14ac:dyDescent="0.2">
      <c r="A995" s="23"/>
      <c r="B995" s="30"/>
      <c r="C995" s="30"/>
      <c r="D995" s="147"/>
      <c r="E995" s="147"/>
      <c r="F995" s="30"/>
      <c r="G995" s="30"/>
      <c r="H995" s="30"/>
      <c r="I995" s="30"/>
      <c r="J995" s="30"/>
      <c r="K995" s="30"/>
      <c r="L995" s="30"/>
      <c r="M995" s="23"/>
      <c r="N995" s="23"/>
      <c r="O995" s="123"/>
      <c r="AA995" s="136"/>
      <c r="AB995" s="123"/>
    </row>
    <row r="996" spans="1:28" x14ac:dyDescent="0.2">
      <c r="A996" s="23"/>
      <c r="B996" s="30"/>
      <c r="C996" s="30"/>
      <c r="D996" s="147"/>
      <c r="E996" s="147"/>
      <c r="F996" s="30"/>
      <c r="G996" s="30"/>
      <c r="H996" s="30"/>
      <c r="I996" s="30"/>
      <c r="J996" s="30"/>
      <c r="K996" s="30"/>
      <c r="L996" s="30"/>
      <c r="M996" s="23"/>
      <c r="N996" s="23"/>
      <c r="O996" s="123"/>
      <c r="AA996" s="136"/>
      <c r="AB996" s="123"/>
    </row>
    <row r="997" spans="1:28" x14ac:dyDescent="0.2">
      <c r="A997" s="23"/>
      <c r="B997" s="30"/>
      <c r="C997" s="30"/>
      <c r="D997" s="147"/>
      <c r="E997" s="147"/>
      <c r="F997" s="30"/>
      <c r="G997" s="30"/>
      <c r="H997" s="30"/>
      <c r="I997" s="30"/>
      <c r="J997" s="30"/>
      <c r="K997" s="30"/>
      <c r="L997" s="30"/>
      <c r="M997" s="23"/>
      <c r="N997" s="23"/>
      <c r="O997" s="123"/>
      <c r="AA997" s="136"/>
      <c r="AB997" s="123"/>
    </row>
    <row r="998" spans="1:28" x14ac:dyDescent="0.2">
      <c r="A998" s="23"/>
      <c r="B998" s="30"/>
      <c r="C998" s="30"/>
      <c r="D998" s="147"/>
      <c r="E998" s="147"/>
      <c r="F998" s="30"/>
      <c r="G998" s="30"/>
      <c r="H998" s="30"/>
      <c r="I998" s="30"/>
      <c r="J998" s="30"/>
      <c r="K998" s="30"/>
      <c r="L998" s="30"/>
      <c r="M998" s="23"/>
      <c r="N998" s="23"/>
      <c r="O998" s="123"/>
      <c r="AA998" s="136"/>
      <c r="AB998" s="123"/>
    </row>
    <row r="999" spans="1:28" x14ac:dyDescent="0.2">
      <c r="A999" s="23"/>
      <c r="B999" s="30"/>
      <c r="C999" s="30"/>
      <c r="D999" s="147"/>
      <c r="E999" s="147"/>
      <c r="F999" s="30"/>
      <c r="G999" s="30"/>
      <c r="H999" s="30"/>
      <c r="I999" s="30"/>
      <c r="J999" s="30"/>
      <c r="K999" s="30"/>
      <c r="L999" s="30"/>
      <c r="M999" s="23"/>
      <c r="N999" s="23"/>
      <c r="O999" s="123"/>
      <c r="AA999" s="136"/>
      <c r="AB999" s="123"/>
    </row>
    <row r="1000" spans="1:28" x14ac:dyDescent="0.2">
      <c r="A1000" s="23"/>
      <c r="B1000" s="30"/>
      <c r="C1000" s="30"/>
      <c r="D1000" s="147"/>
      <c r="E1000" s="147"/>
      <c r="F1000" s="30"/>
      <c r="G1000" s="30"/>
      <c r="H1000" s="30"/>
      <c r="I1000" s="30"/>
      <c r="J1000" s="30"/>
      <c r="K1000" s="30"/>
      <c r="L1000" s="30"/>
      <c r="M1000" s="23"/>
      <c r="N1000" s="23"/>
      <c r="O1000" s="123"/>
      <c r="AA1000" s="136"/>
      <c r="AB1000" s="123"/>
    </row>
    <row r="1001" spans="1:28" x14ac:dyDescent="0.2">
      <c r="A1001" s="23"/>
      <c r="B1001" s="30"/>
      <c r="C1001" s="30"/>
      <c r="D1001" s="147"/>
      <c r="E1001" s="147"/>
      <c r="F1001" s="30"/>
      <c r="G1001" s="30"/>
      <c r="H1001" s="30"/>
      <c r="I1001" s="30"/>
      <c r="J1001" s="30"/>
      <c r="K1001" s="30"/>
      <c r="L1001" s="30"/>
      <c r="M1001" s="23"/>
      <c r="N1001" s="23"/>
      <c r="O1001" s="123"/>
      <c r="AA1001" s="136"/>
      <c r="AB1001" s="123"/>
    </row>
    <row r="1002" spans="1:28" x14ac:dyDescent="0.2">
      <c r="A1002" s="23"/>
      <c r="B1002" s="30"/>
      <c r="C1002" s="30"/>
      <c r="D1002" s="147"/>
      <c r="E1002" s="147"/>
      <c r="F1002" s="30"/>
      <c r="G1002" s="30"/>
      <c r="H1002" s="30"/>
      <c r="I1002" s="30"/>
      <c r="J1002" s="30"/>
      <c r="K1002" s="30"/>
      <c r="L1002" s="30"/>
      <c r="M1002" s="23"/>
      <c r="N1002" s="23"/>
      <c r="O1002" s="123"/>
      <c r="AA1002" s="136"/>
      <c r="AB1002" s="123"/>
    </row>
    <row r="1003" spans="1:28" x14ac:dyDescent="0.2">
      <c r="A1003" s="23"/>
      <c r="B1003" s="30"/>
      <c r="C1003" s="30"/>
      <c r="D1003" s="147"/>
      <c r="E1003" s="147"/>
      <c r="F1003" s="30"/>
      <c r="G1003" s="30"/>
      <c r="H1003" s="30"/>
      <c r="I1003" s="30"/>
      <c r="J1003" s="30"/>
      <c r="K1003" s="30"/>
      <c r="L1003" s="30"/>
      <c r="M1003" s="23"/>
      <c r="N1003" s="23"/>
      <c r="O1003" s="123"/>
      <c r="AA1003" s="136"/>
      <c r="AB1003" s="123"/>
    </row>
    <row r="1004" spans="1:28" x14ac:dyDescent="0.2">
      <c r="A1004" s="23"/>
      <c r="B1004" s="30"/>
      <c r="C1004" s="30"/>
      <c r="D1004" s="147"/>
      <c r="E1004" s="147"/>
      <c r="F1004" s="30"/>
      <c r="G1004" s="30"/>
      <c r="H1004" s="30"/>
      <c r="I1004" s="30"/>
      <c r="J1004" s="30"/>
      <c r="K1004" s="30"/>
      <c r="L1004" s="30"/>
      <c r="M1004" s="23"/>
      <c r="N1004" s="23"/>
      <c r="O1004" s="123"/>
      <c r="AA1004" s="136"/>
      <c r="AB1004" s="123"/>
    </row>
    <row r="1005" spans="1:28" x14ac:dyDescent="0.2">
      <c r="A1005" s="23"/>
      <c r="B1005" s="30"/>
      <c r="C1005" s="30"/>
      <c r="D1005" s="147"/>
      <c r="E1005" s="147"/>
      <c r="F1005" s="30"/>
      <c r="G1005" s="30"/>
      <c r="H1005" s="30"/>
      <c r="I1005" s="30"/>
      <c r="J1005" s="30"/>
      <c r="K1005" s="30"/>
      <c r="L1005" s="30"/>
      <c r="M1005" s="23"/>
      <c r="N1005" s="23"/>
      <c r="O1005" s="123"/>
      <c r="AA1005" s="136"/>
      <c r="AB1005" s="123"/>
    </row>
    <row r="1006" spans="1:28" x14ac:dyDescent="0.2">
      <c r="A1006" s="23"/>
      <c r="B1006" s="30"/>
      <c r="C1006" s="30"/>
      <c r="D1006" s="147"/>
      <c r="E1006" s="147"/>
      <c r="F1006" s="30"/>
      <c r="G1006" s="30"/>
      <c r="H1006" s="30"/>
      <c r="I1006" s="30"/>
      <c r="J1006" s="30"/>
      <c r="K1006" s="30"/>
      <c r="L1006" s="30"/>
      <c r="M1006" s="23"/>
      <c r="N1006" s="23"/>
      <c r="O1006" s="123"/>
      <c r="AA1006" s="136"/>
      <c r="AB1006" s="123"/>
    </row>
    <row r="1007" spans="1:28" x14ac:dyDescent="0.2">
      <c r="A1007" s="23"/>
      <c r="B1007" s="30"/>
      <c r="C1007" s="30"/>
      <c r="D1007" s="147"/>
      <c r="E1007" s="147"/>
      <c r="F1007" s="30"/>
      <c r="G1007" s="30"/>
      <c r="H1007" s="30"/>
      <c r="I1007" s="30"/>
      <c r="J1007" s="30"/>
      <c r="K1007" s="30"/>
      <c r="L1007" s="30"/>
      <c r="M1007" s="23"/>
      <c r="N1007" s="23"/>
      <c r="O1007" s="123"/>
      <c r="AA1007" s="136"/>
      <c r="AB1007" s="123"/>
    </row>
    <row r="1008" spans="1:28" x14ac:dyDescent="0.2">
      <c r="A1008" s="23"/>
      <c r="B1008" s="30"/>
      <c r="C1008" s="30"/>
      <c r="D1008" s="147"/>
      <c r="E1008" s="147"/>
      <c r="F1008" s="30"/>
      <c r="G1008" s="30"/>
      <c r="H1008" s="30"/>
      <c r="I1008" s="30"/>
      <c r="J1008" s="30"/>
      <c r="K1008" s="30"/>
      <c r="L1008" s="30"/>
      <c r="M1008" s="23"/>
      <c r="N1008" s="23"/>
      <c r="O1008" s="123"/>
      <c r="AA1008" s="136"/>
      <c r="AB1008" s="123"/>
    </row>
    <row r="1009" spans="1:28" x14ac:dyDescent="0.2">
      <c r="A1009" s="23"/>
      <c r="B1009" s="30"/>
      <c r="C1009" s="30"/>
      <c r="D1009" s="147"/>
      <c r="E1009" s="147"/>
      <c r="F1009" s="30"/>
      <c r="G1009" s="30"/>
      <c r="H1009" s="30"/>
      <c r="I1009" s="30"/>
      <c r="J1009" s="30"/>
      <c r="K1009" s="30"/>
      <c r="L1009" s="30"/>
      <c r="M1009" s="23"/>
      <c r="N1009" s="23"/>
      <c r="O1009" s="123"/>
      <c r="AA1009" s="136"/>
      <c r="AB1009" s="123"/>
    </row>
    <row r="1010" spans="1:28" x14ac:dyDescent="0.2">
      <c r="A1010" s="23"/>
      <c r="B1010" s="30"/>
      <c r="C1010" s="30"/>
      <c r="D1010" s="147"/>
      <c r="E1010" s="147"/>
      <c r="F1010" s="30"/>
      <c r="G1010" s="30"/>
      <c r="H1010" s="30"/>
      <c r="I1010" s="30"/>
      <c r="J1010" s="30"/>
      <c r="K1010" s="30"/>
      <c r="L1010" s="30"/>
      <c r="M1010" s="23"/>
      <c r="N1010" s="23"/>
      <c r="O1010" s="123"/>
      <c r="AA1010" s="136"/>
      <c r="AB1010" s="123"/>
    </row>
    <row r="1011" spans="1:28" x14ac:dyDescent="0.2">
      <c r="A1011" s="23"/>
      <c r="B1011" s="30"/>
      <c r="C1011" s="30"/>
      <c r="D1011" s="147"/>
      <c r="E1011" s="147"/>
      <c r="F1011" s="30"/>
      <c r="G1011" s="30"/>
      <c r="H1011" s="30"/>
      <c r="I1011" s="30"/>
      <c r="J1011" s="30"/>
      <c r="K1011" s="30"/>
      <c r="L1011" s="30"/>
      <c r="M1011" s="23"/>
      <c r="N1011" s="23"/>
      <c r="O1011" s="123"/>
      <c r="AA1011" s="136"/>
      <c r="AB1011" s="123"/>
    </row>
    <row r="1012" spans="1:28" x14ac:dyDescent="0.2">
      <c r="A1012" s="23"/>
      <c r="B1012" s="30"/>
      <c r="C1012" s="30"/>
      <c r="D1012" s="147"/>
      <c r="E1012" s="147"/>
      <c r="F1012" s="30"/>
      <c r="G1012" s="30"/>
      <c r="H1012" s="30"/>
      <c r="I1012" s="30"/>
      <c r="J1012" s="30"/>
      <c r="K1012" s="30"/>
      <c r="L1012" s="30"/>
      <c r="M1012" s="23"/>
      <c r="N1012" s="23"/>
      <c r="O1012" s="123"/>
      <c r="AA1012" s="136"/>
      <c r="AB1012" s="123"/>
    </row>
    <row r="1013" spans="1:28" x14ac:dyDescent="0.2">
      <c r="A1013" s="23"/>
      <c r="B1013" s="30"/>
      <c r="C1013" s="30"/>
      <c r="D1013" s="147"/>
      <c r="E1013" s="147"/>
      <c r="F1013" s="30"/>
      <c r="G1013" s="30"/>
      <c r="H1013" s="30"/>
      <c r="I1013" s="30"/>
      <c r="J1013" s="30"/>
      <c r="K1013" s="30"/>
      <c r="L1013" s="30"/>
      <c r="M1013" s="23"/>
      <c r="N1013" s="23"/>
      <c r="O1013" s="123"/>
      <c r="AA1013" s="136"/>
      <c r="AB1013" s="123"/>
    </row>
    <row r="1014" spans="1:28" x14ac:dyDescent="0.2">
      <c r="A1014" s="23"/>
      <c r="B1014" s="30"/>
      <c r="C1014" s="30"/>
      <c r="D1014" s="147"/>
      <c r="E1014" s="147"/>
      <c r="F1014" s="30"/>
      <c r="G1014" s="30"/>
      <c r="H1014" s="30"/>
      <c r="I1014" s="30"/>
      <c r="J1014" s="30"/>
      <c r="K1014" s="30"/>
      <c r="L1014" s="30"/>
      <c r="M1014" s="23"/>
      <c r="N1014" s="23"/>
      <c r="O1014" s="123"/>
      <c r="AA1014" s="136"/>
      <c r="AB1014" s="123"/>
    </row>
    <row r="1015" spans="1:28" x14ac:dyDescent="0.2">
      <c r="A1015" s="23"/>
      <c r="B1015" s="30"/>
      <c r="C1015" s="30"/>
      <c r="D1015" s="147"/>
      <c r="E1015" s="147"/>
      <c r="F1015" s="30"/>
      <c r="G1015" s="30"/>
      <c r="H1015" s="30"/>
      <c r="I1015" s="30"/>
      <c r="J1015" s="30"/>
      <c r="K1015" s="30"/>
      <c r="L1015" s="30"/>
      <c r="M1015" s="23"/>
      <c r="N1015" s="23"/>
      <c r="O1015" s="123"/>
      <c r="AA1015" s="136"/>
      <c r="AB1015" s="123"/>
    </row>
    <row r="1016" spans="1:28" x14ac:dyDescent="0.2">
      <c r="A1016" s="23"/>
      <c r="B1016" s="30"/>
      <c r="C1016" s="30"/>
      <c r="D1016" s="147"/>
      <c r="E1016" s="147"/>
      <c r="F1016" s="30"/>
      <c r="G1016" s="30"/>
      <c r="H1016" s="30"/>
      <c r="I1016" s="30"/>
      <c r="J1016" s="30"/>
      <c r="K1016" s="30"/>
      <c r="L1016" s="30"/>
      <c r="M1016" s="23"/>
      <c r="N1016" s="23"/>
      <c r="O1016" s="123"/>
      <c r="AA1016" s="136"/>
      <c r="AB1016" s="123"/>
    </row>
    <row r="1017" spans="1:28" x14ac:dyDescent="0.2">
      <c r="A1017" s="23"/>
      <c r="B1017" s="30"/>
      <c r="C1017" s="30"/>
      <c r="D1017" s="147"/>
      <c r="E1017" s="147"/>
      <c r="F1017" s="30"/>
      <c r="G1017" s="30"/>
      <c r="H1017" s="30"/>
      <c r="I1017" s="30"/>
      <c r="J1017" s="30"/>
      <c r="K1017" s="30"/>
      <c r="L1017" s="30"/>
      <c r="M1017" s="23"/>
      <c r="N1017" s="23"/>
      <c r="O1017" s="123"/>
      <c r="AA1017" s="136"/>
      <c r="AB1017" s="123"/>
    </row>
    <row r="1018" spans="1:28" x14ac:dyDescent="0.2">
      <c r="A1018" s="23"/>
      <c r="B1018" s="30"/>
      <c r="C1018" s="30"/>
      <c r="D1018" s="147"/>
      <c r="E1018" s="147"/>
      <c r="F1018" s="30"/>
      <c r="G1018" s="30"/>
      <c r="H1018" s="30"/>
      <c r="I1018" s="30"/>
      <c r="J1018" s="30"/>
      <c r="K1018" s="30"/>
      <c r="L1018" s="30"/>
      <c r="M1018" s="23"/>
      <c r="N1018" s="23"/>
      <c r="O1018" s="123"/>
      <c r="AA1018" s="136"/>
      <c r="AB1018" s="123"/>
    </row>
    <row r="1019" spans="1:28" x14ac:dyDescent="0.2">
      <c r="A1019" s="23"/>
      <c r="B1019" s="30"/>
      <c r="C1019" s="30"/>
      <c r="D1019" s="147"/>
      <c r="E1019" s="147"/>
      <c r="F1019" s="30"/>
      <c r="G1019" s="30"/>
      <c r="H1019" s="30"/>
      <c r="I1019" s="30"/>
      <c r="J1019" s="30"/>
      <c r="K1019" s="30"/>
      <c r="L1019" s="30"/>
      <c r="M1019" s="23"/>
      <c r="N1019" s="23"/>
      <c r="O1019" s="123"/>
      <c r="AA1019" s="136"/>
      <c r="AB1019" s="123"/>
    </row>
    <row r="1020" spans="1:28" x14ac:dyDescent="0.2">
      <c r="A1020" s="23"/>
      <c r="B1020" s="30"/>
      <c r="C1020" s="30"/>
      <c r="D1020" s="147"/>
      <c r="E1020" s="147"/>
      <c r="F1020" s="30"/>
      <c r="G1020" s="30"/>
      <c r="H1020" s="30"/>
      <c r="I1020" s="30"/>
      <c r="J1020" s="30"/>
      <c r="K1020" s="30"/>
      <c r="L1020" s="30"/>
      <c r="M1020" s="23"/>
      <c r="N1020" s="23"/>
      <c r="O1020" s="123"/>
      <c r="AA1020" s="136"/>
      <c r="AB1020" s="123"/>
    </row>
    <row r="1021" spans="1:28" x14ac:dyDescent="0.2">
      <c r="A1021" s="23"/>
      <c r="B1021" s="30"/>
      <c r="C1021" s="30"/>
      <c r="D1021" s="147"/>
      <c r="E1021" s="147"/>
      <c r="F1021" s="30"/>
      <c r="G1021" s="30"/>
      <c r="H1021" s="30"/>
      <c r="I1021" s="30"/>
      <c r="J1021" s="30"/>
      <c r="K1021" s="30"/>
      <c r="L1021" s="30"/>
      <c r="M1021" s="23"/>
      <c r="N1021" s="23"/>
      <c r="O1021" s="123"/>
      <c r="AA1021" s="136"/>
      <c r="AB1021" s="123"/>
    </row>
    <row r="1022" spans="1:28" x14ac:dyDescent="0.2">
      <c r="A1022" s="23"/>
      <c r="B1022" s="30"/>
      <c r="C1022" s="30"/>
      <c r="D1022" s="147"/>
      <c r="E1022" s="147"/>
      <c r="F1022" s="30"/>
      <c r="G1022" s="30"/>
      <c r="H1022" s="30"/>
      <c r="I1022" s="30"/>
      <c r="J1022" s="30"/>
      <c r="K1022" s="30"/>
      <c r="L1022" s="30"/>
      <c r="M1022" s="23"/>
      <c r="N1022" s="23"/>
      <c r="O1022" s="123"/>
      <c r="AA1022" s="136"/>
      <c r="AB1022" s="123"/>
    </row>
    <row r="1023" spans="1:28" x14ac:dyDescent="0.2">
      <c r="A1023" s="23"/>
      <c r="B1023" s="30"/>
      <c r="C1023" s="30"/>
      <c r="D1023" s="147"/>
      <c r="E1023" s="147"/>
      <c r="F1023" s="30"/>
      <c r="G1023" s="30"/>
      <c r="H1023" s="30"/>
      <c r="I1023" s="30"/>
      <c r="J1023" s="30"/>
      <c r="K1023" s="30"/>
      <c r="L1023" s="30"/>
      <c r="M1023" s="23"/>
      <c r="N1023" s="23"/>
      <c r="O1023" s="123"/>
      <c r="AA1023" s="136"/>
      <c r="AB1023" s="123"/>
    </row>
    <row r="1024" spans="1:28" x14ac:dyDescent="0.2">
      <c r="A1024" s="23"/>
      <c r="B1024" s="30"/>
      <c r="C1024" s="30"/>
      <c r="D1024" s="147"/>
      <c r="E1024" s="147"/>
      <c r="F1024" s="30"/>
      <c r="G1024" s="30"/>
      <c r="H1024" s="30"/>
      <c r="I1024" s="30"/>
      <c r="J1024" s="30"/>
      <c r="K1024" s="30"/>
      <c r="L1024" s="30"/>
      <c r="M1024" s="23"/>
      <c r="N1024" s="23"/>
      <c r="O1024" s="123"/>
      <c r="AA1024" s="136"/>
      <c r="AB1024" s="123"/>
    </row>
    <row r="1025" spans="1:28" x14ac:dyDescent="0.2">
      <c r="A1025" s="23"/>
      <c r="B1025" s="30"/>
      <c r="C1025" s="30"/>
      <c r="D1025" s="147"/>
      <c r="E1025" s="147"/>
      <c r="F1025" s="30"/>
      <c r="G1025" s="30"/>
      <c r="H1025" s="30"/>
      <c r="I1025" s="30"/>
      <c r="J1025" s="30"/>
      <c r="K1025" s="30"/>
      <c r="L1025" s="30"/>
      <c r="M1025" s="23"/>
      <c r="N1025" s="23"/>
      <c r="O1025" s="123"/>
      <c r="AA1025" s="136"/>
      <c r="AB1025" s="123"/>
    </row>
    <row r="1026" spans="1:28" x14ac:dyDescent="0.2">
      <c r="A1026" s="23"/>
      <c r="B1026" s="30"/>
      <c r="C1026" s="30"/>
      <c r="D1026" s="147"/>
      <c r="E1026" s="147"/>
      <c r="F1026" s="30"/>
      <c r="G1026" s="30"/>
      <c r="H1026" s="30"/>
      <c r="I1026" s="30"/>
      <c r="J1026" s="30"/>
      <c r="K1026" s="30"/>
      <c r="L1026" s="30"/>
      <c r="M1026" s="23"/>
      <c r="N1026" s="23"/>
      <c r="O1026" s="123"/>
      <c r="AA1026" s="136"/>
      <c r="AB1026" s="123"/>
    </row>
    <row r="1027" spans="1:28" x14ac:dyDescent="0.2">
      <c r="A1027" s="23"/>
      <c r="B1027" s="30"/>
      <c r="C1027" s="30"/>
      <c r="D1027" s="147"/>
      <c r="E1027" s="147"/>
      <c r="F1027" s="30"/>
      <c r="G1027" s="30"/>
      <c r="H1027" s="30"/>
      <c r="I1027" s="30"/>
      <c r="J1027" s="30"/>
      <c r="K1027" s="30"/>
      <c r="L1027" s="30"/>
      <c r="M1027" s="23"/>
      <c r="N1027" s="23"/>
      <c r="O1027" s="123"/>
      <c r="AA1027" s="136"/>
      <c r="AB1027" s="123"/>
    </row>
    <row r="1028" spans="1:28" x14ac:dyDescent="0.2">
      <c r="A1028" s="23"/>
      <c r="B1028" s="30"/>
      <c r="C1028" s="30"/>
      <c r="D1028" s="147"/>
      <c r="E1028" s="147"/>
      <c r="F1028" s="30"/>
      <c r="G1028" s="30"/>
      <c r="H1028" s="30"/>
      <c r="I1028" s="30"/>
      <c r="J1028" s="30"/>
      <c r="K1028" s="30"/>
      <c r="L1028" s="30"/>
      <c r="M1028" s="23"/>
      <c r="N1028" s="23"/>
      <c r="O1028" s="123"/>
      <c r="AA1028" s="136"/>
      <c r="AB1028" s="123"/>
    </row>
    <row r="1029" spans="1:28" x14ac:dyDescent="0.2">
      <c r="A1029" s="23"/>
      <c r="B1029" s="30"/>
      <c r="C1029" s="30"/>
      <c r="D1029" s="147"/>
      <c r="E1029" s="147"/>
      <c r="F1029" s="30"/>
      <c r="G1029" s="30"/>
      <c r="H1029" s="30"/>
      <c r="I1029" s="30"/>
      <c r="J1029" s="30"/>
      <c r="K1029" s="30"/>
      <c r="L1029" s="30"/>
      <c r="M1029" s="23"/>
      <c r="N1029" s="23"/>
      <c r="O1029" s="123"/>
      <c r="AA1029" s="136"/>
      <c r="AB1029" s="123"/>
    </row>
    <row r="1030" spans="1:28" x14ac:dyDescent="0.2">
      <c r="A1030" s="23"/>
      <c r="B1030" s="30"/>
      <c r="C1030" s="30"/>
      <c r="D1030" s="147"/>
      <c r="E1030" s="147"/>
      <c r="F1030" s="30"/>
      <c r="G1030" s="30"/>
      <c r="H1030" s="30"/>
      <c r="I1030" s="30"/>
      <c r="J1030" s="30"/>
      <c r="K1030" s="30"/>
      <c r="L1030" s="30"/>
      <c r="M1030" s="23"/>
      <c r="N1030" s="23"/>
      <c r="O1030" s="123"/>
      <c r="AA1030" s="136"/>
      <c r="AB1030" s="123"/>
    </row>
    <row r="1031" spans="1:28" x14ac:dyDescent="0.2">
      <c r="A1031" s="23"/>
      <c r="B1031" s="30"/>
      <c r="C1031" s="30"/>
      <c r="D1031" s="147"/>
      <c r="E1031" s="147"/>
      <c r="F1031" s="30"/>
      <c r="G1031" s="30"/>
      <c r="H1031" s="30"/>
      <c r="I1031" s="30"/>
      <c r="J1031" s="30"/>
      <c r="K1031" s="30"/>
      <c r="L1031" s="30"/>
      <c r="M1031" s="23"/>
      <c r="N1031" s="23"/>
      <c r="O1031" s="123"/>
      <c r="AA1031" s="136"/>
      <c r="AB1031" s="123"/>
    </row>
  </sheetData>
  <mergeCells count="21">
    <mergeCell ref="AA116:AB116"/>
    <mergeCell ref="AA152:AB152"/>
    <mergeCell ref="AA100:AB100"/>
    <mergeCell ref="AA158:AB158"/>
    <mergeCell ref="AA159:AB159"/>
    <mergeCell ref="AA2:AB2"/>
    <mergeCell ref="U2:V2"/>
    <mergeCell ref="AA112:AB112"/>
    <mergeCell ref="L2:M2"/>
    <mergeCell ref="N2:O2"/>
    <mergeCell ref="D1:O1"/>
    <mergeCell ref="P2:R2"/>
    <mergeCell ref="F2:G2"/>
    <mergeCell ref="P1:V1"/>
    <mergeCell ref="U156:V156"/>
    <mergeCell ref="S2:T2"/>
    <mergeCell ref="AA161:AB161"/>
    <mergeCell ref="AA160:AB160"/>
    <mergeCell ref="AA162:AB162"/>
    <mergeCell ref="P156:R156"/>
    <mergeCell ref="S156:T156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0"/>
  <sheetViews>
    <sheetView workbookViewId="0">
      <selection activeCell="B3" sqref="B3"/>
    </sheetView>
  </sheetViews>
  <sheetFormatPr defaultRowHeight="15" x14ac:dyDescent="0.25"/>
  <cols>
    <col min="1" max="1" width="16.42578125" bestFit="1" customWidth="1"/>
  </cols>
  <sheetData>
    <row r="1" spans="1:2" x14ac:dyDescent="0.25">
      <c r="A1" t="s">
        <v>330</v>
      </c>
      <c r="B1" t="s">
        <v>553</v>
      </c>
    </row>
    <row r="2" spans="1:2" x14ac:dyDescent="0.25">
      <c r="B2" t="s">
        <v>560</v>
      </c>
    </row>
    <row r="5" spans="1:2" x14ac:dyDescent="0.25">
      <c r="A5" t="s">
        <v>44</v>
      </c>
      <c r="B5" t="s">
        <v>545</v>
      </c>
    </row>
    <row r="6" spans="1:2" x14ac:dyDescent="0.25">
      <c r="B6" t="s">
        <v>552</v>
      </c>
    </row>
    <row r="8" spans="1:2" x14ac:dyDescent="0.25">
      <c r="A8" t="s">
        <v>547</v>
      </c>
      <c r="B8" t="s">
        <v>557</v>
      </c>
    </row>
    <row r="9" spans="1:2" x14ac:dyDescent="0.25">
      <c r="B9" t="s">
        <v>544</v>
      </c>
    </row>
    <row r="10" spans="1:2" x14ac:dyDescent="0.25">
      <c r="B10" t="s">
        <v>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1"/>
  <sheetViews>
    <sheetView workbookViewId="0">
      <selection activeCell="H20" sqref="H20"/>
    </sheetView>
  </sheetViews>
  <sheetFormatPr defaultRowHeight="15" x14ac:dyDescent="0.25"/>
  <cols>
    <col min="1" max="1" width="23" customWidth="1"/>
    <col min="2" max="4" width="18.85546875" customWidth="1"/>
    <col min="5" max="5" width="17.140625" customWidth="1"/>
    <col min="6" max="6" width="5.5703125" bestFit="1" customWidth="1"/>
    <col min="7" max="7" width="4.5703125" customWidth="1"/>
    <col min="8" max="8" width="15.28515625" bestFit="1" customWidth="1"/>
    <col min="9" max="9" width="5.5703125" bestFit="1" customWidth="1"/>
    <col min="10" max="10" width="4.42578125" bestFit="1" customWidth="1"/>
    <col min="11" max="13" width="6" customWidth="1"/>
    <col min="14" max="14" width="2" bestFit="1" customWidth="1"/>
    <col min="15" max="15" width="4.5703125" bestFit="1" customWidth="1"/>
    <col min="16" max="16" width="2" bestFit="1" customWidth="1"/>
    <col min="17" max="17" width="9" bestFit="1" customWidth="1"/>
    <col min="18" max="18" width="4.42578125" bestFit="1" customWidth="1"/>
  </cols>
  <sheetData>
    <row r="1" spans="1:17" x14ac:dyDescent="0.25">
      <c r="A1" s="12" t="s">
        <v>0</v>
      </c>
      <c r="B1" s="12"/>
      <c r="C1" s="12"/>
      <c r="D1" s="163"/>
      <c r="E1" s="167" t="s">
        <v>43</v>
      </c>
      <c r="F1" s="56"/>
      <c r="G1" s="56"/>
      <c r="H1" s="56" t="s">
        <v>44</v>
      </c>
      <c r="I1" s="56"/>
    </row>
    <row r="2" spans="1:17" x14ac:dyDescent="0.25">
      <c r="A2" s="13" t="s">
        <v>1</v>
      </c>
      <c r="B2" s="13" t="s">
        <v>2</v>
      </c>
      <c r="C2" s="98" t="s">
        <v>3</v>
      </c>
      <c r="D2" s="164" t="s">
        <v>151</v>
      </c>
      <c r="E2" s="168" t="s">
        <v>519</v>
      </c>
      <c r="F2" s="65"/>
      <c r="G2" s="1"/>
      <c r="H2" s="56" t="s">
        <v>336</v>
      </c>
      <c r="I2" s="65"/>
      <c r="Q2" s="7"/>
    </row>
    <row r="3" spans="1:17" x14ac:dyDescent="0.25">
      <c r="A3" s="13" t="s">
        <v>152</v>
      </c>
      <c r="B3" s="98" t="s">
        <v>153</v>
      </c>
      <c r="C3" s="13" t="s">
        <v>154</v>
      </c>
      <c r="D3" s="165"/>
      <c r="E3" s="167"/>
      <c r="F3" s="56"/>
      <c r="G3" s="56"/>
      <c r="H3" s="56"/>
      <c r="I3" s="56"/>
    </row>
    <row r="4" spans="1:17" x14ac:dyDescent="0.25">
      <c r="A4" s="13" t="s">
        <v>155</v>
      </c>
      <c r="B4" s="98" t="s">
        <v>156</v>
      </c>
      <c r="C4" s="98" t="s">
        <v>4</v>
      </c>
      <c r="D4" s="165"/>
      <c r="E4" s="167"/>
      <c r="F4" s="56"/>
      <c r="G4" s="56"/>
      <c r="H4" s="56"/>
      <c r="I4" s="56"/>
    </row>
    <row r="5" spans="1:17" x14ac:dyDescent="0.25">
      <c r="A5" s="13" t="s">
        <v>157</v>
      </c>
      <c r="B5" s="13" t="s">
        <v>38</v>
      </c>
      <c r="C5" s="13" t="s">
        <v>158</v>
      </c>
      <c r="D5" s="166" t="s">
        <v>5</v>
      </c>
      <c r="E5" s="168" t="s">
        <v>520</v>
      </c>
      <c r="F5" s="56"/>
      <c r="G5" s="56"/>
      <c r="H5" s="56"/>
      <c r="I5" s="56"/>
    </row>
    <row r="6" spans="1:17" x14ac:dyDescent="0.25">
      <c r="A6" s="13" t="s">
        <v>160</v>
      </c>
      <c r="B6" s="98" t="s">
        <v>165</v>
      </c>
      <c r="C6" s="13" t="s">
        <v>166</v>
      </c>
      <c r="D6" s="165"/>
      <c r="E6" s="167"/>
      <c r="F6" s="56"/>
      <c r="G6" s="56"/>
      <c r="H6" s="56"/>
      <c r="I6" s="56"/>
    </row>
    <row r="7" spans="1:17" x14ac:dyDescent="0.25">
      <c r="A7" s="13" t="s">
        <v>162</v>
      </c>
      <c r="B7" s="98" t="s">
        <v>163</v>
      </c>
      <c r="C7" s="13" t="s">
        <v>164</v>
      </c>
      <c r="D7" s="14"/>
    </row>
    <row r="8" spans="1:17" x14ac:dyDescent="0.25">
      <c r="A8" s="13" t="s">
        <v>159</v>
      </c>
      <c r="B8" s="98" t="s">
        <v>6</v>
      </c>
      <c r="C8" s="13" t="s">
        <v>7</v>
      </c>
      <c r="D8" s="14"/>
    </row>
    <row r="9" spans="1:17" x14ac:dyDescent="0.25">
      <c r="A9" s="13" t="s">
        <v>8</v>
      </c>
      <c r="B9" s="13" t="s">
        <v>9</v>
      </c>
      <c r="C9" s="98" t="s">
        <v>161</v>
      </c>
      <c r="D9" s="14"/>
    </row>
    <row r="10" spans="1:17" x14ac:dyDescent="0.25">
      <c r="A10" s="17" t="s">
        <v>167</v>
      </c>
      <c r="B10" s="17" t="s">
        <v>168</v>
      </c>
      <c r="C10" s="17" t="s">
        <v>169</v>
      </c>
      <c r="D10" s="18"/>
    </row>
    <row r="11" spans="1:17" x14ac:dyDescent="0.25">
      <c r="A11" s="19" t="s">
        <v>10</v>
      </c>
      <c r="B11" s="19" t="s">
        <v>11</v>
      </c>
      <c r="C11" s="98" t="s">
        <v>12</v>
      </c>
      <c r="D11" s="19" t="s">
        <v>13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8"/>
  <sheetViews>
    <sheetView workbookViewId="0">
      <selection activeCell="I17" sqref="I17"/>
    </sheetView>
  </sheetViews>
  <sheetFormatPr defaultRowHeight="15" x14ac:dyDescent="0.25"/>
  <cols>
    <col min="1" max="1" width="28.85546875" bestFit="1" customWidth="1"/>
    <col min="2" max="2" width="87.42578125" bestFit="1" customWidth="1"/>
  </cols>
  <sheetData>
    <row r="1" spans="1:2" x14ac:dyDescent="0.25">
      <c r="A1" t="s">
        <v>14</v>
      </c>
    </row>
    <row r="3" spans="1:2" x14ac:dyDescent="0.25">
      <c r="A3" t="s">
        <v>15</v>
      </c>
      <c r="B3" t="s">
        <v>16</v>
      </c>
    </row>
    <row r="4" spans="1:2" x14ac:dyDescent="0.25">
      <c r="A4" t="s">
        <v>17</v>
      </c>
      <c r="B4" t="s">
        <v>18</v>
      </c>
    </row>
    <row r="5" spans="1:2" x14ac:dyDescent="0.25">
      <c r="A5" t="s">
        <v>19</v>
      </c>
      <c r="B5" t="s">
        <v>20</v>
      </c>
    </row>
    <row r="6" spans="1:2" x14ac:dyDescent="0.25">
      <c r="A6" t="s">
        <v>21</v>
      </c>
      <c r="B6" t="s">
        <v>22</v>
      </c>
    </row>
    <row r="7" spans="1:2" x14ac:dyDescent="0.25">
      <c r="A7" t="s">
        <v>23</v>
      </c>
      <c r="B7" t="s">
        <v>24</v>
      </c>
    </row>
    <row r="8" spans="1:2" x14ac:dyDescent="0.25">
      <c r="A8" t="s">
        <v>25</v>
      </c>
      <c r="B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Input</vt:lpstr>
      <vt:lpstr>Gas InOut</vt:lpstr>
      <vt:lpstr>Water InOut</vt:lpstr>
      <vt:lpstr>Crop</vt:lpstr>
      <vt:lpstr>MassEstimate</vt:lpstr>
      <vt:lpstr>Assumption</vt:lpstr>
      <vt:lpstr>MorphMatrix</vt:lpstr>
      <vt:lpstr>Failure Condition</vt:lpstr>
      <vt:lpstr>ALSSAT Table</vt:lpstr>
      <vt:lpstr>Todolist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Doi</dc:creator>
  <cp:lastModifiedBy>Tatsuya Doi</cp:lastModifiedBy>
  <dcterms:created xsi:type="dcterms:W3CDTF">2015-02-15T18:55:22Z</dcterms:created>
  <dcterms:modified xsi:type="dcterms:W3CDTF">2015-04-20T03:29:28Z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