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-share" sheetId="1" r:id="rId1"/>
  </sheets>
  <definedNames>
    <definedName name="BoardQty" localSheetId="0">'power-share'!$G$1</definedName>
    <definedName name="PURCHASE_DESCRIPTION" localSheetId="0">'power-share'!$G$24</definedName>
    <definedName name="TotalCost" localSheetId="0">'power-share'!$G$3</definedName>
    <definedName name="USD_GBP" localSheetId="0">'power-share'!$C$24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50   $0.23     $11.35
   100   $0.20     $19.80
   250   $0.17     $43.75
   500   $0.15     $76.50
  1000   $0.15    $146.00</t>
        </r>
      </text>
    </comment>
    <comment ref="T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V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£0.32      £0.32
     5   £0.32      £1.59
    10   £0.32      £3.16
    20   £0.27      £5.40
   150   £0.27     £40.50</t>
        </r>
      </text>
    </comment>
    <comment ref="AF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H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$0.26      $2.60
    50   $0.22     $10.95
   100   $0.19     $19.10
  1000   $0.14    $141.00
 10000   $0.14  $1,410.00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N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$0.32      $3.22
    25   $0.30      $7.60
    50   $0.29     $14.35
   100   $0.25     $25.30
   250   $0.23     $56.50
   500   $0.20    $100.00</t>
        </r>
      </text>
    </comment>
    <comment ref="AT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£0.21      £5.20
   125   £0.13     £16.12
   250   £0.12     £30.50
   500   £0.11     £54.50
  1000   £0.11    £112.00
  2500   £0.10    £260.00</t>
        </r>
      </text>
    </comment>
    <comment ref="H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$1.21      $1.21</t>
        </r>
      </text>
    </comment>
    <comment ref="P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$1.30      $1.30
    10   $1.02     $10.25
    50   $0.89     $44.40
   100   $0.77     $76.85
   500   $0.50    $252.45</t>
        </r>
      </text>
    </comment>
    <comment ref="V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£1.36      £1.36
    10   £0.90      £8.95
    50   £0.72     £36.20
   100   £0.62     £61.60
   200   £0.60    £120.80
   500   £0.46    £229.50
  2500   £0.45  £1,127.50</t>
        </r>
      </text>
    </comment>
    <comment ref="AH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$1.29      $1.29
    10   $0.89      $8.88
    50   $0.89     $44.40
   100   $0.77     $76.90
  1000   $0.49    $490.00
 10000   $0.42  $4,160.00</t>
        </r>
      </text>
    </comment>
    <comment ref="AN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$0.55      $0.55
    10   $1.22     $12.20
    25   $1.17     $29.25
    50   $1.11     $55.50
   100   $1.06    $106.00
   500   $0.55    $273.50
  1000   $0.54    $539.00
  2000   $0.52  $1,042.00
  3000   $0.50  $1,509.00
  5000   $0.48  $2,425.00</t>
        </r>
      </text>
    </comment>
    <comment ref="AT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£1.25      £6.24
    50   £1.16     £58.00
   100   £1.07    £107.40
   250   £1.00    £249.50
   500   £0.91    £456.00
  1000   £0.59    £586.00
  5000   £0.35  £1,740.00</t>
        </r>
      </text>
    </comment>
    <comment ref="J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$0.00     $45.00</t>
        </r>
      </text>
    </comment>
    <comment ref="P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$0.02      $0.79
   100   $0.01      $1.29
   500   $0.01      $4.62
  1000   $0.01      $7.26
  2500   $0.01     $16.50
  5000   $0.01     $30.35
 10000   $0.01     $50.40</t>
        </r>
      </text>
    </comment>
    <comment ref="V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£0.15
   150   £0.01      £2.23
   500   £0.01      £4.05
  2500   £0.01     £14.00
 10000   £0.00     £45.00
 25000   £0.00    £110.00
 50000   £0.00    £215.00
250000   £0.00  £1,050.00</t>
        </r>
      </text>
    </comment>
    <comment ref="AB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$0.03      $1.47
   500   $0.02     $10.71
  1500   $0.02     $29.94
  5000   $0.02     $92.50
 25000   $0.02    $446.25
 50000   $0.02    $876.50</t>
        </r>
      </text>
    </comment>
    <comment ref="AH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$0.50
    50   $0.05      $2.50
   100   $0.02      $1.80
  1000   $0.01     $10.00
 10000   $0.01     $70.00</t>
        </r>
      </text>
    </comment>
    <comment ref="AN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$0.06      $0.60
    25   $0.05      $1.18
    50   $0.03      $1.70
   100   $0.02      $2.20
 10000   $0.01     $80.00
 50000   $0.01    $400.00</t>
        </r>
      </text>
    </comment>
    <comment ref="AT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200   £0.01      £3.00
  2000   £0.01     £16.00
  4000   £0.01     £28.00
 10000   £0.01     £50.00
 20000   £0.01    £120.00</t>
        </r>
      </text>
    </comment>
    <comment ref="H1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P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$2.00
    50   $0.12      $5.99
   100   $0.10     $10.11
   500   $0.07     $34.59
  1000   $0.06     $61.21
  3000   $0.06    $175.62</t>
        </r>
      </text>
    </comment>
    <comment ref="AF1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H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$0.31      $0.31
    10   $0.21      $2.12
    50   $0.21     $10.60
   100   $0.11     $10.80
  1000   $0.07     $65.00
 10000   $0.06    $610.00</t>
        </r>
      </text>
    </comment>
    <comment ref="J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$0.17    $517.80</t>
        </r>
      </text>
    </comment>
    <comment ref="P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$0.42      $4.18
   100   $0.31     $31.23
   500   $0.25    $122.69
  1000   $0.19    $189.62
  3000   $0.17    $518.67
  6000   $0.17  $1,003.86</t>
        </r>
      </text>
    </comment>
    <comment ref="V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£0.55      £2.77
    10   £0.46      £4.56
   100   £0.31     £30.60
   500   £0.25    £123.00</t>
        </r>
      </text>
    </comment>
    <comment ref="AH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$0.42      $4.19
    50   $0.42     $20.95
   100   $0.31     $31.30
  1000   $0.20    $202.00
 10000   $0.17  $1,720.00</t>
        </r>
      </text>
    </comment>
    <comment ref="AN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 5   $0.65      $3.23
    10   $0.55      $5.46
   100   $0.41     $41.00
   500   $0.33    $164.50
  1000   $0.26    $261.00</t>
        </r>
      </text>
    </comment>
    <comment ref="AT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£0.30      £7.58
   250   £0.23     £57.25
   625   £0.22    £139.38
  1250   £0.22    £271.25
  2500   £0.21    £530.00
  3000   £0.12    £372.00
  6000   £0.12    £726.00</t>
        </r>
      </text>
    </comment>
    <comment ref="AX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Z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3   £0.22      £0.65
    25   £0.17      £4.23
   100   £0.15     £14.95
   500   £0.13     £64.13
  3000   £0.12    £346.80</t>
        </r>
      </text>
    </comment>
    <comment ref="J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$1.18      $1.18</t>
        </r>
      </text>
    </comment>
    <comment ref="P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$1.36      $1.36
    10   $1.26     $12.62
    25   $1.16     $29.11
    50   $0.97     $48.52
   100   $0.91     $91.22
   250   $0.82    $203.80
   600   $0.70    $419.25</t>
        </r>
      </text>
    </comment>
    <comment ref="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£1.43      £1.43
    10   £1.01     £10.10
    50   £0.82     £40.80
   100   £0.74     £74.50
   600   £0.53    £317.40
  1200   £0.44    £525.60</t>
        </r>
      </text>
    </comment>
    <comment ref="AH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$1.36      $1.36
    10   $1.02     $10.20
    50   $1.02     $51.00
   100   $0.91     $91.30
  1000   $0.70    $699.00
 10000   $0.70  $6,990.00</t>
        </r>
      </text>
    </comment>
    <comment ref="AN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$1.12      $1.12
    10   $0.97      $9.67
    25   $0.89     $22.23
    50   $0.81     $40.45
   100   $0.76     $76.10
   250   $0.68    $170.75
   600   $0.52    $312.60
  1200   $0.52    $625.20</t>
        </r>
      </text>
    </comment>
    <comment ref="AT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600   £0.40    £237.60
  1200   £0.39    £462.00
  2400   £0.38    £900.00
  3000   £0.36  £1,095.00
  5400   £0.36  £1,922.40</t>
        </r>
      </text>
    </comment>
    <comment ref="J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800   $0.61    $488.48
  1600   $0.60    $961.60
  3200   $0.54  $1,740.48</t>
        </r>
      </text>
    </comment>
    <comment ref="P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$1.42      $1.42
    10   $1.21     $12.11
   100   $1.00    $100.05
  1000   $0.79    $789.86
  5000   $0.70  $3,501.70
 10000   $0.68  $6,845.50</t>
        </r>
      </text>
    </comment>
    <comment ref="V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£1.13      £1.13
    10   £0.97      £9.72
    50   £0.89     £44.30
   100   £0.80     £80.00
   500   £0.73    £367.00
  1000   £0.63    £629.00
  6400   £0.46  £2,912.00</t>
        </r>
      </text>
    </comment>
    <comment ref="AH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$1.49      $1.49
    10   $1.27     $12.70
    50   $1.27     $63.50
   100   $1.05    $105.00
  1000   $0.96    $963.00
 10000   $0.71  $7,150.00</t>
        </r>
      </text>
    </comment>
    <comment ref="AN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$1.52      $1.52
    10   $1.30     $13.00
    25   $1.22     $30.50
    50   $1.15     $57.50
   100   $1.07    $107.00
   250   $1.03    $257.50</t>
        </r>
      </text>
    </comment>
    <comment ref="AT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£1.17     £11.74
   200   £1.02    £203.80
   400   £0.92    £367.20
   750   £0.84    £631.50</t>
        </r>
      </text>
    </comment>
    <comment ref="H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J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2500   $2.54  $6,350.00
  5000   $2.52 $12,625.00
 10000   $2.51 $25,110.00
 15000   $2.50 $37,440.00
 20000   $2.48 $49,620.00
 25000   $2.47 $61,650.00
 30000   $2.45 $73,530.00
 40000   $2.44 $97,400.00
 50000   $2.42 $121,000.00</t>
        </r>
      </text>
    </comment>
    <comment ref="P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$4.99      $4.99
    10   $4.49     $44.86
    25   $4.24    $106.01
   100   $3.68    $367.51
   250   $3.49    $871.66
   500   $3.13  $1,564.28
  1000   $3.11  $3,111.50
  2500   $3.11  $7,778.75</t>
        </r>
      </text>
    </comment>
    <comment ref="F2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2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<sst xmlns="http://schemas.openxmlformats.org/spreadsheetml/2006/main" count="233" uniqueCount="123">
  <si>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</si>
  <si>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</si>
  <si>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</si>
  <si>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</si>
  <si>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</si>
  <si>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</si>
  <si>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</si>
  <si>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</si>
  <si>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</t>
  </si>
  <si>
    <t>22uF</t>
  </si>
  <si>
    <t>CP_Elec_8x6.5</t>
  </si>
  <si>
    <t>865080643008</t>
  </si>
  <si>
    <t>C2</t>
  </si>
  <si>
    <t>6.8uF</t>
  </si>
  <si>
    <t>C_1812_4532Metric</t>
  </si>
  <si>
    <t>C4532X7R1H685K250KB</t>
  </si>
  <si>
    <t>C3</t>
  </si>
  <si>
    <t>10nF</t>
  </si>
  <si>
    <t>C_0402_1005Metric_Pad0.74x0.62mm_HandSolder</t>
  </si>
  <si>
    <t>GCM155R71H103KA55D</t>
  </si>
  <si>
    <t>C4</t>
  </si>
  <si>
    <t>120uF</t>
  </si>
  <si>
    <t>C_Elec_4x5.8</t>
  </si>
  <si>
    <t>https://b2b-api.panasonic.eu/file_stream/pids/fileversion/9127</t>
  </si>
  <si>
    <t>C5,C7</t>
  </si>
  <si>
    <t>10uF</t>
  </si>
  <si>
    <t>C_0805_2012Metric</t>
  </si>
  <si>
    <t>CL21B106KOQNNNG</t>
  </si>
  <si>
    <t>C6,C8</t>
  </si>
  <si>
    <t>0.1uF</t>
  </si>
  <si>
    <t>C_0603_1608Metric</t>
  </si>
  <si>
    <t>D1,D2</t>
  </si>
  <si>
    <t>PMEG6030EP</t>
  </si>
  <si>
    <t>D_SOD-128</t>
  </si>
  <si>
    <t>PMEG6030ETPX</t>
  </si>
  <si>
    <t>J1</t>
  </si>
  <si>
    <t>CONN_02JST-PTH-2</t>
  </si>
  <si>
    <t>JST-2-PTH</t>
  </si>
  <si>
    <t>L1</t>
  </si>
  <si>
    <t>12uH</t>
  </si>
  <si>
    <t>L_Bourns_SRR1260</t>
  </si>
  <si>
    <t>SRR1260-120M</t>
  </si>
  <si>
    <t>P1,P2</t>
  </si>
  <si>
    <t>Molex-KK-396-5POS</t>
  </si>
  <si>
    <t>0026614050</t>
  </si>
  <si>
    <t>R1</t>
  </si>
  <si>
    <t>470k</t>
  </si>
  <si>
    <t>R_0603_1608Metric</t>
  </si>
  <si>
    <t>R2</t>
  </si>
  <si>
    <t>200k</t>
  </si>
  <si>
    <t>R3</t>
  </si>
  <si>
    <t>2.0k</t>
  </si>
  <si>
    <t>R4</t>
  </si>
  <si>
    <t>1.0k</t>
  </si>
  <si>
    <t>U1</t>
  </si>
  <si>
    <t>LM22680</t>
  </si>
  <si>
    <t>LM22680QMRX-ADJ/NOPB</t>
  </si>
  <si>
    <t>Arrow</t>
  </si>
  <si>
    <t>Avail</t>
  </si>
  <si>
    <t>Purch</t>
  </si>
  <si>
    <t>MOQ</t>
  </si>
  <si>
    <t>Cat#</t>
  </si>
  <si>
    <t>NonStk</t>
  </si>
  <si>
    <t>SRR1260120M</t>
  </si>
  <si>
    <t>26614050</t>
  </si>
  <si>
    <t>LM22680QMRXADJ/NOPB</t>
  </si>
  <si>
    <t>Buy here</t>
  </si>
  <si>
    <t>Digi-Key</t>
  </si>
  <si>
    <t>732-8453-1-ND</t>
  </si>
  <si>
    <t>445-3919-1-ND</t>
  </si>
  <si>
    <t>490-4762-1-ND</t>
  </si>
  <si>
    <t>1276-6472-1-ND</t>
  </si>
  <si>
    <t>1727-1348-1-ND</t>
  </si>
  <si>
    <t>SRR1260-120MCT-ND</t>
  </si>
  <si>
    <t>WM5227-ND</t>
  </si>
  <si>
    <t>296-45541-1-ND</t>
  </si>
  <si>
    <t>Farnell</t>
  </si>
  <si>
    <t>2466335</t>
  </si>
  <si>
    <t>1843170</t>
  </si>
  <si>
    <t>2470416RL</t>
  </si>
  <si>
    <t>2311228</t>
  </si>
  <si>
    <t>2859155</t>
  </si>
  <si>
    <t>2888936</t>
  </si>
  <si>
    <t>LCSC</t>
  </si>
  <si>
    <t>C91601</t>
  </si>
  <si>
    <t>Mouser</t>
  </si>
  <si>
    <t>710865080643008</t>
  </si>
  <si>
    <t>810C4532X7R1H685K</t>
  </si>
  <si>
    <t>81GCM155R71H103KA5D</t>
  </si>
  <si>
    <t>187CL21B106KOQNNNG</t>
  </si>
  <si>
    <t>771PMEG6030ETPX</t>
  </si>
  <si>
    <t>652SRR1260120M</t>
  </si>
  <si>
    <t>53826614050</t>
  </si>
  <si>
    <t>Newark</t>
  </si>
  <si>
    <t>40Y4050</t>
  </si>
  <si>
    <t>13T1119</t>
  </si>
  <si>
    <t>45Y5159</t>
  </si>
  <si>
    <t>84W8061</t>
  </si>
  <si>
    <t>02J3129</t>
  </si>
  <si>
    <t>71H2284</t>
  </si>
  <si>
    <t>RS Components</t>
  </si>
  <si>
    <t>8391874</t>
  </si>
  <si>
    <t>7416825</t>
  </si>
  <si>
    <t>7234954</t>
  </si>
  <si>
    <t>1513110</t>
  </si>
  <si>
    <t>1728556</t>
  </si>
  <si>
    <t>6703083</t>
  </si>
  <si>
    <t>TME</t>
  </si>
  <si>
    <t>Total Purchase:</t>
  </si>
  <si>
    <t>Purchase description:</t>
  </si>
  <si>
    <t>Used currency rates:</t>
  </si>
  <si>
    <t>USD($)/GBP(£):</t>
  </si>
  <si>
    <t>Prj:</t>
  </si>
  <si>
    <t>power-share.xml</t>
  </si>
  <si>
    <t>Co.:</t>
  </si>
  <si>
    <t>Prj date:</t>
  </si>
  <si>
    <t>Fri 22 Oct 2021 12:46:14 AM CDT</t>
  </si>
  <si>
    <t>Board Qty:</t>
  </si>
  <si>
    <t>Total Cost:</t>
  </si>
  <si>
    <t>Unit Cost:</t>
  </si>
  <si>
    <t>$ date:</t>
  </si>
  <si>
    <t>2021-10-22 00:49:18</t>
  </si>
  <si>
    <t>KiCost® v1.1.6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</si>
</sst>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ai=8078&amp;sig=08143f3&amp;sid=459&amp;ppid=53914617&amp;vpid=240502649&amp;ct=offers" TargetMode="External"/><Relationship Id="rId2" Type="http://schemas.openxmlformats.org/officeDocument/2006/relationships/hyperlink" Target="https://octopart.com/click/track?c=1&amp;ai=8078&amp;sig=09a3c48&amp;sid=819&amp;ppid=53914617&amp;vpid=209558840&amp;ct=offers" TargetMode="External"/><Relationship Id="rId3" Type="http://schemas.openxmlformats.org/officeDocument/2006/relationships/hyperlink" Target="https://octopart.com/click/track?c=1&amp;ai=8078&amp;sig=0967f77&amp;sid=2401&amp;ppid=53914617&amp;vpid=416614858&amp;ct=offers" TargetMode="External"/><Relationship Id="rId4" Type="http://schemas.openxmlformats.org/officeDocument/2006/relationships/hyperlink" Target="https://octopart.com/click/track?c=1&amp;ai=8078&amp;sig=09bb828&amp;sid=2402&amp;ppid=53914617&amp;vpid=184773775&amp;ct=offers" TargetMode="External"/><Relationship Id="rId5" Type="http://schemas.openxmlformats.org/officeDocument/2006/relationships/hyperlink" Target="https://octopart.com/click/track?ai=8078&amp;sig=06ba437&amp;sid=10022&amp;ppid=53914617&amp;vpid=199199319&amp;ct=offers" TargetMode="External"/><Relationship Id="rId6" Type="http://schemas.openxmlformats.org/officeDocument/2006/relationships/hyperlink" Target="https://octopart.com/click/track?c=1&amp;ai=8078&amp;sig=0d2d5fb&amp;sid=1106&amp;ppid=25947926&amp;vpid=486097657&amp;ct=offers" TargetMode="External"/><Relationship Id="rId7" Type="http://schemas.openxmlformats.org/officeDocument/2006/relationships/hyperlink" Target="https://octopart.com/click/track?ai=8078&amp;sig=02ae9c6&amp;sid=459&amp;ppid=25947926&amp;vpid=63975951&amp;ct=offers" TargetMode="External"/><Relationship Id="rId8" Type="http://schemas.openxmlformats.org/officeDocument/2006/relationships/hyperlink" Target="https://octopart.com/click/track?ai=8078&amp;sig=0c89169&amp;sid=819&amp;ppid=25947926&amp;vpid=139697936&amp;ct=offers" TargetMode="External"/><Relationship Id="rId9" Type="http://schemas.openxmlformats.org/officeDocument/2006/relationships/hyperlink" Target="https://octopart.com/click/track?ai=8078&amp;sig=00ac762&amp;sid=2401&amp;ppid=25947926&amp;vpid=66164902&amp;ct=offers" TargetMode="External"/><Relationship Id="rId10" Type="http://schemas.openxmlformats.org/officeDocument/2006/relationships/hyperlink" Target="https://octopart.com/click/track?ai=8078&amp;sig=08b8ed0&amp;sid=2402&amp;ppid=25947926&amp;vpid=260822761&amp;ct=offers" TargetMode="External"/><Relationship Id="rId11" Type="http://schemas.openxmlformats.org/officeDocument/2006/relationships/hyperlink" Target="https://octopart.com/click/track?ai=8078&amp;sig=0acb252&amp;sid=10022&amp;ppid=25947926&amp;vpid=199138110&amp;ct=offers" TargetMode="External"/><Relationship Id="rId12" Type="http://schemas.openxmlformats.org/officeDocument/2006/relationships/hyperlink" Target="https://octopart.com/click/track?ai=8078&amp;sig=0baf4ca&amp;sid=1106&amp;ppid=9105516&amp;vpid=473329314&amp;ct=offers" TargetMode="External"/><Relationship Id="rId13" Type="http://schemas.openxmlformats.org/officeDocument/2006/relationships/hyperlink" Target="https://octopart.com/click/track?ai=8078&amp;sig=05479c9&amp;sid=459&amp;ppid=9105516&amp;vpid=34232110&amp;ct=offers" TargetMode="External"/><Relationship Id="rId14" Type="http://schemas.openxmlformats.org/officeDocument/2006/relationships/hyperlink" Target="https://octopart.com/click/track?ai=8078&amp;sig=0119398&amp;sid=819&amp;ppid=9105516&amp;vpid=220678719&amp;ct=offers" TargetMode="External"/><Relationship Id="rId15" Type="http://schemas.openxmlformats.org/officeDocument/2006/relationships/hyperlink" Target="https://octopart.com/click/track?ai=8078&amp;sig=0ec5f8f&amp;sid=27971&amp;ppid=9105516&amp;vpid=445986708&amp;ct=offers" TargetMode="External"/><Relationship Id="rId16" Type="http://schemas.openxmlformats.org/officeDocument/2006/relationships/hyperlink" Target="https://octopart.com/click/track?ai=8078&amp;sig=048b060&amp;sid=2401&amp;ppid=9105516&amp;vpid=37821366&amp;ct=offers" TargetMode="External"/><Relationship Id="rId17" Type="http://schemas.openxmlformats.org/officeDocument/2006/relationships/hyperlink" Target="https://octopart.com/click/track?ai=8078&amp;sig=031832d&amp;sid=2402&amp;ppid=9105516&amp;vpid=231884079&amp;ct=offers" TargetMode="External"/><Relationship Id="rId18" Type="http://schemas.openxmlformats.org/officeDocument/2006/relationships/hyperlink" Target="https://octopart.com/click/track?ai=8078&amp;sig=0a8e140&amp;sid=10022&amp;ppid=9105516&amp;vpid=199071532&amp;ct=offers" TargetMode="External"/><Relationship Id="rId19" Type="http://schemas.openxmlformats.org/officeDocument/2006/relationships/hyperlink" Target="https://b2b-api.panasonic.eu/file_stream/pids/fileversion/9127" TargetMode="External"/><Relationship Id="rId20" Type="http://schemas.openxmlformats.org/officeDocument/2006/relationships/hyperlink" Target="https://octopart.com/click/track?c=1&amp;ai=8078&amp;sig=0d92234&amp;sid=1106&amp;ppid=19995691&amp;vpid=486018040&amp;ct=offers" TargetMode="External"/><Relationship Id="rId21" Type="http://schemas.openxmlformats.org/officeDocument/2006/relationships/hyperlink" Target="https://octopart.com/click/track?ai=8078&amp;sig=0afb040&amp;sid=459&amp;ppid=19995691&amp;vpid=254014560&amp;ct=offers" TargetMode="External"/><Relationship Id="rId22" Type="http://schemas.openxmlformats.org/officeDocument/2006/relationships/hyperlink" Target="https://octopart.com/click/track?c=1&amp;ai=8078&amp;sig=0bf9aa6&amp;sid=2401&amp;ppid=19995691&amp;vpid=659501626&amp;ct=offers" TargetMode="External"/><Relationship Id="rId23" Type="http://schemas.openxmlformats.org/officeDocument/2006/relationships/hyperlink" Target="https://assets.nexperia.com/documents/data-sheet/PMEG6030EP.pdf" TargetMode="External"/><Relationship Id="rId24" Type="http://schemas.openxmlformats.org/officeDocument/2006/relationships/hyperlink" Target="https://octopart.com/click/track?ai=8078&amp;sig=0b6b405&amp;sid=1106&amp;ppid=78741541&amp;vpid=484943718&amp;ct=offers" TargetMode="External"/><Relationship Id="rId25" Type="http://schemas.openxmlformats.org/officeDocument/2006/relationships/hyperlink" Target="https://octopart.com/click/track?ai=8078&amp;sig=040e61e&amp;sid=459&amp;ppid=78741541&amp;vpid=417206306&amp;ct=offers" TargetMode="External"/><Relationship Id="rId26" Type="http://schemas.openxmlformats.org/officeDocument/2006/relationships/hyperlink" Target="https://octopart.com/click/track?ai=8078&amp;sig=05bc89f&amp;sid=11744&amp;ppid=78741541&amp;vpid=511495904&amp;ct=offers" TargetMode="External"/><Relationship Id="rId27" Type="http://schemas.openxmlformats.org/officeDocument/2006/relationships/hyperlink" Target="https://octopart.com/click/track?ai=8078&amp;sig=0efc8e0&amp;sid=2401&amp;ppid=78741541&amp;vpid=416182149&amp;ct=offers" TargetMode="External"/><Relationship Id="rId28" Type="http://schemas.openxmlformats.org/officeDocument/2006/relationships/hyperlink" Target="https://octopart.com/click/track?ai=8078&amp;sig=0a6d674&amp;sid=2402&amp;ppid=78741541&amp;vpid=511736070&amp;ct=offers" TargetMode="External"/><Relationship Id="rId29" Type="http://schemas.openxmlformats.org/officeDocument/2006/relationships/hyperlink" Target="https://octopart.com/click/track?ai=8078&amp;sig=0a62c34&amp;sid=10022&amp;ppid=78741541&amp;vpid=501184399&amp;ct=offers" TargetMode="External"/><Relationship Id="rId30" Type="http://schemas.openxmlformats.org/officeDocument/2006/relationships/hyperlink" Target="https://octopart.com/click/track?ai=8078&amp;sig=0e56a21&amp;sid=1532&amp;ppid=78741541&amp;vpid=709102829&amp;ct=offers" TargetMode="External"/><Relationship Id="rId31" Type="http://schemas.openxmlformats.org/officeDocument/2006/relationships/hyperlink" Target="https://octopart.com/click/track?ai=8078&amp;sig=03edc0d&amp;sid=1106&amp;ppid=1809450&amp;vpid=485293645&amp;ct=offers" TargetMode="External"/><Relationship Id="rId32" Type="http://schemas.openxmlformats.org/officeDocument/2006/relationships/hyperlink" Target="https://octopart.com/click/track?ai=8078&amp;sig=090dfbb&amp;sid=459&amp;ppid=1809450&amp;vpid=34264395&amp;ct=offers" TargetMode="External"/><Relationship Id="rId33" Type="http://schemas.openxmlformats.org/officeDocument/2006/relationships/hyperlink" Target="https://octopart.com/click/track?ai=8078&amp;sig=05832f3&amp;sid=819&amp;ppid=1809450&amp;vpid=489898128&amp;ct=offers" TargetMode="External"/><Relationship Id="rId34" Type="http://schemas.openxmlformats.org/officeDocument/2006/relationships/hyperlink" Target="https://octopart.com/click/track?ai=8078&amp;sig=0148666&amp;sid=2401&amp;ppid=1809450&amp;vpid=37689357&amp;ct=offers" TargetMode="External"/><Relationship Id="rId35" Type="http://schemas.openxmlformats.org/officeDocument/2006/relationships/hyperlink" Target="https://octopart.com/click/track?ai=8078&amp;sig=082c0d0&amp;sid=2402&amp;ppid=1809450&amp;vpid=30080066&amp;ct=offers" TargetMode="External"/><Relationship Id="rId36" Type="http://schemas.openxmlformats.org/officeDocument/2006/relationships/hyperlink" Target="https://octopart.com/click/track?ai=8078&amp;sig=066dc14&amp;sid=10022&amp;ppid=1809450&amp;vpid=501025689&amp;ct=offers" TargetMode="External"/><Relationship Id="rId37" Type="http://schemas.openxmlformats.org/officeDocument/2006/relationships/hyperlink" Target="http://datasheet.octopart.com/26-61-4050-Molex-datasheet-10742124.pdf" TargetMode="External"/><Relationship Id="rId38" Type="http://schemas.openxmlformats.org/officeDocument/2006/relationships/hyperlink" Target="https://octopart.com/click/track?ai=8078&amp;sig=0e9ed3d&amp;sid=1106&amp;ppid=277946&amp;vpid=485824018&amp;ct=offers" TargetMode="External"/><Relationship Id="rId39" Type="http://schemas.openxmlformats.org/officeDocument/2006/relationships/hyperlink" Target="https://octopart.com/click/track?ai=8078&amp;sig=00f8485&amp;sid=459&amp;ppid=277946&amp;vpid=83331319&amp;ct=offers" TargetMode="External"/><Relationship Id="rId40" Type="http://schemas.openxmlformats.org/officeDocument/2006/relationships/hyperlink" Target="https://octopart.com/click/track?ai=8078&amp;sig=072aa6b&amp;sid=11744&amp;ppid=277946&amp;vpid=494603043&amp;ct=offers" TargetMode="External"/><Relationship Id="rId41" Type="http://schemas.openxmlformats.org/officeDocument/2006/relationships/hyperlink" Target="https://octopart.com/click/track?ai=8078&amp;sig=0c7f5bf&amp;sid=2401&amp;ppid=277946&amp;vpid=37607263&amp;ct=offers" TargetMode="External"/><Relationship Id="rId42" Type="http://schemas.openxmlformats.org/officeDocument/2006/relationships/hyperlink" Target="https://octopart.com/click/track?ai=8078&amp;sig=003de6d&amp;sid=2402&amp;ppid=277946&amp;vpid=3022709&amp;ct=offers" TargetMode="External"/><Relationship Id="rId43" Type="http://schemas.openxmlformats.org/officeDocument/2006/relationships/hyperlink" Target="https://octopart.com/click/track?ai=8078&amp;sig=0c54271&amp;sid=10022&amp;ppid=277946&amp;vpid=199067350&amp;ct=offers" TargetMode="External"/><Relationship Id="rId44" Type="http://schemas.openxmlformats.org/officeDocument/2006/relationships/hyperlink" Target="https://octopart.com/click/track?ai=8078&amp;ct=datasheets&amp;sig=0f7457e&amp;at=physicalpart&amp;sid=370&amp;ppid=24844189&amp;hlid=29970811" TargetMode="External"/><Relationship Id="rId45" Type="http://schemas.openxmlformats.org/officeDocument/2006/relationships/hyperlink" Target="https://octopart.com/click/track?c=1&amp;ai=8078&amp;sig=0cd224b&amp;sid=1106&amp;ppid=24844189&amp;vpid=631806381&amp;ct=offers" TargetMode="External"/><Relationship Id="rId46" Type="http://schemas.openxmlformats.org/officeDocument/2006/relationships/hyperlink" Target="https://octopart.com/click/track?c=1&amp;ai=8078&amp;sig=0084cb7&amp;sid=459&amp;ppid=24844189&amp;vpid=419012817&amp;ct=offers" TargetMode="External"/><Relationship Id="rId47" Type="http://schemas.openxmlformats.org/officeDocument/2006/relationships/hyperlink" Target="https://www.arrow.com/en/bom-tool/" TargetMode="External"/><Relationship Id="rId48" Type="http://schemas.openxmlformats.org/officeDocument/2006/relationships/hyperlink" Target="https://www.digikey.com/ordering/shoppingcart" TargetMode="External"/><Relationship Id="rId49" Type="http://schemas.openxmlformats.org/officeDocument/2006/relationships/hyperlink" Target="https://fr.farnell.com/en-FR/quick-order?isQuickPaste=true" TargetMode="External"/><Relationship Id="rId50" Type="http://schemas.openxmlformats.org/officeDocument/2006/relationships/hyperlink" Target="https://lcsc.com/bom.html" TargetMode="External"/><Relationship Id="rId51" Type="http://schemas.openxmlformats.org/officeDocument/2006/relationships/hyperlink" Target="https://mouser.com/bom/" TargetMode="External"/><Relationship Id="rId52" Type="http://schemas.openxmlformats.org/officeDocument/2006/relationships/hyperlink" Target="https://www.newark.com/quick-order?isQuickPaste=true" TargetMode="External"/><Relationship Id="rId53" Type="http://schemas.openxmlformats.org/officeDocument/2006/relationships/hyperlink" Target="https://uk.rs-online.com/web/mylists/manualQuotes.html?method=showEnquiryCreationPage&amp;mode=new" TargetMode="External"/><Relationship Id="rId54" Type="http://schemas.openxmlformats.org/officeDocument/2006/relationships/hyperlink" Target="https://www.tme.eu/en/Profile/QuickBuy/load.html" TargetMode="External"/><Relationship Id="rId55" Type="http://schemas.openxmlformats.org/officeDocument/2006/relationships/vmlDrawing" Target="../drawings/vmlDrawing1.vml"/><Relationship Id="rId5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55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3"/>
  <cols>
    <col min="2" max="2" width="18.7109375" customWidth="1"/>
    <col min="3" max="3" width="33.7109375" customWidth="1" outlineLevel="2"/>
    <col min="4" max="4" width="33.7109375" customWidth="1" outlineLevel="1"/>
    <col min="5" max="5" width="9.140625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20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8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20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>
      <c r="A1" s="1" t="s">
        <v>112</v>
      </c>
      <c r="B1" s="2" t="s">
        <v>113</v>
      </c>
      <c r="F1" s="3" t="s">
        <v>117</v>
      </c>
      <c r="G1" s="3">
        <v>100</v>
      </c>
    </row>
    <row r="2" spans="1:55">
      <c r="A2" s="1" t="s">
        <v>114</v>
      </c>
      <c r="B2" s="2"/>
      <c r="F2" s="1" t="s">
        <v>119</v>
      </c>
      <c r="G2" s="4">
        <f>TotalCost/BoardQty</f>
        <v>7.3893</v>
      </c>
    </row>
    <row r="3" spans="1:55">
      <c r="A3" s="1" t="s">
        <v>115</v>
      </c>
      <c r="B3" s="2" t="s">
        <v>116</v>
      </c>
      <c r="F3" s="1" t="s">
        <v>118</v>
      </c>
      <c r="G3" s="5">
        <f>SUM(G7:G21)</f>
        <v>738.9297</v>
      </c>
      <c r="L3" s="5">
        <f>SUM(L7:L21)</f>
        <v>374.99</v>
      </c>
      <c r="M3" s="6" t="str">
        <f>(COUNTA(L7:L21)&amp;" of "&amp;ROWS(L7:L21)&amp;" parts found")</f>
        <v>6 of 15 parts found</v>
      </c>
      <c r="R3" s="5">
        <f>SUM(R7:R21)</f>
        <v>839.45</v>
      </c>
      <c r="S3" s="6" t="str">
        <f>(COUNTA(R7:R21)&amp;" of "&amp;ROWS(R7:R21)&amp;" parts found")</f>
        <v>8 of 15 parts found</v>
      </c>
      <c r="X3" s="5">
        <f>SUM(X7:X21)</f>
        <v>532.6181</v>
      </c>
      <c r="Y3" s="6" t="str">
        <f>(COUNTA(X7:X21)&amp;" of "&amp;ROWS(X7:X21)&amp;" parts found")</f>
        <v>6 of 15 parts found</v>
      </c>
      <c r="AD3" s="5">
        <f>SUM(AD7:AD21)</f>
        <v>2.938</v>
      </c>
      <c r="AE3" s="6" t="str">
        <f>(COUNTA(AD7:AD21)&amp;" of "&amp;ROWS(AD7:AD21)&amp;" parts found")</f>
        <v>1 of 15 parts found</v>
      </c>
      <c r="AJ3" s="5">
        <f>SUM(AJ7:AJ21)</f>
        <v>483.3</v>
      </c>
      <c r="AK3" s="6" t="str">
        <f>(COUNTA(AJ7:AJ21)&amp;" of "&amp;ROWS(AJ7:AJ21)&amp;" parts found")</f>
        <v>7 of 15 parts found</v>
      </c>
      <c r="AP3" s="5">
        <f>SUM(AP7:AP21)</f>
        <v>505.6</v>
      </c>
      <c r="AQ3" s="6" t="str">
        <f>(COUNTA(AP7:AP21)&amp;" of "&amp;ROWS(AP7:AP21)&amp;" parts found")</f>
        <v>6 of 15 parts found</v>
      </c>
      <c r="AV3" s="5">
        <f>SUM(AV7:AV21)</f>
        <v>542.02</v>
      </c>
      <c r="AW3" s="6" t="str">
        <f>(COUNTA(AV7:AV21)&amp;" of "&amp;ROWS(AV7:AV21)&amp;" parts found")</f>
        <v>6 of 15 parts found</v>
      </c>
      <c r="BB3" s="5">
        <f>SUM(BB7:BB21)</f>
        <v>41.2797</v>
      </c>
      <c r="BC3" s="6" t="str">
        <f>(COUNTA(BB7:BB21)&amp;" of "&amp;ROWS(BB7:BB21)&amp;" parts found")</f>
        <v>1 of 15 parts found</v>
      </c>
    </row>
    <row r="4" spans="1:55">
      <c r="A4" s="1" t="s">
        <v>120</v>
      </c>
      <c r="B4" s="2" t="s">
        <v>121</v>
      </c>
    </row>
    <row r="5" spans="1:55">
      <c r="A5" s="7" t="s">
        <v>0</v>
      </c>
      <c r="B5" s="7"/>
      <c r="C5" s="7"/>
      <c r="D5" s="7"/>
      <c r="E5" s="7"/>
      <c r="F5" s="7"/>
      <c r="G5" s="7"/>
      <c r="H5" s="8" t="s">
        <v>57</v>
      </c>
      <c r="I5" s="8"/>
      <c r="J5" s="8"/>
      <c r="K5" s="8"/>
      <c r="L5" s="8"/>
      <c r="M5" s="8"/>
      <c r="N5" s="9" t="s">
        <v>67</v>
      </c>
      <c r="O5" s="9"/>
      <c r="P5" s="9"/>
      <c r="Q5" s="9"/>
      <c r="R5" s="9"/>
      <c r="S5" s="9"/>
      <c r="T5" s="10" t="s">
        <v>76</v>
      </c>
      <c r="U5" s="10"/>
      <c r="V5" s="10"/>
      <c r="W5" s="10"/>
      <c r="X5" s="10"/>
      <c r="Y5" s="10"/>
      <c r="Z5" s="11" t="s">
        <v>83</v>
      </c>
      <c r="AA5" s="11"/>
      <c r="AB5" s="11"/>
      <c r="AC5" s="11"/>
      <c r="AD5" s="11"/>
      <c r="AE5" s="11"/>
      <c r="AF5" s="12" t="s">
        <v>85</v>
      </c>
      <c r="AG5" s="12"/>
      <c r="AH5" s="12"/>
      <c r="AI5" s="12"/>
      <c r="AJ5" s="12"/>
      <c r="AK5" s="12"/>
      <c r="AL5" s="13" t="s">
        <v>93</v>
      </c>
      <c r="AM5" s="13"/>
      <c r="AN5" s="13"/>
      <c r="AO5" s="13"/>
      <c r="AP5" s="13"/>
      <c r="AQ5" s="13"/>
      <c r="AR5" s="14" t="s">
        <v>100</v>
      </c>
      <c r="AS5" s="14"/>
      <c r="AT5" s="14"/>
      <c r="AU5" s="14"/>
      <c r="AV5" s="14"/>
      <c r="AW5" s="14"/>
      <c r="AX5" s="15" t="s">
        <v>107</v>
      </c>
      <c r="AY5" s="15"/>
      <c r="AZ5" s="15"/>
      <c r="BA5" s="15"/>
      <c r="BB5" s="15"/>
      <c r="BC5" s="15"/>
    </row>
    <row r="6" spans="1:55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58</v>
      </c>
      <c r="I6" s="16" t="s">
        <v>59</v>
      </c>
      <c r="J6" s="16" t="s">
        <v>6</v>
      </c>
      <c r="K6" s="16" t="s">
        <v>60</v>
      </c>
      <c r="L6" s="16" t="s">
        <v>7</v>
      </c>
      <c r="M6" s="16" t="s">
        <v>61</v>
      </c>
      <c r="N6" s="16" t="s">
        <v>58</v>
      </c>
      <c r="O6" s="16" t="s">
        <v>59</v>
      </c>
      <c r="P6" s="16" t="s">
        <v>6</v>
      </c>
      <c r="Q6" s="16" t="s">
        <v>60</v>
      </c>
      <c r="R6" s="16" t="s">
        <v>7</v>
      </c>
      <c r="S6" s="16" t="s">
        <v>61</v>
      </c>
      <c r="T6" s="16" t="s">
        <v>58</v>
      </c>
      <c r="U6" s="16" t="s">
        <v>59</v>
      </c>
      <c r="V6" s="16" t="s">
        <v>6</v>
      </c>
      <c r="W6" s="16" t="s">
        <v>60</v>
      </c>
      <c r="X6" s="16" t="s">
        <v>7</v>
      </c>
      <c r="Y6" s="16" t="s">
        <v>61</v>
      </c>
      <c r="Z6" s="16" t="s">
        <v>58</v>
      </c>
      <c r="AA6" s="16" t="s">
        <v>59</v>
      </c>
      <c r="AB6" s="16" t="s">
        <v>6</v>
      </c>
      <c r="AC6" s="16" t="s">
        <v>60</v>
      </c>
      <c r="AD6" s="16" t="s">
        <v>7</v>
      </c>
      <c r="AE6" s="16" t="s">
        <v>61</v>
      </c>
      <c r="AF6" s="16" t="s">
        <v>58</v>
      </c>
      <c r="AG6" s="16" t="s">
        <v>59</v>
      </c>
      <c r="AH6" s="16" t="s">
        <v>6</v>
      </c>
      <c r="AI6" s="16" t="s">
        <v>60</v>
      </c>
      <c r="AJ6" s="16" t="s">
        <v>7</v>
      </c>
      <c r="AK6" s="16" t="s">
        <v>61</v>
      </c>
      <c r="AL6" s="16" t="s">
        <v>58</v>
      </c>
      <c r="AM6" s="16" t="s">
        <v>59</v>
      </c>
      <c r="AN6" s="16" t="s">
        <v>6</v>
      </c>
      <c r="AO6" s="16" t="s">
        <v>60</v>
      </c>
      <c r="AP6" s="16" t="s">
        <v>7</v>
      </c>
      <c r="AQ6" s="16" t="s">
        <v>61</v>
      </c>
      <c r="AR6" s="16" t="s">
        <v>58</v>
      </c>
      <c r="AS6" s="16" t="s">
        <v>59</v>
      </c>
      <c r="AT6" s="16" t="s">
        <v>6</v>
      </c>
      <c r="AU6" s="16" t="s">
        <v>60</v>
      </c>
      <c r="AV6" s="16" t="s">
        <v>7</v>
      </c>
      <c r="AW6" s="16" t="s">
        <v>61</v>
      </c>
      <c r="AX6" s="16" t="s">
        <v>58</v>
      </c>
      <c r="AY6" s="16" t="s">
        <v>59</v>
      </c>
      <c r="AZ6" s="16" t="s">
        <v>6</v>
      </c>
      <c r="BA6" s="16" t="s">
        <v>60</v>
      </c>
      <c r="BB6" s="16" t="s">
        <v>7</v>
      </c>
      <c r="BC6" s="16" t="s">
        <v>61</v>
      </c>
    </row>
    <row r="7" spans="1:55">
      <c r="A7" s="17" t="s">
        <v>8</v>
      </c>
      <c r="B7" s="17" t="s">
        <v>9</v>
      </c>
      <c r="C7" s="17" t="s">
        <v>10</v>
      </c>
      <c r="D7" s="17" t="s">
        <v>11</v>
      </c>
      <c r="E7" s="17">
        <f>CEILING(BoardQty*1.0,1)</f>
        <v>100</v>
      </c>
      <c r="F7" s="18">
        <f>IF(MIN(J7,P7,V7,AB7,AH7,AN7,AT7,AZ7)&lt;&gt;0,MIN(J7,P7,V7,AB7,AH7,AN7,AT7,AZ7),"")</f>
        <v>0.191</v>
      </c>
      <c r="G7" s="19">
        <f>IF(AND(ISNUMBER(E7),ISNUMBER(F7)),E7*F7,"")</f>
        <v>19.1</v>
      </c>
      <c r="N7" s="17">
        <v>8623</v>
      </c>
      <c r="O7" s="17"/>
      <c r="P7" s="18">
        <f>IFERROR(IF(OR(O7&gt;=Q7,E7&gt;=Q7),LOOKUP(IF(O7="",E7,O7),{0,1,50,100,250,500,1000},{0.0,0.27,0.227,0.198,0.175,0.153,0.146}),"MOQ="&amp;Q7),"")</f>
        <v>0.198</v>
      </c>
      <c r="Q7" s="17">
        <v>1</v>
      </c>
      <c r="R7" s="19">
        <f>IFERROR(IF(O7="",E7,O7)*P7,"")</f>
        <v>19.8</v>
      </c>
      <c r="S7" s="17" t="s">
        <v>68</v>
      </c>
      <c r="T7" s="20" t="s">
        <v>62</v>
      </c>
      <c r="U7" s="17"/>
      <c r="V7" s="18">
        <f>IFERROR(IF(OR(U7&gt;=W7,E7&gt;=W7),USD_GBP*LOOKUP(IF(U7="",E7,U7),{0,1,5,10,20,150},{0.0,0.321,0.319,0.316,0.27,0.27}),"MOQ="&amp;W7),"")</f>
        <v>0.37275952070233714</v>
      </c>
      <c r="W7" s="17">
        <v>1</v>
      </c>
      <c r="X7" s="19">
        <f>IFERROR(IF(U7="",E7,U7)*V7,"")</f>
        <v>37.276</v>
      </c>
      <c r="Y7" s="17" t="s">
        <v>77</v>
      </c>
      <c r="AF7" s="20" t="s">
        <v>62</v>
      </c>
      <c r="AG7" s="17"/>
      <c r="AH7" s="18">
        <f>IFERROR(IF(OR(AG7&gt;=AI7,E7&gt;=AI7),LOOKUP(IF(AG7="",E7,AG7),{0,1,10,50,100,1000,10000},{0.0,0.26,0.26,0.219,0.191,0.141,0.141}),"MOQ="&amp;AI7),"")</f>
        <v>0.191</v>
      </c>
      <c r="AI7" s="17">
        <v>1</v>
      </c>
      <c r="AJ7" s="19">
        <f>IFERROR(IF(AG7="",E7,AG7)*AH7,"")</f>
        <v>19.1</v>
      </c>
      <c r="AK7" s="17" t="s">
        <v>86</v>
      </c>
      <c r="AL7" s="20" t="s">
        <v>62</v>
      </c>
      <c r="AM7" s="17"/>
      <c r="AN7" s="18">
        <f>IFERROR(IF(OR(AM7&gt;=AO7,E7&gt;=AO7),LOOKUP(IF(AM7="",E7,AM7),{0,1,10,25,50,100,250,500},{0.0,0.339,0.322,0.304,0.287,0.253,0.226,0.2}),"MOQ="&amp;AO7),"")</f>
        <v>0.253</v>
      </c>
      <c r="AO7" s="17">
        <v>1</v>
      </c>
      <c r="AP7" s="19">
        <f>IFERROR(IF(AM7="",E7,AM7)*AN7,"")</f>
        <v>25.3</v>
      </c>
      <c r="AQ7" s="17" t="s">
        <v>94</v>
      </c>
      <c r="AR7" s="17">
        <v>225</v>
      </c>
      <c r="AS7" s="17"/>
      <c r="AT7" s="18">
        <f>IFERROR(IF(OR(AS7&gt;=AU7,E7&gt;=AU7),USD_GBP*LOOKUP(IF(AS7="",E7,AS7),{0,1,25,125,250,500,1000,2500},{0.0,0.208,0.208,0.129,0.122,0.109,0.112,0.104}),"MOQ="&amp;AU7),"")</f>
        <v>0.2871628900225412</v>
      </c>
      <c r="AU7" s="17">
        <v>25</v>
      </c>
      <c r="AV7" s="19">
        <f>IFERROR(IF(AS7="",E7,AS7)*AT7,"")</f>
        <v>28.7163</v>
      </c>
      <c r="AW7" s="17" t="s">
        <v>101</v>
      </c>
    </row>
    <row r="8" spans="1:55">
      <c r="A8" s="17" t="s">
        <v>12</v>
      </c>
      <c r="B8" s="17" t="s">
        <v>13</v>
      </c>
      <c r="C8" s="17" t="s">
        <v>14</v>
      </c>
      <c r="D8" s="17" t="s">
        <v>15</v>
      </c>
      <c r="E8" s="17">
        <f>CEILING(BoardQty*1.0,1)</f>
        <v>100</v>
      </c>
      <c r="F8" s="18">
        <f>IF(MIN(J8,P8,V8,AB8,AH8,AN8,AT8,AZ8)&lt;&gt;0,MIN(J8,P8,V8,AB8,AH8,AN8,AT8,AZ8),"")</f>
        <v>0.7685</v>
      </c>
      <c r="G8" s="19">
        <f>IF(AND(ISNUMBER(E8),ISNUMBER(F8)),E8*F8,"")</f>
        <v>76.85</v>
      </c>
      <c r="H8" s="20" t="s">
        <v>62</v>
      </c>
      <c r="I8" s="17"/>
      <c r="J8" s="18">
        <f>IFERROR(IF(OR(I8&gt;=K8,E8&gt;=K8),LOOKUP(IF(I8="",E8,I8),{0,1},{0.0,1.2071}),"MOQ="&amp;K8),"")</f>
        <v>1.2071</v>
      </c>
      <c r="K8" s="17">
        <v>1</v>
      </c>
      <c r="L8" s="19">
        <f>IFERROR(IF(I8="",E8,I8)*J8,"")</f>
        <v>120.71</v>
      </c>
      <c r="M8" s="17" t="s">
        <v>15</v>
      </c>
      <c r="N8" s="17">
        <v>19867</v>
      </c>
      <c r="O8" s="17"/>
      <c r="P8" s="18">
        <f>IFERROR(IF(OR(O8&gt;=Q8,E8&gt;=Q8),LOOKUP(IF(O8="",E8,O8),{0,1,10,50,100,500},{0.0,1.3,1.025,0.888,0.7685,0.5049}),"MOQ="&amp;Q8),"")</f>
        <v>0.7685</v>
      </c>
      <c r="Q8" s="17">
        <v>1</v>
      </c>
      <c r="R8" s="19">
        <f>IFERROR(IF(O8="",E8,O8)*P8,"")</f>
        <v>76.85</v>
      </c>
      <c r="S8" s="17" t="s">
        <v>69</v>
      </c>
      <c r="T8" s="17">
        <v>59500</v>
      </c>
      <c r="U8" s="17"/>
      <c r="V8" s="18">
        <f>IFERROR(IF(OR(U8&gt;=W8,E8&gt;=W8),USD_GBP*LOOKUP(IF(U8="",E8,U8),{0,1,10,50,100,200,500,2500},{0.0,1.36,0.895,0.724,0.616,0.604,0.459,0.451}),"MOQ="&amp;W8),"")</f>
        <v>0.8504439435282951</v>
      </c>
      <c r="W8" s="17">
        <v>1</v>
      </c>
      <c r="X8" s="19">
        <f>IFERROR(IF(U8="",E8,U8)*V8,"")</f>
        <v>85.0444</v>
      </c>
      <c r="Y8" s="17" t="s">
        <v>78</v>
      </c>
      <c r="AF8" s="17">
        <v>8166</v>
      </c>
      <c r="AG8" s="17"/>
      <c r="AH8" s="18">
        <f>IFERROR(IF(OR(AG8&gt;=AI8,E8&gt;=AI8),LOOKUP(IF(AG8="",E8,AG8),{0,1,10,50,100,1000,10000},{0.0,1.29,0.888,0.888,0.769,0.49,0.416}),"MOQ="&amp;AI8),"")</f>
        <v>0.769</v>
      </c>
      <c r="AI8" s="17">
        <v>1</v>
      </c>
      <c r="AJ8" s="19">
        <f>IFERROR(IF(AG8="",E8,AG8)*AH8,"")</f>
        <v>76.9</v>
      </c>
      <c r="AK8" s="17" t="s">
        <v>87</v>
      </c>
      <c r="AL8" s="17">
        <v>59000</v>
      </c>
      <c r="AM8" s="17"/>
      <c r="AN8" s="18">
        <f>IFERROR(IF(OR(AM8&gt;=AO8,E8&gt;=AO8),LOOKUP(IF(AM8="",E8,AM8),{0,1,10,25,50,100,500,1000,2000,3000,5000},{0.0,0.554,1.22,1.17,1.11,1.06,0.547,0.539,0.521,0.503,0.485}),"MOQ="&amp;AO8),"")</f>
        <v>1.06</v>
      </c>
      <c r="AO8" s="17">
        <v>1</v>
      </c>
      <c r="AP8" s="19">
        <f>IFERROR(IF(AM8="",E8,AM8)*AN8,"")</f>
        <v>106.0</v>
      </c>
      <c r="AQ8" s="17" t="s">
        <v>95</v>
      </c>
      <c r="AR8" s="17">
        <v>16131</v>
      </c>
      <c r="AS8" s="17"/>
      <c r="AT8" s="18">
        <f>IFERROR(IF(OR(AS8&gt;=AU8,E8&gt;=AU8),USD_GBP*LOOKUP(IF(AS8="",E8,AS8),{0,1,5,50,100,250,500,1000,5000},{0.0,1.248,1.248,1.16,1.074,0.998,0.912,0.586,0.348}),"MOQ="&amp;AU8),"")</f>
        <v>1.4827545379048523</v>
      </c>
      <c r="AU8" s="17">
        <v>5</v>
      </c>
      <c r="AV8" s="19">
        <f>IFERROR(IF(AS8="",E8,AS8)*AT8,"")</f>
        <v>148.2755</v>
      </c>
      <c r="AW8" s="17" t="s">
        <v>102</v>
      </c>
    </row>
    <row r="9" spans="1:55" ht="30" customHeight="1">
      <c r="A9" s="17" t="s">
        <v>16</v>
      </c>
      <c r="B9" s="17" t="s">
        <v>17</v>
      </c>
      <c r="C9" s="17" t="s">
        <v>18</v>
      </c>
      <c r="D9" s="17" t="s">
        <v>19</v>
      </c>
      <c r="E9" s="17">
        <f>CEILING(BoardQty*1.0,1)</f>
        <v>100</v>
      </c>
      <c r="F9" s="18">
        <f>IF(MIN(J9,P9,V9,AB9,AH9,AN9,AT9,AZ9)&lt;&gt;0,MIN(J9,P9,V9,AB9,AH9,AN9,AT9,AZ9),"")</f>
        <v>0.0129</v>
      </c>
      <c r="G9" s="19">
        <f>IF(AND(ISNUMBER(E9),ISNUMBER(F9)),E9*F9,"")</f>
        <v>1.29</v>
      </c>
      <c r="H9" s="17">
        <v>2269</v>
      </c>
      <c r="I9" s="17"/>
      <c r="J9" s="18">
        <f>IFERROR(IF(OR(I9&gt;=K9,E9&gt;=K9),LOOKUP(IF(I9="",E9,I9),{0,1,10000},{0.0,0.0045,0.0045}),"MOQ="&amp;K9),"")</f>
        <v/>
      </c>
      <c r="K9" s="17">
        <v>10000</v>
      </c>
      <c r="L9" s="19">
        <f>IFERROR(IF(I9="",E9,I9)*J9,"")</f>
        <v/>
      </c>
      <c r="M9" s="17" t="s">
        <v>19</v>
      </c>
      <c r="N9" s="17">
        <v>25744106</v>
      </c>
      <c r="O9" s="17"/>
      <c r="P9" s="18">
        <f>IFERROR(IF(OR(O9&gt;=Q9,E9&gt;=Q9),LOOKUP(IF(O9="",E9,O9),{0,1,10,50,100,500,1000,2500,5000,10000},{0.0,0.1,0.029,0.0158,0.0129,0.00924,0.00726,0.0066,0.00607,0.00504}),"MOQ="&amp;Q9),"")</f>
        <v>0.0129</v>
      </c>
      <c r="Q9" s="17">
        <v>1</v>
      </c>
      <c r="R9" s="19">
        <f>IFERROR(IF(O9="",E9,O9)*P9,"")</f>
        <v>1.29</v>
      </c>
      <c r="S9" s="17" t="s">
        <v>70</v>
      </c>
      <c r="T9" s="17">
        <v>8250000</v>
      </c>
      <c r="U9" s="17"/>
      <c r="V9" s="18">
        <f>IFERROR(IF(OR(U9&gt;=W9,E9&gt;=W9),USD_GBP*LOOKUP(IF(U9="",E9,U9),{0,1,10,150,500,2500,10000,25000,50000,250000},{0.0,0.0149,0.0149,0.0149,0.0081,0.0056,0.0045,0.0044,0.0043,0.0042}),"MOQ="&amp;W9),"")</f>
        <v>0.020570803179499345</v>
      </c>
      <c r="W9" s="17">
        <v>10</v>
      </c>
      <c r="X9" s="19">
        <f>IFERROR(IF(U9="",E9,U9)*V9,"")</f>
        <v>2.0571</v>
      </c>
      <c r="Y9" s="17" t="s">
        <v>79</v>
      </c>
      <c r="Z9" s="17">
        <v>97850</v>
      </c>
      <c r="AA9" s="17"/>
      <c r="AB9" s="18">
        <f>IFERROR(IF(OR(AA9&gt;=AC9,E9&gt;=AC9),LOOKUP(IF(AA9="",E9,AA9),{0,1,50,500,1500,5000,25000,50000},{0.0,0.02938,0.02938,0.02142,0.01996,0.0185,0.01785,0.01753}),"MOQ="&amp;AC9),"")</f>
        <v>0.02938</v>
      </c>
      <c r="AC9" s="17">
        <v>50</v>
      </c>
      <c r="AD9" s="19">
        <f>IFERROR(IF(AA9="",E9,AA9)*AB9,"")</f>
        <v>2.938</v>
      </c>
      <c r="AE9" s="17" t="s">
        <v>84</v>
      </c>
      <c r="AF9" s="17">
        <v>7456658</v>
      </c>
      <c r="AG9" s="17"/>
      <c r="AH9" s="18">
        <f>IFERROR(IF(OR(AG9&gt;=AI9,E9&gt;=AI9),LOOKUP(IF(AG9="",E9,AG9),{0,1,10,50,100,1000,10000},{0.0,0.1,0.05,0.05,0.018,0.01,0.007}),"MOQ="&amp;AI9),"")</f>
        <v>0.018</v>
      </c>
      <c r="AI9" s="17">
        <v>1</v>
      </c>
      <c r="AJ9" s="19">
        <f>IFERROR(IF(AG9="",E9,AG9)*AH9,"")</f>
        <v>1.8</v>
      </c>
      <c r="AK9" s="17" t="s">
        <v>88</v>
      </c>
      <c r="AL9" s="17">
        <v>8250000</v>
      </c>
      <c r="AM9" s="17"/>
      <c r="AN9" s="18">
        <f>IFERROR(IF(OR(AM9&gt;=AO9,E9&gt;=AO9),LOOKUP(IF(AM9="",E9,AM9),{0,1,10,25,50,100,10000,50000},{0.0,0.008,0.06,0.047,0.034,0.022,0.008,0.008}),"MOQ="&amp;AO9),"")</f>
        <v>0.022</v>
      </c>
      <c r="AO9" s="17">
        <v>1</v>
      </c>
      <c r="AP9" s="19">
        <f>IFERROR(IF(AM9="",E9,AM9)*AN9,"")</f>
        <v>2.2</v>
      </c>
      <c r="AQ9" s="17" t="s">
        <v>96</v>
      </c>
      <c r="AR9" s="17">
        <v>607000</v>
      </c>
      <c r="AS9" s="17"/>
      <c r="AT9" s="18">
        <f>IFERROR(IF(OR(AS9&gt;=AU9,E9&gt;=AU9),USD_GBP*LOOKUP(IF(AS9="",E9,AS9),{0,1,200,2000,4000,10000,20000},{0.0,0.015,0.015,0.008,0.007,0.005,0.006}),"MOQ="&amp;AU9),"")</f>
        <v/>
      </c>
      <c r="AU9" s="17">
        <v>200</v>
      </c>
      <c r="AV9" s="19">
        <f>IFERROR(IF(AS9="",E9,AS9)*AT9,"")</f>
        <v/>
      </c>
      <c r="AW9" s="17" t="s">
        <v>103</v>
      </c>
    </row>
    <row r="10" spans="1:55" ht="30" customHeight="1">
      <c r="A10" s="17" t="s">
        <v>20</v>
      </c>
      <c r="B10" s="17" t="s">
        <v>21</v>
      </c>
      <c r="C10" s="17" t="s">
        <v>22</v>
      </c>
      <c r="D10" s="17" t="s">
        <v>23</v>
      </c>
      <c r="E10" s="17">
        <f>CEILING(BoardQty*1,1)</f>
        <v>100</v>
      </c>
      <c r="F10" s="18">
        <f>IF(MIN(J10,P10,V10,AB10,AH10,AN10,AT10,AZ10)&lt;&gt;0,MIN(J10,P10,V10,AB10,AH10,AN10,AT10,AZ10),"")</f>
        <v/>
      </c>
      <c r="G10" s="19">
        <f>IF(AND(ISNUMBER(E10),ISNUMBER(F10)),E10*F10,"")</f>
        <v/>
      </c>
    </row>
    <row r="11" spans="1:55">
      <c r="A11" s="17" t="s">
        <v>24</v>
      </c>
      <c r="B11" s="17" t="s">
        <v>25</v>
      </c>
      <c r="C11" s="17" t="s">
        <v>26</v>
      </c>
      <c r="D11" s="17" t="s">
        <v>27</v>
      </c>
      <c r="E11" s="17">
        <f>CEILING(BoardQty*2.0,1)</f>
        <v>200</v>
      </c>
      <c r="F11" s="18">
        <f>IF(MIN(J11,P11,V11,AB11,AH11,AN11,AT11,AZ11)&lt;&gt;0,MIN(J11,P11,V11,AB11,AH11,AN11,AT11,AZ11),"")</f>
        <v>0.1011</v>
      </c>
      <c r="G11" s="19">
        <f>IF(AND(ISNUMBER(E11),ISNUMBER(F11)),E11*F11,"")</f>
        <v>20.22</v>
      </c>
      <c r="H11" s="20" t="s">
        <v>62</v>
      </c>
      <c r="I11" s="17"/>
      <c r="M11" s="17" t="s">
        <v>27</v>
      </c>
      <c r="N11" s="17">
        <v>48876</v>
      </c>
      <c r="O11" s="17"/>
      <c r="P11" s="18">
        <f>IFERROR(IF(OR(O11&gt;=Q11,E11&gt;=Q11),LOOKUP(IF(O11="",E11,O11),{0,1,10,50,100,500,1000,3000},{0.0,0.29,0.2,0.1198,0.1011,0.06918,0.06121,0.05854}),"MOQ="&amp;Q11),"")</f>
        <v>0.1011</v>
      </c>
      <c r="Q11" s="17">
        <v>1</v>
      </c>
      <c r="R11" s="19">
        <f>IFERROR(IF(O11="",E11,O11)*P11,"")</f>
        <v>20.22</v>
      </c>
      <c r="S11" s="17" t="s">
        <v>71</v>
      </c>
      <c r="AF11" s="20" t="s">
        <v>62</v>
      </c>
      <c r="AG11" s="17"/>
      <c r="AH11" s="18">
        <f>IFERROR(IF(OR(AG11&gt;=AI11,E11&gt;=AI11),LOOKUP(IF(AG11="",E11,AG11),{0,1,10,50,100,1000,10000},{0.0,0.31,0.212,0.212,0.108,0.065,0.061}),"MOQ="&amp;AI11),"")</f>
        <v>0.108</v>
      </c>
      <c r="AI11" s="17">
        <v>1</v>
      </c>
      <c r="AJ11" s="19">
        <f>IFERROR(IF(AG11="",E11,AG11)*AH11,"")</f>
        <v>21.6</v>
      </c>
      <c r="AK11" s="17" t="s">
        <v>89</v>
      </c>
    </row>
    <row r="12" spans="1:55">
      <c r="A12" s="17" t="s">
        <v>28</v>
      </c>
      <c r="B12" s="17" t="s">
        <v>29</v>
      </c>
      <c r="C12" s="17" t="s">
        <v>30</v>
      </c>
      <c r="E12" s="17">
        <f>CEILING(BoardQty*2,1)</f>
        <v>200</v>
      </c>
      <c r="F12" s="18">
        <f>IF(MIN(J12,P12,V12,AB12,AH12,AN12,AT12,AZ12)&lt;&gt;0,MIN(J12,P12,V12,AB12,AH12,AN12,AT12,AZ12),"")</f>
        <v/>
      </c>
      <c r="G12" s="19">
        <f>IF(AND(ISNUMBER(E12),ISNUMBER(F12)),E12*F12,"")</f>
        <v/>
      </c>
    </row>
    <row r="13" spans="1:55">
      <c r="A13" s="17" t="s">
        <v>31</v>
      </c>
      <c r="B13" s="17" t="s">
        <v>32</v>
      </c>
      <c r="C13" s="17" t="s">
        <v>33</v>
      </c>
      <c r="D13" s="17" t="s">
        <v>34</v>
      </c>
      <c r="E13" s="17">
        <f>CEILING(BoardQty*2.0,1)</f>
        <v>200</v>
      </c>
      <c r="F13" s="18">
        <f>IF(MIN(J13,P13,V13,AB13,AH13,AN13,AT13,AZ13)&lt;&gt;0,MIN(J13,P13,V13,AB13,AH13,AN13,AT13,AZ13),"")</f>
        <v>0.2063983272037015</v>
      </c>
      <c r="G13" s="19">
        <f>IF(AND(ISNUMBER(E13),ISNUMBER(F13)),E13*F13,"")</f>
        <v>41.2797</v>
      </c>
      <c r="H13" s="17">
        <v>3000</v>
      </c>
      <c r="I13" s="17"/>
      <c r="J13" s="18">
        <f>IFERROR(IF(OR(I13&gt;=K13,E13&gt;=K13),LOOKUP(IF(I13="",E13,I13),{0,1,3000},{0.0,0.1726,0.1726}),"MOQ="&amp;K13),"")</f>
        <v/>
      </c>
      <c r="K13" s="17">
        <v>3000</v>
      </c>
      <c r="L13" s="19">
        <f>IFERROR(IF(I13="",E13,I13)*J13,"")</f>
        <v/>
      </c>
      <c r="M13" s="17" t="s">
        <v>34</v>
      </c>
      <c r="N13" s="17">
        <v>67725</v>
      </c>
      <c r="O13" s="17"/>
      <c r="P13" s="18">
        <f>IFERROR(IF(OR(O13&gt;=Q13,E13&gt;=Q13),LOOKUP(IF(O13="",E13,O13),{0,1,10,100,500,1000,3000,6000},{0.0,0.49,0.418,0.3123,0.24538,0.18962,0.17289,0.16731}),"MOQ="&amp;Q13),"")</f>
        <v>0.3123</v>
      </c>
      <c r="Q13" s="17">
        <v>1</v>
      </c>
      <c r="R13" s="19">
        <f>IFERROR(IF(O13="",E13,O13)*P13,"")</f>
        <v>62.46</v>
      </c>
      <c r="S13" s="17" t="s">
        <v>72</v>
      </c>
      <c r="T13" s="17">
        <v>6668</v>
      </c>
      <c r="U13" s="17"/>
      <c r="V13" s="18">
        <f>IFERROR(IF(OR(U13&gt;=W13,E13&gt;=W13),USD_GBP*LOOKUP(IF(U13="",E13,U13),{0,1,5,10,100,500},{0.0,0.554,0.554,0.456,0.306,0.246}),"MOQ="&amp;W13),"")</f>
        <v>0.4224607901293154</v>
      </c>
      <c r="W13" s="17">
        <v>5</v>
      </c>
      <c r="X13" s="19">
        <f>IFERROR(IF(U13="",E13,U13)*V13,"")</f>
        <v>84.4922</v>
      </c>
      <c r="Y13" s="17" t="s">
        <v>80</v>
      </c>
      <c r="AF13" s="17">
        <v>12235</v>
      </c>
      <c r="AG13" s="17"/>
      <c r="AH13" s="18">
        <f>IFERROR(IF(OR(AG13&gt;=AI13,E13&gt;=AI13),LOOKUP(IF(AG13="",E13,AG13),{0,1,10,50,100,1000,10000},{0.0,0.49,0.419,0.419,0.313,0.202,0.172}),"MOQ="&amp;AI13),"")</f>
        <v>0.313</v>
      </c>
      <c r="AI13" s="17">
        <v>1</v>
      </c>
      <c r="AJ13" s="19">
        <f>IFERROR(IF(AG13="",E13,AG13)*AH13,"")</f>
        <v>62.6</v>
      </c>
      <c r="AK13" s="17" t="s">
        <v>90</v>
      </c>
      <c r="AL13" s="17">
        <v>6668</v>
      </c>
      <c r="AM13" s="17"/>
      <c r="AN13" s="18">
        <f>IFERROR(IF(OR(AM13&gt;=AO13,E13&gt;=AO13),LOOKUP(IF(AM13="",E13,AM13),{0,1,5,10,100,500,1000},{0.0,0.646,0.646,0.546,0.41,0.329,0.261}),"MOQ="&amp;AO13),"")</f>
        <v>0.41</v>
      </c>
      <c r="AO13" s="17">
        <v>1</v>
      </c>
      <c r="AP13" s="19">
        <f>IFERROR(IF(AM13="",E13,AM13)*AN13,"")</f>
        <v>82.0</v>
      </c>
      <c r="AQ13" s="17" t="s">
        <v>97</v>
      </c>
      <c r="AR13" s="17">
        <v>17025</v>
      </c>
      <c r="AS13" s="17"/>
      <c r="AT13" s="18">
        <f>IFERROR(IF(OR(AS13&gt;=AU13,E13&gt;=AU13),USD_GBP*LOOKUP(IF(AS13="",E13,AS13),{0,1,25,250,625,1250,2500,3000,6000},{0.0,0.303,0.303,0.229,0.223,0.217,0.212,0.124,0.121}),"MOQ="&amp;AU13),"")</f>
        <v>0.41831901767706725</v>
      </c>
      <c r="AU13" s="17">
        <v>25</v>
      </c>
      <c r="AV13" s="19">
        <f>IFERROR(IF(AS13="",E13,AS13)*AT13,"")</f>
        <v>83.6638</v>
      </c>
      <c r="AW13" s="17" t="s">
        <v>104</v>
      </c>
      <c r="AX13" s="20" t="s">
        <v>62</v>
      </c>
      <c r="AY13" s="17"/>
      <c r="AZ13" s="18">
        <f>IFERROR(IF(OR(AY13&gt;=BA13,E13&gt;=BA13),USD_GBP*LOOKUP(IF(AY13="",E13,AY13),{0,1,3,25,100,500,3000},{0.0,0.21667,0.21667,0.1692,0.1495,0.12826,0.1156}),"MOQ="&amp;BA13),"")</f>
        <v>0.2063983272037015</v>
      </c>
      <c r="BA13" s="17">
        <v>3</v>
      </c>
      <c r="BB13" s="19">
        <f>IFERROR(IF(AY13="",E13,AY13)*AZ13,"")</f>
        <v>41.2797</v>
      </c>
      <c r="BC13" s="17" t="s">
        <v>34</v>
      </c>
    </row>
    <row r="14" spans="1:55">
      <c r="A14" s="17" t="s">
        <v>35</v>
      </c>
      <c r="B14" s="17" t="s">
        <v>36</v>
      </c>
      <c r="C14" s="17" t="s">
        <v>37</v>
      </c>
      <c r="E14" s="17">
        <f>CEILING(BoardQty*1,1)</f>
        <v>100</v>
      </c>
      <c r="F14" s="18">
        <f>IF(MIN(J14,P14,V14,AB14,AH14,AN14,AT14,AZ14)&lt;&gt;0,MIN(J14,P14,V14,AB14,AH14,AN14,AT14,AZ14),"")</f>
        <v/>
      </c>
      <c r="G14" s="19">
        <f>IF(AND(ISNUMBER(E14),ISNUMBER(F14)),E14*F14,"")</f>
        <v/>
      </c>
    </row>
    <row r="15" spans="1:55">
      <c r="A15" s="17" t="s">
        <v>38</v>
      </c>
      <c r="B15" s="17" t="s">
        <v>39</v>
      </c>
      <c r="C15" s="17" t="s">
        <v>40</v>
      </c>
      <c r="D15" s="17" t="s">
        <v>41</v>
      </c>
      <c r="E15" s="17">
        <f>CEILING(BoardQty*1.0,1)</f>
        <v>100</v>
      </c>
      <c r="F15" s="18">
        <f>IF(MIN(J15,P15,V15,AB15,AH15,AN15,AT15,AZ15)&lt;&gt;0,MIN(J15,P15,V15,AB15,AH15,AN15,AT15,AZ15),"")</f>
        <v>0.761</v>
      </c>
      <c r="G15" s="19">
        <f>IF(AND(ISNUMBER(E15),ISNUMBER(F15)),E15*F15,"")</f>
        <v>76.1</v>
      </c>
      <c r="H15" s="17">
        <v>106800</v>
      </c>
      <c r="I15" s="17"/>
      <c r="J15" s="18">
        <f>IFERROR(IF(OR(I15&gt;=K15,E15&gt;=K15),LOOKUP(IF(I15="",E15,I15),{0,1},{0.0,1.177}),"MOQ="&amp;K15),"")</f>
        <v>1.177</v>
      </c>
      <c r="K15" s="17">
        <v>1</v>
      </c>
      <c r="L15" s="19">
        <f>IFERROR(IF(I15="",E15,I15)*J15,"")</f>
        <v>117.7</v>
      </c>
      <c r="M15" s="17" t="s">
        <v>63</v>
      </c>
      <c r="N15" s="17">
        <v>8881</v>
      </c>
      <c r="O15" s="17"/>
      <c r="P15" s="18">
        <f>IFERROR(IF(OR(O15&gt;=Q15,E15&gt;=Q15),LOOKUP(IF(O15="",E15,O15),{0,1,10,25,50,100,250,600},{0.0,1.36,1.262,1.1644,0.9704,0.9122,0.8152,0.69875}),"MOQ="&amp;Q15),"")</f>
        <v>0.9122</v>
      </c>
      <c r="Q15" s="17">
        <v>1</v>
      </c>
      <c r="R15" s="19">
        <f>IFERROR(IF(O15="",E15,O15)*P15,"")</f>
        <v>91.22</v>
      </c>
      <c r="S15" s="17" t="s">
        <v>73</v>
      </c>
      <c r="T15" s="17">
        <v>703</v>
      </c>
      <c r="U15" s="17"/>
      <c r="V15" s="18">
        <f>IFERROR(IF(OR(U15&gt;=W15,E15&gt;=W15),USD_GBP*LOOKUP(IF(U15="",E15,U15),{0,1,10,50,100,600,1200},{0.0,1.43,1.01,0.816,0.745,0.529,0.438}),"MOQ="&amp;W15),"")</f>
        <v>1.0285401589749672</v>
      </c>
      <c r="W15" s="17">
        <v>1</v>
      </c>
      <c r="X15" s="19">
        <f>IFERROR(IF(U15="",E15,U15)*V15,"")</f>
        <v>102.854</v>
      </c>
      <c r="Y15" s="17" t="s">
        <v>81</v>
      </c>
      <c r="AF15" s="17">
        <v>284</v>
      </c>
      <c r="AG15" s="17"/>
      <c r="AH15" s="18">
        <f>IFERROR(IF(OR(AG15&gt;=AI15,E15&gt;=AI15),LOOKUP(IF(AG15="",E15,AG15),{0,1,10,50,100,1000,10000},{0.0,1.36,1.02,1.02,0.913,0.699,0.699}),"MOQ="&amp;AI15),"")</f>
        <v>0.913</v>
      </c>
      <c r="AI15" s="17">
        <v>1</v>
      </c>
      <c r="AJ15" s="19">
        <f>IFERROR(IF(AG15="",E15,AG15)*AH15,"")</f>
        <v>91.3</v>
      </c>
      <c r="AK15" s="17" t="s">
        <v>91</v>
      </c>
      <c r="AL15" s="17">
        <v>600</v>
      </c>
      <c r="AM15" s="17"/>
      <c r="AN15" s="18">
        <f>IFERROR(IF(OR(AM15&gt;=AO15,E15&gt;=AO15),LOOKUP(IF(AM15="",E15,AM15),{0,1,10,25,50,100,250,600,1200},{0.0,1.12,0.967,0.889,0.809,0.761,0.683,0.521,0.521}),"MOQ="&amp;AO15),"")</f>
        <v>0.761</v>
      </c>
      <c r="AO15" s="17">
        <v>1</v>
      </c>
      <c r="AP15" s="19">
        <f>IFERROR(IF(AM15="",E15,AM15)*AN15,"")</f>
        <v>76.1</v>
      </c>
      <c r="AQ15" s="17" t="s">
        <v>98</v>
      </c>
      <c r="AR15" s="17">
        <v>410</v>
      </c>
      <c r="AS15" s="17"/>
      <c r="AT15" s="18">
        <f>IFERROR(IF(OR(AS15&gt;=AU15,E15&gt;=AU15),USD_GBP*LOOKUP(IF(AS15="",E15,AS15),{0,1,600,1200,2400,3000,5400},{0.0,0.396,0.396,0.385,0.375,0.365,0.356}),"MOQ="&amp;AU15),"")</f>
        <v/>
      </c>
      <c r="AU15" s="17">
        <v>600</v>
      </c>
      <c r="AV15" s="19">
        <f>IFERROR(IF(AS15="",E15,AS15)*AT15,"")</f>
        <v/>
      </c>
      <c r="AW15" s="17" t="s">
        <v>105</v>
      </c>
    </row>
    <row r="16" spans="1:55">
      <c r="A16" s="17" t="s">
        <v>42</v>
      </c>
      <c r="B16" s="17" t="s">
        <v>43</v>
      </c>
      <c r="C16" s="17" t="s">
        <v>43</v>
      </c>
      <c r="D16" s="17" t="s">
        <v>44</v>
      </c>
      <c r="E16" s="17">
        <f>CEILING(BoardQty*2.0,1)</f>
        <v>200</v>
      </c>
      <c r="F16" s="18">
        <f>IF(MIN(J16,P16,V16,AB16,AH16,AN16,AT16,AZ16)&lt;&gt;0,MIN(J16,P16,V16,AB16,AH16,AN16,AT16,AZ16),"")</f>
        <v>0.6829</v>
      </c>
      <c r="G16" s="19">
        <f>IF(AND(ISNUMBER(E16),ISNUMBER(F16)),E16*F16,"")</f>
        <v>136.58</v>
      </c>
      <c r="H16" s="17">
        <v>10</v>
      </c>
      <c r="I16" s="17"/>
      <c r="J16" s="18">
        <f>IFERROR(IF(OR(I16&gt;=K16,E16&gt;=K16),LOOKUP(IF(I16="",E16,I16),{0,1,800,1600,3200},{0.0,0.6829,0.6106,0.601,0.5439}),"MOQ="&amp;K16),"")</f>
        <v>0.6829</v>
      </c>
      <c r="K16" s="17">
        <v>1</v>
      </c>
      <c r="L16" s="19">
        <f>IFERROR(IF(I16="",E16,I16)*J16,"")</f>
        <v>136.58</v>
      </c>
      <c r="M16" s="17" t="s">
        <v>64</v>
      </c>
      <c r="N16" s="17">
        <v>4094</v>
      </c>
      <c r="O16" s="17"/>
      <c r="P16" s="18">
        <f>IFERROR(IF(OR(O16&gt;=Q16,E16&gt;=Q16),LOOKUP(IF(O16="",E16,O16),{0,1,10,100,1000,5000,10000},{0.0,1.42,1.211,1.0005,0.78986,0.70034,0.68455}),"MOQ="&amp;Q16),"")</f>
        <v>1.0005</v>
      </c>
      <c r="Q16" s="17">
        <v>1</v>
      </c>
      <c r="R16" s="19">
        <f>IFERROR(IF(O16="",E16,O16)*P16,"")</f>
        <v>200.1</v>
      </c>
      <c r="S16" s="17" t="s">
        <v>74</v>
      </c>
      <c r="T16" s="17">
        <v>1917</v>
      </c>
      <c r="U16" s="17"/>
      <c r="V16" s="18">
        <f>IFERROR(IF(OR(U16&gt;=W16,E16&gt;=W16),USD_GBP*LOOKUP(IF(U16="",E16,U16),{0,1,10,50,100,500,1000,6400},{0.0,1.13,0.972,0.886,0.8,0.734,0.629,0.455}),"MOQ="&amp;W16),"")</f>
        <v>1.1044726539328509</v>
      </c>
      <c r="W16" s="17">
        <v>1</v>
      </c>
      <c r="X16" s="19">
        <f>IFERROR(IF(U16="",E16,U16)*V16,"")</f>
        <v>220.8945</v>
      </c>
      <c r="Y16" s="17" t="s">
        <v>82</v>
      </c>
      <c r="AF16" s="17">
        <v>2082</v>
      </c>
      <c r="AG16" s="17"/>
      <c r="AH16" s="18">
        <f>IFERROR(IF(OR(AG16&gt;=AI16,E16&gt;=AI16),LOOKUP(IF(AG16="",E16,AG16),{0,1,10,50,100,1000,10000},{0.0,1.49,1.27,1.27,1.05,0.963,0.715}),"MOQ="&amp;AI16),"")</f>
        <v>1.05</v>
      </c>
      <c r="AI16" s="17">
        <v>1</v>
      </c>
      <c r="AJ16" s="19">
        <f>IFERROR(IF(AG16="",E16,AG16)*AH16,"")</f>
        <v>210.0</v>
      </c>
      <c r="AK16" s="17" t="s">
        <v>92</v>
      </c>
      <c r="AL16" s="17">
        <v>109</v>
      </c>
      <c r="AM16" s="17"/>
      <c r="AN16" s="18">
        <f>IFERROR(IF(OR(AM16&gt;=AO16,E16&gt;=AO16),LOOKUP(IF(AM16="",E16,AM16),{0,1,10,25,50,100,250},{0.0,1.52,1.3,1.22,1.15,1.07,1.03}),"MOQ="&amp;AO16),"")</f>
        <v>1.07</v>
      </c>
      <c r="AO16" s="17">
        <v>1</v>
      </c>
      <c r="AP16" s="19">
        <f>IFERROR(IF(AM16="",E16,AM16)*AN16,"")</f>
        <v>214.0</v>
      </c>
      <c r="AQ16" s="17" t="s">
        <v>99</v>
      </c>
      <c r="AR16" s="17">
        <v>262</v>
      </c>
      <c r="AS16" s="17"/>
      <c r="AT16" s="18">
        <f>IFERROR(IF(OR(AS16&gt;=AU16,E16&gt;=AU16),USD_GBP*LOOKUP(IF(AS16="",E16,AS16),{0,1,10,200,400,750},{0.0,1.174,1.174,1.019,0.918,0.842}),"MOQ="&amp;AU16),"")</f>
        <v>1.4068220429469687</v>
      </c>
      <c r="AU16" s="17">
        <v>10</v>
      </c>
      <c r="AV16" s="19">
        <f>IFERROR(IF(AS16="",E16,AS16)*AT16,"")</f>
        <v>281.3644</v>
      </c>
      <c r="AW16" s="17" t="s">
        <v>106</v>
      </c>
    </row>
    <row r="17" spans="1:54">
      <c r="A17" s="17" t="s">
        <v>45</v>
      </c>
      <c r="B17" s="17" t="s">
        <v>46</v>
      </c>
      <c r="C17" s="17" t="s">
        <v>47</v>
      </c>
      <c r="E17" s="17">
        <f>CEILING(BoardQty*1,1)</f>
        <v>100</v>
      </c>
      <c r="F17" s="18">
        <f>IF(MIN(J17,P17,V17,AB17,AH17,AN17,AT17,AZ17)&lt;&gt;0,MIN(J17,P17,V17,AB17,AH17,AN17,AT17,AZ17),"")</f>
        <v/>
      </c>
      <c r="G17" s="19">
        <f>IF(AND(ISNUMBER(E17),ISNUMBER(F17)),E17*F17,"")</f>
        <v/>
      </c>
    </row>
    <row r="18" spans="1:54">
      <c r="A18" s="17" t="s">
        <v>48</v>
      </c>
      <c r="B18" s="17" t="s">
        <v>49</v>
      </c>
      <c r="C18" s="17" t="s">
        <v>47</v>
      </c>
      <c r="E18" s="17">
        <f>CEILING(BoardQty*1,1)</f>
        <v>100</v>
      </c>
      <c r="F18" s="18">
        <f>IF(MIN(J18,P18,V18,AB18,AH18,AN18,AT18,AZ18)&lt;&gt;0,MIN(J18,P18,V18,AB18,AH18,AN18,AT18,AZ18),"")</f>
        <v/>
      </c>
      <c r="G18" s="19">
        <f>IF(AND(ISNUMBER(E18),ISNUMBER(F18)),E18*F18,"")</f>
        <v/>
      </c>
    </row>
    <row r="19" spans="1:54">
      <c r="A19" s="17" t="s">
        <v>50</v>
      </c>
      <c r="B19" s="17" t="s">
        <v>51</v>
      </c>
      <c r="C19" s="17" t="s">
        <v>47</v>
      </c>
      <c r="E19" s="17">
        <f>CEILING(BoardQty*1,1)</f>
        <v>100</v>
      </c>
      <c r="F19" s="18">
        <f>IF(MIN(J19,P19,V19,AB19,AH19,AN19,AT19,AZ19)&lt;&gt;0,MIN(J19,P19,V19,AB19,AH19,AN19,AT19,AZ19),"")</f>
        <v/>
      </c>
      <c r="G19" s="19">
        <f>IF(AND(ISNUMBER(E19),ISNUMBER(F19)),E19*F19,"")</f>
        <v/>
      </c>
    </row>
    <row r="20" spans="1:54">
      <c r="A20" s="17" t="s">
        <v>52</v>
      </c>
      <c r="B20" s="17" t="s">
        <v>53</v>
      </c>
      <c r="C20" s="17" t="s">
        <v>47</v>
      </c>
      <c r="E20" s="17">
        <f>CEILING(BoardQty*1,1)</f>
        <v>100</v>
      </c>
      <c r="F20" s="18">
        <f>IF(MIN(J20,P20,V20,AB20,AH20,AN20,AT20,AZ20)&lt;&gt;0,MIN(J20,P20,V20,AB20,AH20,AN20,AT20,AZ20),"")</f>
        <v/>
      </c>
      <c r="G20" s="19">
        <f>IF(AND(ISNUMBER(E20),ISNUMBER(F20)),E20*F20,"")</f>
        <v/>
      </c>
    </row>
    <row r="21" spans="1:54">
      <c r="A21" s="17" t="s">
        <v>54</v>
      </c>
      <c r="B21" s="17" t="s">
        <v>55</v>
      </c>
      <c r="C21" s="17" t="s">
        <v>55</v>
      </c>
      <c r="D21" s="17" t="s">
        <v>56</v>
      </c>
      <c r="E21" s="17">
        <f>CEILING(BoardQty*1.0,1)</f>
        <v>100</v>
      </c>
      <c r="F21" s="18">
        <f>IF(MIN(J21,P21,V21,AB21,AH21,AN21,AT21,AZ21)&lt;&gt;0,MIN(J21,P21,V21,AB21,AH21,AN21,AT21,AZ21),"")</f>
        <v>3.6751</v>
      </c>
      <c r="G21" s="19">
        <f>IF(AND(ISNUMBER(E21),ISNUMBER(F21)),E21*F21,"")</f>
        <v>367.51</v>
      </c>
      <c r="H21" s="20" t="s">
        <v>62</v>
      </c>
      <c r="I21" s="17"/>
      <c r="J21" s="18">
        <f>IFERROR(IF(OR(I21&gt;=K21,E21&gt;=K21),LOOKUP(IF(I21="",E21,I21),{0,1,2500,5000,10000,15000,20000,25000,30000,40000,50000},{0.0,2.54,2.54,2.525,2.511,2.496,2.481,2.466,2.451,2.435,2.42}),"MOQ="&amp;K21),"")</f>
        <v/>
      </c>
      <c r="K21" s="17">
        <v>2500</v>
      </c>
      <c r="L21" s="19">
        <f>IFERROR(IF(I21="",E21,I21)*J21,"")</f>
        <v/>
      </c>
      <c r="M21" s="17" t="s">
        <v>65</v>
      </c>
      <c r="N21" s="17">
        <v>487</v>
      </c>
      <c r="O21" s="17"/>
      <c r="P21" s="18">
        <f>IFERROR(IF(OR(O21&gt;=Q21,E21&gt;=Q21),LOOKUP(IF(O21="",E21,O21),{0,1,10,25,100,250,500,1000,2500},{0.0,4.99,4.486,4.2404,3.6751,3.48664,3.12856,3.1115,3.1115}),"MOQ="&amp;Q21),"")</f>
        <v>3.6751</v>
      </c>
      <c r="Q21" s="17">
        <v>1</v>
      </c>
      <c r="R21" s="19">
        <f>IFERROR(IF(O21="",E21,O21)*P21,"")</f>
        <v>367.51</v>
      </c>
      <c r="S21" s="17" t="s">
        <v>75</v>
      </c>
    </row>
    <row r="23" spans="1:54">
      <c r="B23" s="21" t="s">
        <v>110</v>
      </c>
      <c r="F23" s="1" t="s">
        <v>108</v>
      </c>
      <c r="G23" s="5">
        <f>SUM(L23,R23,X23,AD23,AJ23,AP23,AV23,BB23)</f>
        <v>0</v>
      </c>
      <c r="H23" s="22" t="s">
        <v>66</v>
      </c>
      <c r="I23" s="6">
        <f>IFERROR(IF(COUNTIF(I7:I21,"&gt;0")&gt;0,COUNTIF(I7:I21,"&gt;0")&amp;" of "&amp;(ROWS(K7:K21)-COUNTBLANK(K7:K21))&amp;" parts purchased",""),"")</f>
        <v/>
      </c>
      <c r="L23" s="5">
        <f>SUMIF(I7:I21,"&gt;0",L7:L21)</f>
        <v>0</v>
      </c>
      <c r="N23" s="22" t="s">
        <v>66</v>
      </c>
      <c r="O23" s="6">
        <f>IFERROR(IF(COUNTIF(O7:O21,"&gt;0")&gt;0,COUNTIF(O7:O21,"&gt;0")&amp;" of "&amp;(ROWS(Q7:Q21)-COUNTBLANK(Q7:Q21))&amp;" parts purchased",""),"")</f>
        <v/>
      </c>
      <c r="R23" s="5">
        <f>SUMIF(O7:O21,"&gt;0",R7:R21)</f>
        <v>0</v>
      </c>
      <c r="T23" s="22" t="s">
        <v>66</v>
      </c>
      <c r="U23" s="6">
        <f>IFERROR(IF(COUNTIF(U7:U21,"&gt;0")&gt;0,COUNTIF(U7:U21,"&gt;0")&amp;" of "&amp;(ROWS(W7:W21)-COUNTBLANK(W7:W21))&amp;" parts purchased",""),"")</f>
        <v/>
      </c>
      <c r="X23" s="5">
        <f>SUMIF(U7:U21,"&gt;0",X7:X21)</f>
        <v>0</v>
      </c>
      <c r="Z23" s="22" t="s">
        <v>66</v>
      </c>
      <c r="AA23" s="6">
        <f>IFERROR(IF(COUNTIF(AA7:AA21,"&gt;0")&gt;0,COUNTIF(AA7:AA21,"&gt;0")&amp;" of "&amp;(ROWS(AC7:AC21)-COUNTBLANK(AC7:AC21))&amp;" parts purchased",""),"")</f>
        <v/>
      </c>
      <c r="AD23" s="5">
        <f>SUMIF(AA7:AA21,"&gt;0",AD7:AD21)</f>
        <v>0</v>
      </c>
      <c r="AF23" s="22" t="s">
        <v>66</v>
      </c>
      <c r="AG23" s="6">
        <f>IFERROR(IF(COUNTIF(AG7:AG21,"&gt;0")&gt;0,COUNTIF(AG7:AG21,"&gt;0")&amp;" of "&amp;(ROWS(AI7:AI21)-COUNTBLANK(AI7:AI21))&amp;" parts purchased",""),"")</f>
        <v/>
      </c>
      <c r="AJ23" s="5">
        <f>SUMIF(AG7:AG21,"&gt;0",AJ7:AJ21)</f>
        <v>0</v>
      </c>
      <c r="AL23" s="22" t="s">
        <v>66</v>
      </c>
      <c r="AM23" s="6">
        <f>IFERROR(IF(COUNTIF(AM7:AM21,"&gt;0")&gt;0,COUNTIF(AM7:AM21,"&gt;0")&amp;" of "&amp;(ROWS(AO7:AO21)-COUNTBLANK(AO7:AO21))&amp;" parts purchased",""),"")</f>
        <v/>
      </c>
      <c r="AP23" s="5">
        <f>SUMIF(AM7:AM21,"&gt;0",AP7:AP21)</f>
        <v>0</v>
      </c>
      <c r="AR23" s="22" t="s">
        <v>66</v>
      </c>
      <c r="AS23" s="6">
        <f>IFERROR(IF(COUNTIF(AS7:AS21,"&gt;0")&gt;0,COUNTIF(AS7:AS21,"&gt;0")&amp;" of "&amp;(ROWS(AU7:AU21)-COUNTBLANK(AU7:AU21))&amp;" parts purchased",""),"")</f>
        <v/>
      </c>
      <c r="AV23" s="5">
        <f>SUMIF(AS7:AS21,"&gt;0",AV7:AV21)</f>
        <v>0</v>
      </c>
      <c r="AX23" s="22" t="s">
        <v>66</v>
      </c>
      <c r="AY23" s="6">
        <f>IFERROR(IF(COUNTIF(AY7:AY21,"&gt;0")&gt;0,COUNTIF(AY7:AY21,"&gt;0")&amp;" of "&amp;(ROWS(BA7:BA21)-COUNTBLANK(BA7:BA21))&amp;" parts purchased",""),"")</f>
        <v/>
      </c>
      <c r="BB23" s="5">
        <f>SUMIF(AY7:AY21,"&gt;0",BB7:BB21)</f>
        <v>0</v>
      </c>
    </row>
    <row r="24" spans="1:54">
      <c r="B24" s="21" t="s">
        <v>111</v>
      </c>
      <c r="C24">
        <v>1.380590817416063</v>
      </c>
      <c r="F24" s="21" t="s">
        <v>109</v>
      </c>
      <c r="I24" s="23">
        <f>CONCATENATE(I40,I41,I42,I43,I44,I45,I46,I47,I48,I49,I50,I51,I52,I53,I54)</f>
        <v/>
      </c>
      <c r="O24" s="23">
        <f>CONCATENATE(O40,O41,O42,O43,O44,O45,O46,O47,O48,O49,O50,O51,O52,O53,O54)</f>
        <v/>
      </c>
      <c r="U24" s="23">
        <f>CONCATENATE(U40,U41,U42,U43,U44,U45,U46,U47,U48,U49,U50,U51,U52,U53,U54)</f>
        <v/>
      </c>
      <c r="AA24" s="23" t="str">
        <f>CONCATENATE(AA55,AA40,AA41,AA42,AA43,AA44,AA45,AA46,AA47,AA48,AA49,AA50,AA51,AA52,AA53,AA54)</f>
        <v>Copy this header and order to a CSV
file and use it for JLCPCB 
manufacturer PCB house.
The multipart components that use
"#" symbol are not allowed by JLCPCB.</v>
      </c>
      <c r="AG24" s="23">
        <f>CONCATENATE(AG40,AG41,AG42,AG43,AG44,AG45,AG46,AG47,AG48,AG49,AG50,AG51,AG52,AG53,AG54)</f>
        <v/>
      </c>
      <c r="AM24" s="23">
        <f>CONCATENATE(AM40,AM41,AM42,AM43,AM44,AM45,AM46,AM47,AM48,AM49,AM50,AM51,AM52,AM53,AM54)</f>
        <v/>
      </c>
      <c r="AS24" s="23">
        <f>CONCATENATE(AS40,AS41,AS42,AS43,AS44,AS45,AS46,AS47,AS48,AS49,AS50,AS51,AS52,AS53,AS54)</f>
        <v/>
      </c>
      <c r="AY24" s="23">
        <f>CONCATENATE(AY40,AY41,AY42,AY43,AY44,AY45,AY46,AY47,AY48,AY49,AY50,AY51,AY52,AY53,AY54)</f>
        <v/>
      </c>
    </row>
    <row r="26" spans="1:54">
      <c r="A26" s="2" t="s">
        <v>122</v>
      </c>
    </row>
    <row r="40" spans="9:51" ht="30" hidden="1" customHeight="1">
      <c r="I40" t="str">
        <f t="array" ref="I40:I54">IF(ISNUMBER(I7:I21)*(I7:I21&gt;=K7:K21)*(M7:M21&lt;&gt;""),M7:M21&amp;","&amp;TEXT(ROUNDUP(I7:I21/IF(ISNUMBER(K7:K21),K7:K21,1))*K7:K21,"##0")&amp;","&amp;SUBSTITUTE(SUBSTITUTE(IF(PURCHASE_DESCRIPTION&lt;&gt;"",PURCHASE_DESCRIPTION&amp;":","")&amp;A7:A21,",",";"),"
"," ")&amp;CHAR(10),"")</f>
        <v/>
      </c>
      <c r="O40" t="str">
        <f t="array" ref="O40:O54">IF(ISNUMBER(O7:O21)*(O7:O21&gt;=Q7:Q21)*(S7:S21&lt;&gt;""),TEXT(ROUNDUP(O7:O21/IF(ISNUMBER(Q7:Q21),Q7:Q21,1))*Q7:Q21,"##0")&amp;","&amp;S7:S21&amp;","&amp;SUBSTITUTE(SUBSTITUTE(IF(PURCHASE_DESCRIPTION&lt;&gt;"",PURCHASE_DESCRIPTION&amp;":","")&amp;A7:A21,",",";"),"
"," ")&amp;CHAR(10),"")</f>
        <v/>
      </c>
      <c r="U40" t="str">
        <f t="array" ref="U40:U54">IF(ISNUMBER(U7:U21)*(U7:U21&gt;=W7:W21)*(Y7:Y21&lt;&gt;""),Y7:Y21&amp;","&amp;TEXT(ROUNDUP(U7:U21/IF(ISNUMBER(W7:W21),W7:W21,1))*W7:W21,"##0")&amp;","&amp;""&amp;","&amp;LEFT(SUBSTITUTE(SUBSTITUTE(IF(PURCHASE_DESCRIPTION&lt;&gt;"",PURCHASE_DESCRIPTION&amp;":","")&amp;A7:A21,",",";"),"
"," "),30)&amp;CHAR(10),"")</f>
        <v/>
      </c>
      <c r="AA40" t="str">
        <f t="array" ref="AA40:AA54">IF(ISNUMBER(AA7:AA21)*(AA7:AA21&gt;=AC7:AC21)*(AE7:AE21&lt;&gt;""),TEXT(ROUNDUP(AA7:AA21/IF(ISNUMBER(AC7:AC21),AC7:AC21,1))*AC7:AC21,"##0")&amp;","&amp;SUBSTITUTE(SUBSTITUTE(IF(PURCHASE_DESCRIPTION&lt;&gt;"",PURCHASE_DESCRIPTION&amp;":","")&amp;A7:A21,",",";"),"
"," ")&amp;","&amp;SUBSTITUTE(SUBSTITUTE(IF(PURCHASE_DESCRIPTION&lt;&gt;"",PURCHASE_DESCRIPTION&amp;":","")&amp;C7:C21,",",";"),"
"," ")&amp;","&amp;AE7:AE21&amp;CHAR(10),"")</f>
        <v/>
      </c>
      <c r="AG40" t="str">
        <f t="array" ref="AG40:AG54">IF(ISNUMBER(AG7:AG21)*(AG7:AG21&gt;=AI7:AI21)*(AK7:AK21&lt;&gt;""),AK7:AK21&amp;"|"&amp;TEXT(ROUNDUP(AG7:AG21/IF(ISNUMBER(AI7:AI21),AI7:AI21,1))*AI7:AI21,"##0")&amp;"|"&amp;SUBSTITUTE(SUBSTITUTE(SUBSTITUTE(IF(PURCHASE_DESCRIPTION&lt;&gt;"",PURCHASE_DESCRIPTION&amp;":","")&amp;A7:A21,"|",";")," ","_"),"
","_")&amp;CHAR(10),"")</f>
        <v/>
      </c>
      <c r="AM40" t="str">
        <f t="array" ref="AM40:AM54">IF(ISNUMBER(AM7:AM21)*(AM7:AM21&gt;=AO7:AO21)*(AQ7:AQ21&lt;&gt;""),AQ7:AQ21&amp;","&amp;TEXT(ROUNDUP(AM7:AM21/IF(ISNUMBER(AO7:AO21),AO7:AO21,1))*AO7:AO21,"##0")&amp;","&amp;SUBSTITUTE(SUBSTITUTE(IF(PURCHASE_DESCRIPTION&lt;&gt;"",PURCHASE_DESCRIPTION&amp;":","")&amp;A7:A21,",",";"),"
"," ")&amp;","&amp;""&amp;CHAR(10),"")</f>
        <v/>
      </c>
      <c r="AS40" t="str">
        <f t="array" ref="AS40:AS54">IF(ISNUMBER(AS7:AS21)*(AS7:AS21&gt;=AU7:AU21)*(AW7:AW21&lt;&gt;""),AW7:AW21&amp;","&amp;TEXT(ROUNDUP(AS7:AS21/IF(ISNUMBER(AU7:AU21),AU7:AU21,1))*AU7:AU21,"##0")&amp;","&amp;""&amp;","&amp;""&amp;","&amp;""&amp;","&amp;D7:D21&amp;","&amp;SUBSTITUTE(SUBSTITUTE(IF(PURCHASE_DESCRIPTION&lt;&gt;"",PURCHASE_DESCRIPTION&amp;":","")&amp;A7:A21,",",";"),"
"," ")&amp;CHAR(10),"")</f>
        <v/>
      </c>
      <c r="AY40" t="str">
        <f t="array" ref="AY40:AY54">IF(ISNUMBER(AY7:AY21)*(AY7:AY21&gt;=BA7:BA21)*(BC7:BC21&lt;&gt;""),BC7:BC21&amp;" "&amp;TEXT(ROUNDUP(AY7:AY21/IF(ISNUMBER(BA7:BA21),BA7:BA21,1))*BA7:BA21,"##0")&amp;" "&amp;SUBSTITUTE(SUBSTITUTE(IF(PURCHASE_DESCRIPTION&lt;&gt;"",PURCHASE_DESCRIPTION&amp;":","")&amp;A7:A21," ",";"),"
",";")&amp;CHAR(10),"")</f>
        <v/>
      </c>
    </row>
    <row r="41" spans="9:51" ht="30" hidden="1" customHeight="1">
      <c r="I41">
        <v>0</v>
      </c>
      <c r="O41">
        <v>0</v>
      </c>
      <c r="U41">
        <v>0</v>
      </c>
      <c r="AA41">
        <v>0</v>
      </c>
      <c r="AG41">
        <v>0</v>
      </c>
      <c r="AM41">
        <v>0</v>
      </c>
      <c r="AS41">
        <v>0</v>
      </c>
      <c r="AY41">
        <v>0</v>
      </c>
    </row>
    <row r="42" spans="9:51" ht="30" hidden="1" customHeight="1">
      <c r="I42">
        <v>0</v>
      </c>
      <c r="O42">
        <v>0</v>
      </c>
      <c r="U42">
        <v>0</v>
      </c>
      <c r="AA42">
        <v>0</v>
      </c>
      <c r="AG42">
        <v>0</v>
      </c>
      <c r="AM42">
        <v>0</v>
      </c>
      <c r="AS42">
        <v>0</v>
      </c>
      <c r="AY42">
        <v>0</v>
      </c>
    </row>
    <row r="43" spans="9:51" ht="30" hidden="1" customHeight="1">
      <c r="I43">
        <v>0</v>
      </c>
      <c r="O43">
        <v>0</v>
      </c>
      <c r="U43">
        <v>0</v>
      </c>
      <c r="AA43">
        <v>0</v>
      </c>
      <c r="AG43">
        <v>0</v>
      </c>
      <c r="AM43">
        <v>0</v>
      </c>
      <c r="AS43">
        <v>0</v>
      </c>
      <c r="AY43">
        <v>0</v>
      </c>
    </row>
    <row r="44" spans="9:51" ht="30" hidden="1" customHeight="1">
      <c r="I44">
        <v>0</v>
      </c>
      <c r="O44">
        <v>0</v>
      </c>
      <c r="U44">
        <v>0</v>
      </c>
      <c r="AA44">
        <v>0</v>
      </c>
      <c r="AG44">
        <v>0</v>
      </c>
      <c r="AM44">
        <v>0</v>
      </c>
      <c r="AS44">
        <v>0</v>
      </c>
      <c r="AY44">
        <v>0</v>
      </c>
    </row>
    <row r="45" spans="9:51" ht="30" hidden="1" customHeight="1">
      <c r="I45">
        <v>0</v>
      </c>
      <c r="O45">
        <v>0</v>
      </c>
      <c r="U45">
        <v>0</v>
      </c>
      <c r="AA45">
        <v>0</v>
      </c>
      <c r="AG45">
        <v>0</v>
      </c>
      <c r="AM45">
        <v>0</v>
      </c>
      <c r="AS45">
        <v>0</v>
      </c>
      <c r="AY45">
        <v>0</v>
      </c>
    </row>
    <row r="46" spans="9:51" ht="30" hidden="1" customHeight="1">
      <c r="I46">
        <v>0</v>
      </c>
      <c r="O46">
        <v>0</v>
      </c>
      <c r="U46">
        <v>0</v>
      </c>
      <c r="AA46">
        <v>0</v>
      </c>
      <c r="AG46">
        <v>0</v>
      </c>
      <c r="AM46">
        <v>0</v>
      </c>
      <c r="AS46">
        <v>0</v>
      </c>
      <c r="AY46">
        <v>0</v>
      </c>
    </row>
    <row r="47" spans="9:51" ht="30" hidden="1" customHeight="1">
      <c r="I47">
        <v>0</v>
      </c>
      <c r="O47">
        <v>0</v>
      </c>
      <c r="U47">
        <v>0</v>
      </c>
      <c r="AA47">
        <v>0</v>
      </c>
      <c r="AG47">
        <v>0</v>
      </c>
      <c r="AM47">
        <v>0</v>
      </c>
      <c r="AS47">
        <v>0</v>
      </c>
      <c r="AY47">
        <v>0</v>
      </c>
    </row>
    <row r="48" spans="9:51" ht="30" hidden="1" customHeight="1">
      <c r="I48">
        <v>0</v>
      </c>
      <c r="O48">
        <v>0</v>
      </c>
      <c r="U48">
        <v>0</v>
      </c>
      <c r="AA48">
        <v>0</v>
      </c>
      <c r="AG48">
        <v>0</v>
      </c>
      <c r="AM48">
        <v>0</v>
      </c>
      <c r="AS48">
        <v>0</v>
      </c>
      <c r="AY48">
        <v>0</v>
      </c>
    </row>
    <row r="49" spans="9:51" ht="30" hidden="1" customHeight="1">
      <c r="I49">
        <v>0</v>
      </c>
      <c r="O49">
        <v>0</v>
      </c>
      <c r="U49">
        <v>0</v>
      </c>
      <c r="AA49">
        <v>0</v>
      </c>
      <c r="AG49">
        <v>0</v>
      </c>
      <c r="AM49">
        <v>0</v>
      </c>
      <c r="AS49">
        <v>0</v>
      </c>
      <c r="AY49">
        <v>0</v>
      </c>
    </row>
    <row r="50" spans="9:51" ht="30" hidden="1" customHeight="1">
      <c r="I50">
        <v>0</v>
      </c>
      <c r="O50">
        <v>0</v>
      </c>
      <c r="U50">
        <v>0</v>
      </c>
      <c r="AA50">
        <v>0</v>
      </c>
      <c r="AG50">
        <v>0</v>
      </c>
      <c r="AM50">
        <v>0</v>
      </c>
      <c r="AS50">
        <v>0</v>
      </c>
      <c r="AY50">
        <v>0</v>
      </c>
    </row>
    <row r="51" spans="9:51" ht="30" hidden="1" customHeight="1">
      <c r="I51">
        <v>0</v>
      </c>
      <c r="O51">
        <v>0</v>
      </c>
      <c r="U51">
        <v>0</v>
      </c>
      <c r="AA51">
        <v>0</v>
      </c>
      <c r="AG51">
        <v>0</v>
      </c>
      <c r="AM51">
        <v>0</v>
      </c>
      <c r="AS51">
        <v>0</v>
      </c>
      <c r="AY51">
        <v>0</v>
      </c>
    </row>
    <row r="52" spans="9:51" ht="30" hidden="1" customHeight="1">
      <c r="I52">
        <v>0</v>
      </c>
      <c r="O52">
        <v>0</v>
      </c>
      <c r="U52">
        <v>0</v>
      </c>
      <c r="AA52">
        <v>0</v>
      </c>
      <c r="AG52">
        <v>0</v>
      </c>
      <c r="AM52">
        <v>0</v>
      </c>
      <c r="AS52">
        <v>0</v>
      </c>
      <c r="AY52">
        <v>0</v>
      </c>
    </row>
    <row r="53" spans="9:51" ht="30" hidden="1" customHeight="1">
      <c r="I53">
        <v>0</v>
      </c>
      <c r="O53">
        <v>0</v>
      </c>
      <c r="U53">
        <v>0</v>
      </c>
      <c r="AA53">
        <v>0</v>
      </c>
      <c r="AG53">
        <v>0</v>
      </c>
      <c r="AM53">
        <v>0</v>
      </c>
      <c r="AS53">
        <v>0</v>
      </c>
      <c r="AY53">
        <v>0</v>
      </c>
    </row>
    <row r="54" spans="9:51" ht="30" hidden="1" customHeight="1">
      <c r="I54">
        <v>0</v>
      </c>
      <c r="O54">
        <v>0</v>
      </c>
      <c r="U54">
        <v>0</v>
      </c>
      <c r="AA54">
        <v>0</v>
      </c>
      <c r="AG54">
        <v>0</v>
      </c>
      <c r="AM54">
        <v>0</v>
      </c>
      <c r="AS54">
        <v>0</v>
      </c>
      <c r="AY54">
        <v>0</v>
      </c>
    </row>
    <row r="55" spans="9:51" ht="30" hidden="1" customHeight="1">
      <c r="AA55">
        <f>IFERROR(IF(COUNTIFS(AA7:AA21,"&gt;0",AD7:AD21,"&lt;&gt;")&gt;0,"Quantity,Comment,Designator,Footprint,LCSC Part #(optional)"&amp;CHAR(10),""),"")</f>
        <v/>
      </c>
    </row>
  </sheetData>
  <mergeCells count="17">
    <mergeCell ref="A5:G5"/>
    <mergeCell ref="H5:M5"/>
    <mergeCell ref="I24:L39"/>
    <mergeCell ref="N5:S5"/>
    <mergeCell ref="O24:R39"/>
    <mergeCell ref="T5:Y5"/>
    <mergeCell ref="U24:X39"/>
    <mergeCell ref="Z5:AE5"/>
    <mergeCell ref="AA24:AD39"/>
    <mergeCell ref="AF5:AK5"/>
    <mergeCell ref="AG24:AJ39"/>
    <mergeCell ref="AL5:AQ5"/>
    <mergeCell ref="AM24:AP39"/>
    <mergeCell ref="AR5:AW5"/>
    <mergeCell ref="AS24:AV39"/>
    <mergeCell ref="AX5:BC5"/>
    <mergeCell ref="AY24:BB39"/>
  </mergeCells>
  <conditionalFormatting sqref="AA9">
    <cfRule type="expression" dxfId="3" priority="96">
      <formula>AND(AA9&gt;0,MOD(AA9,AC9)&lt;&gt;0)</formula>
    </cfRule>
    <cfRule type="expression" dxfId="1" priority="97">
      <formula>AND(NOT(ISBLANK(AA9)),OR(Z9="NonStk",AA9&gt;Z9))</formula>
    </cfRule>
  </conditionalFormatting>
  <conditionalFormatting sqref="AB9">
    <cfRule type="cellIs" dxfId="2" priority="99" operator="lessThanOrEqual">
      <formula>F9</formula>
    </cfRule>
  </conditionalFormatting>
  <conditionalFormatting sqref="AD9">
    <cfRule type="cellIs" dxfId="2" priority="98" operator="lessThanOrEqual">
      <formula>G9</formula>
    </cfRule>
  </conditionalFormatting>
  <conditionalFormatting sqref="AF11">
    <cfRule type="cellIs" dxfId="0" priority="112" operator="lessThan">
      <formula>E11</formula>
    </cfRule>
  </conditionalFormatting>
  <conditionalFormatting sqref="AF13">
    <cfRule type="cellIs" dxfId="0" priority="116" operator="lessThan">
      <formula>E13</formula>
    </cfRule>
  </conditionalFormatting>
  <conditionalFormatting sqref="AF15">
    <cfRule type="cellIs" dxfId="0" priority="120" operator="lessThan">
      <formula>E15</formula>
    </cfRule>
  </conditionalFormatting>
  <conditionalFormatting sqref="AF16">
    <cfRule type="cellIs" dxfId="0" priority="124" operator="lessThan">
      <formula>E16</formula>
    </cfRule>
  </conditionalFormatting>
  <conditionalFormatting sqref="AF7">
    <cfRule type="cellIs" dxfId="0" priority="100" operator="lessThan">
      <formula>E7</formula>
    </cfRule>
  </conditionalFormatting>
  <conditionalFormatting sqref="AF8">
    <cfRule type="cellIs" dxfId="0" priority="104" operator="lessThan">
      <formula>E8</formula>
    </cfRule>
  </conditionalFormatting>
  <conditionalFormatting sqref="AF9">
    <cfRule type="cellIs" dxfId="0" priority="108" operator="lessThan">
      <formula>E9</formula>
    </cfRule>
  </conditionalFormatting>
  <conditionalFormatting sqref="AG11">
    <cfRule type="expression" dxfId="1" priority="113">
      <formula>AND(NOT(ISBLANK(AG11)),OR(AF11="NonStk",AG11&gt;AF11))</formula>
    </cfRule>
  </conditionalFormatting>
  <conditionalFormatting sqref="AG13">
    <cfRule type="expression" dxfId="1" priority="117">
      <formula>AND(NOT(ISBLANK(AG13)),OR(AF13="NonStk",AG13&gt;AF13))</formula>
    </cfRule>
  </conditionalFormatting>
  <conditionalFormatting sqref="AG15">
    <cfRule type="expression" dxfId="1" priority="121">
      <formula>AND(NOT(ISBLANK(AG15)),OR(AF15="NonStk",AG15&gt;AF15))</formula>
    </cfRule>
  </conditionalFormatting>
  <conditionalFormatting sqref="AG16">
    <cfRule type="expression" dxfId="1" priority="125">
      <formula>AND(NOT(ISBLANK(AG16)),OR(AF16="NonStk",AG16&gt;AF16))</formula>
    </cfRule>
  </conditionalFormatting>
  <conditionalFormatting sqref="AG7">
    <cfRule type="expression" dxfId="1" priority="101">
      <formula>AND(NOT(ISBLANK(AG7)),OR(AF7="NonStk",AG7&gt;AF7))</formula>
    </cfRule>
  </conditionalFormatting>
  <conditionalFormatting sqref="AG8">
    <cfRule type="expression" dxfId="1" priority="105">
      <formula>AND(NOT(ISBLANK(AG8)),OR(AF8="NonStk",AG8&gt;AF8))</formula>
    </cfRule>
  </conditionalFormatting>
  <conditionalFormatting sqref="AG9">
    <cfRule type="expression" dxfId="1" priority="109">
      <formula>AND(NOT(ISBLANK(AG9)),OR(AF9="NonStk",AG9&gt;AF9))</formula>
    </cfRule>
  </conditionalFormatting>
  <conditionalFormatting sqref="AH11">
    <cfRule type="cellIs" dxfId="2" priority="115" operator="lessThanOrEqual">
      <formula>F11</formula>
    </cfRule>
  </conditionalFormatting>
  <conditionalFormatting sqref="AH13">
    <cfRule type="cellIs" dxfId="2" priority="119" operator="lessThanOrEqual">
      <formula>F13</formula>
    </cfRule>
  </conditionalFormatting>
  <conditionalFormatting sqref="AH15">
    <cfRule type="cellIs" dxfId="2" priority="123" operator="lessThanOrEqual">
      <formula>F15</formula>
    </cfRule>
  </conditionalFormatting>
  <conditionalFormatting sqref="AH16">
    <cfRule type="cellIs" dxfId="2" priority="127" operator="lessThanOrEqual">
      <formula>F16</formula>
    </cfRule>
  </conditionalFormatting>
  <conditionalFormatting sqref="AH7">
    <cfRule type="cellIs" dxfId="2" priority="103" operator="lessThanOrEqual">
      <formula>F7</formula>
    </cfRule>
  </conditionalFormatting>
  <conditionalFormatting sqref="AH8">
    <cfRule type="cellIs" dxfId="2" priority="107" operator="lessThanOrEqual">
      <formula>F8</formula>
    </cfRule>
  </conditionalFormatting>
  <conditionalFormatting sqref="AH9">
    <cfRule type="cellIs" dxfId="2" priority="111" operator="lessThanOrEqual">
      <formula>F9</formula>
    </cfRule>
  </conditionalFormatting>
  <conditionalFormatting sqref="AJ11">
    <cfRule type="cellIs" dxfId="2" priority="114" operator="lessThanOrEqual">
      <formula>G11</formula>
    </cfRule>
  </conditionalFormatting>
  <conditionalFormatting sqref="AJ13">
    <cfRule type="cellIs" dxfId="2" priority="118" operator="lessThanOrEqual">
      <formula>G13</formula>
    </cfRule>
  </conditionalFormatting>
  <conditionalFormatting sqref="AJ15">
    <cfRule type="cellIs" dxfId="2" priority="122" operator="lessThanOrEqual">
      <formula>G15</formula>
    </cfRule>
  </conditionalFormatting>
  <conditionalFormatting sqref="AJ16">
    <cfRule type="cellIs" dxfId="2" priority="126" operator="lessThanOrEqual">
      <formula>G16</formula>
    </cfRule>
  </conditionalFormatting>
  <conditionalFormatting sqref="AJ7">
    <cfRule type="cellIs" dxfId="2" priority="102" operator="lessThanOrEqual">
      <formula>G7</formula>
    </cfRule>
  </conditionalFormatting>
  <conditionalFormatting sqref="AJ8">
    <cfRule type="cellIs" dxfId="2" priority="106" operator="lessThanOrEqual">
      <formula>G8</formula>
    </cfRule>
  </conditionalFormatting>
  <conditionalFormatting sqref="AJ9">
    <cfRule type="cellIs" dxfId="2" priority="110" operator="lessThanOrEqual">
      <formula>G9</formula>
    </cfRule>
  </conditionalFormatting>
  <conditionalFormatting sqref="AL13">
    <cfRule type="cellIs" dxfId="0" priority="140" operator="lessThan">
      <formula>E13</formula>
    </cfRule>
  </conditionalFormatting>
  <conditionalFormatting sqref="AL15">
    <cfRule type="cellIs" dxfId="0" priority="144" operator="lessThan">
      <formula>E15</formula>
    </cfRule>
  </conditionalFormatting>
  <conditionalFormatting sqref="AL16">
    <cfRule type="cellIs" dxfId="0" priority="148" operator="lessThan">
      <formula>E16</formula>
    </cfRule>
  </conditionalFormatting>
  <conditionalFormatting sqref="AL7">
    <cfRule type="cellIs" dxfId="0" priority="128" operator="lessThan">
      <formula>E7</formula>
    </cfRule>
  </conditionalFormatting>
  <conditionalFormatting sqref="AL8">
    <cfRule type="cellIs" dxfId="0" priority="132" operator="lessThan">
      <formula>E8</formula>
    </cfRule>
  </conditionalFormatting>
  <conditionalFormatting sqref="AL9">
    <cfRule type="cellIs" dxfId="0" priority="136" operator="lessThan">
      <formula>E9</formula>
    </cfRule>
  </conditionalFormatting>
  <conditionalFormatting sqref="AM13">
    <cfRule type="expression" dxfId="1" priority="141">
      <formula>AND(NOT(ISBLANK(AM13)),OR(AL13="NonStk",AM13&gt;AL13))</formula>
    </cfRule>
  </conditionalFormatting>
  <conditionalFormatting sqref="AM15">
    <cfRule type="expression" dxfId="1" priority="145">
      <formula>AND(NOT(ISBLANK(AM15)),OR(AL15="NonStk",AM15&gt;AL15))</formula>
    </cfRule>
  </conditionalFormatting>
  <conditionalFormatting sqref="AM16">
    <cfRule type="expression" dxfId="1" priority="149">
      <formula>AND(NOT(ISBLANK(AM16)),OR(AL16="NonStk",AM16&gt;AL16))</formula>
    </cfRule>
  </conditionalFormatting>
  <conditionalFormatting sqref="AM7">
    <cfRule type="expression" dxfId="1" priority="129">
      <formula>AND(NOT(ISBLANK(AM7)),OR(AL7="NonStk",AM7&gt;AL7))</formula>
    </cfRule>
  </conditionalFormatting>
  <conditionalFormatting sqref="AM8">
    <cfRule type="expression" dxfId="1" priority="133">
      <formula>AND(NOT(ISBLANK(AM8)),OR(AL8="NonStk",AM8&gt;AL8))</formula>
    </cfRule>
  </conditionalFormatting>
  <conditionalFormatting sqref="AM9">
    <cfRule type="expression" dxfId="1" priority="137">
      <formula>AND(NOT(ISBLANK(AM9)),OR(AL9="NonStk",AM9&gt;AL9))</formula>
    </cfRule>
  </conditionalFormatting>
  <conditionalFormatting sqref="AN13">
    <cfRule type="cellIs" dxfId="2" priority="143" operator="lessThanOrEqual">
      <formula>F13</formula>
    </cfRule>
  </conditionalFormatting>
  <conditionalFormatting sqref="AN15">
    <cfRule type="cellIs" dxfId="2" priority="147" operator="lessThanOrEqual">
      <formula>F15</formula>
    </cfRule>
  </conditionalFormatting>
  <conditionalFormatting sqref="AN16">
    <cfRule type="cellIs" dxfId="2" priority="151" operator="lessThanOrEqual">
      <formula>F16</formula>
    </cfRule>
  </conditionalFormatting>
  <conditionalFormatting sqref="AN7">
    <cfRule type="cellIs" dxfId="2" priority="131" operator="lessThanOrEqual">
      <formula>F7</formula>
    </cfRule>
  </conditionalFormatting>
  <conditionalFormatting sqref="AN8">
    <cfRule type="cellIs" dxfId="2" priority="135" operator="lessThanOrEqual">
      <formula>F8</formula>
    </cfRule>
  </conditionalFormatting>
  <conditionalFormatting sqref="AN9">
    <cfRule type="cellIs" dxfId="2" priority="139" operator="lessThanOrEqual">
      <formula>F9</formula>
    </cfRule>
  </conditionalFormatting>
  <conditionalFormatting sqref="AP13">
    <cfRule type="cellIs" dxfId="2" priority="142" operator="lessThanOrEqual">
      <formula>G13</formula>
    </cfRule>
  </conditionalFormatting>
  <conditionalFormatting sqref="AP15">
    <cfRule type="cellIs" dxfId="2" priority="146" operator="lessThanOrEqual">
      <formula>G15</formula>
    </cfRule>
  </conditionalFormatting>
  <conditionalFormatting sqref="AP16">
    <cfRule type="cellIs" dxfId="2" priority="150" operator="lessThanOrEqual">
      <formula>G16</formula>
    </cfRule>
  </conditionalFormatting>
  <conditionalFormatting sqref="AP7">
    <cfRule type="cellIs" dxfId="2" priority="130" operator="lessThanOrEqual">
      <formula>G7</formula>
    </cfRule>
  </conditionalFormatting>
  <conditionalFormatting sqref="AP8">
    <cfRule type="cellIs" dxfId="2" priority="134" operator="lessThanOrEqual">
      <formula>G8</formula>
    </cfRule>
  </conditionalFormatting>
  <conditionalFormatting sqref="AP9">
    <cfRule type="cellIs" dxfId="2" priority="138" operator="lessThanOrEqual">
      <formula>G9</formula>
    </cfRule>
  </conditionalFormatting>
  <conditionalFormatting sqref="AR13">
    <cfRule type="cellIs" dxfId="0" priority="170" operator="lessThan">
      <formula>E13</formula>
    </cfRule>
  </conditionalFormatting>
  <conditionalFormatting sqref="AR15">
    <cfRule type="cellIs" dxfId="0" priority="175" operator="lessThan">
      <formula>E15</formula>
    </cfRule>
  </conditionalFormatting>
  <conditionalFormatting sqref="AR16">
    <cfRule type="cellIs" dxfId="0" priority="183" operator="lessThan">
      <formula>E16</formula>
    </cfRule>
  </conditionalFormatting>
  <conditionalFormatting sqref="AR7">
    <cfRule type="cellIs" dxfId="0" priority="152" operator="lessThan">
      <formula>E7</formula>
    </cfRule>
  </conditionalFormatting>
  <conditionalFormatting sqref="AR8">
    <cfRule type="cellIs" dxfId="0" priority="157" operator="lessThan">
      <formula>E8</formula>
    </cfRule>
  </conditionalFormatting>
  <conditionalFormatting sqref="AR9">
    <cfRule type="cellIs" dxfId="0" priority="162" operator="lessThan">
      <formula>E9</formula>
    </cfRule>
  </conditionalFormatting>
  <conditionalFormatting sqref="AS13">
    <cfRule type="expression" dxfId="3" priority="171">
      <formula>AND(AS13&gt;0,MOD(AS13,AU13)&lt;&gt;0)</formula>
    </cfRule>
    <cfRule type="expression" dxfId="1" priority="172">
      <formula>AND(NOT(ISBLANK(AS13)),OR(AR13="NonStk",AS13&gt;AR13))</formula>
    </cfRule>
  </conditionalFormatting>
  <conditionalFormatting sqref="AS15">
    <cfRule type="expression" dxfId="3" priority="176">
      <formula>AND(AS15&gt;0,MOD(AS15,AU15)&lt;&gt;0)</formula>
    </cfRule>
    <cfRule type="expression" dxfId="1" priority="177">
      <formula>AND(NOT(ISBLANK(AS15)),OR(AR15="NonStk",AS15&gt;AR15))</formula>
    </cfRule>
  </conditionalFormatting>
  <conditionalFormatting sqref="AS16">
    <cfRule type="expression" dxfId="3" priority="184">
      <formula>AND(AS16&gt;0,MOD(AS16,AU16)&lt;&gt;0)</formula>
    </cfRule>
    <cfRule type="expression" dxfId="1" priority="185">
      <formula>AND(NOT(ISBLANK(AS16)),OR(AR16="NonStk",AS16&gt;AR16))</formula>
    </cfRule>
  </conditionalFormatting>
  <conditionalFormatting sqref="AS7">
    <cfRule type="expression" dxfId="3" priority="153">
      <formula>AND(AS7&gt;0,MOD(AS7,AU7)&lt;&gt;0)</formula>
    </cfRule>
    <cfRule type="expression" dxfId="1" priority="154">
      <formula>AND(NOT(ISBLANK(AS7)),OR(AR7="NonStk",AS7&gt;AR7))</formula>
    </cfRule>
  </conditionalFormatting>
  <conditionalFormatting sqref="AS8">
    <cfRule type="expression" dxfId="3" priority="158">
      <formula>AND(AS8&gt;0,MOD(AS8,AU8)&lt;&gt;0)</formula>
    </cfRule>
    <cfRule type="expression" dxfId="1" priority="159">
      <formula>AND(NOT(ISBLANK(AS8)),OR(AR8="NonStk",AS8&gt;AR8))</formula>
    </cfRule>
  </conditionalFormatting>
  <conditionalFormatting sqref="AS9">
    <cfRule type="expression" dxfId="3" priority="163">
      <formula>AND(AS9&gt;0,MOD(AS9,AU9)&lt;&gt;0)</formula>
    </cfRule>
    <cfRule type="expression" dxfId="1" priority="164">
      <formula>AND(NOT(ISBLANK(AS9)),OR(AR9="NonStk",AS9&gt;AR9))</formula>
    </cfRule>
  </conditionalFormatting>
  <conditionalFormatting sqref="AT13">
    <cfRule type="cellIs" dxfId="2" priority="174" operator="lessThanOrEqual">
      <formula>F13</formula>
    </cfRule>
  </conditionalFormatting>
  <conditionalFormatting sqref="AT15">
    <cfRule type="cellIs" dxfId="2" priority="179" operator="lessThanOrEqual">
      <formula>F15</formula>
    </cfRule>
    <cfRule type="expression" dxfId="3" priority="180">
      <formula>AND(E15&lt;600,AS15&lt;600)</formula>
    </cfRule>
  </conditionalFormatting>
  <conditionalFormatting sqref="AT16">
    <cfRule type="cellIs" dxfId="2" priority="187" operator="lessThanOrEqual">
      <formula>F16</formula>
    </cfRule>
  </conditionalFormatting>
  <conditionalFormatting sqref="AT7">
    <cfRule type="cellIs" dxfId="2" priority="156" operator="lessThanOrEqual">
      <formula>F7</formula>
    </cfRule>
  </conditionalFormatting>
  <conditionalFormatting sqref="AT8">
    <cfRule type="cellIs" dxfId="2" priority="161" operator="lessThanOrEqual">
      <formula>F8</formula>
    </cfRule>
  </conditionalFormatting>
  <conditionalFormatting sqref="AT9">
    <cfRule type="cellIs" dxfId="2" priority="166" operator="lessThanOrEqual">
      <formula>F9</formula>
    </cfRule>
    <cfRule type="expression" dxfId="3" priority="167">
      <formula>AND(E9&lt;200,AS9&lt;200)</formula>
    </cfRule>
  </conditionalFormatting>
  <conditionalFormatting sqref="AU15">
    <cfRule type="expression" dxfId="3" priority="181">
      <formula>AND(E15&lt;600,AS15&lt;600)</formula>
    </cfRule>
  </conditionalFormatting>
  <conditionalFormatting sqref="AU9">
    <cfRule type="expression" dxfId="3" priority="168">
      <formula>AND(E9&lt;200,AS9&lt;200)</formula>
    </cfRule>
  </conditionalFormatting>
  <conditionalFormatting sqref="AV13">
    <cfRule type="cellIs" dxfId="2" priority="173" operator="lessThanOrEqual">
      <formula>G13</formula>
    </cfRule>
  </conditionalFormatting>
  <conditionalFormatting sqref="AV15">
    <cfRule type="cellIs" dxfId="2" priority="178" operator="lessThanOrEqual">
      <formula>G15</formula>
    </cfRule>
    <cfRule type="expression" dxfId="3" priority="182">
      <formula>AND(E15&lt;600,AS15&lt;600)</formula>
    </cfRule>
  </conditionalFormatting>
  <conditionalFormatting sqref="AV16">
    <cfRule type="cellIs" dxfId="2" priority="186" operator="lessThanOrEqual">
      <formula>G16</formula>
    </cfRule>
  </conditionalFormatting>
  <conditionalFormatting sqref="AV7">
    <cfRule type="cellIs" dxfId="2" priority="155" operator="lessThanOrEqual">
      <formula>G7</formula>
    </cfRule>
  </conditionalFormatting>
  <conditionalFormatting sqref="AV8">
    <cfRule type="cellIs" dxfId="2" priority="160" operator="lessThanOrEqual">
      <formula>G8</formula>
    </cfRule>
  </conditionalFormatting>
  <conditionalFormatting sqref="AV9">
    <cfRule type="cellIs" dxfId="2" priority="165" operator="lessThanOrEqual">
      <formula>G9</formula>
    </cfRule>
    <cfRule type="expression" dxfId="3" priority="169">
      <formula>AND(E9&lt;200,AS9&lt;200)</formula>
    </cfRule>
  </conditionalFormatting>
  <conditionalFormatting sqref="AX13">
    <cfRule type="cellIs" dxfId="0" priority="188" operator="lessThan">
      <formula>E13</formula>
    </cfRule>
  </conditionalFormatting>
  <conditionalFormatting sqref="AY13">
    <cfRule type="expression" dxfId="3" priority="189">
      <formula>AND(AY13&gt;0,MOD(AY13,BA13)&lt;&gt;0)</formula>
    </cfRule>
    <cfRule type="expression" dxfId="1" priority="190">
      <formula>AND(NOT(ISBLANK(AY13)),OR(AX13="NonStk",AY13&gt;AX13))</formula>
    </cfRule>
  </conditionalFormatting>
  <conditionalFormatting sqref="AZ13">
    <cfRule type="cellIs" dxfId="2" priority="192" operator="lessThanOrEqual">
      <formula>F13</formula>
    </cfRule>
  </conditionalFormatting>
  <conditionalFormatting sqref="BB13">
    <cfRule type="cellIs" dxfId="2" priority="191" operator="lessThanOrEqual">
      <formula>G13</formula>
    </cfRule>
  </conditionalFormatting>
  <conditionalFormatting sqref="E10">
    <cfRule type="expression" dxfId="4" priority="205">
      <formula>AND(ISBLANK(D10),ISBLANK(L10),ISBLANK(R10),ISBLANK(X10),ISBLANK(AD10),ISBLANK(AJ10),ISBLANK(AP10),ISBLANK(AV10),ISBLANK(BB10))</formula>
    </cfRule>
    <cfRule type="expression" dxfId="1" priority="206">
      <formula>IF(SUM(H10,N10,T10,Z10,AF10,AL10,AR10,AX10)=0,1,0)</formula>
    </cfRule>
    <cfRule type="cellIs" dxfId="0" priority="207" operator="greaterThan">
      <formula>SUM(H10,N10,T10,Z10,AF10,AL10,AR10,AX10)</formula>
    </cfRule>
    <cfRule type="cellIs" dxfId="3" priority="208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4" priority="209">
      <formula>AND(ISBLANK(D11),ISBLANK(L11),ISBLANK(R11),ISBLANK(X11),ISBLANK(AD11),ISBLANK(AJ11),ISBLANK(AP11),ISBLANK(AV11),ISBLANK(BB11))</formula>
    </cfRule>
    <cfRule type="expression" dxfId="1" priority="210">
      <formula>IF(SUM(H11,N11,T11,Z11,AF11,AL11,AR11,AX11)=0,1,0)</formula>
    </cfRule>
    <cfRule type="cellIs" dxfId="0" priority="211" operator="greaterThan">
      <formula>SUM(H11,N11,T11,Z11,AF11,AL11,AR11,AX11)</formula>
    </cfRule>
    <cfRule type="cellIs" dxfId="3" priority="212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4" priority="213">
      <formula>AND(ISBLANK(D12),ISBLANK(L12),ISBLANK(R12),ISBLANK(X12),ISBLANK(AD12),ISBLANK(AJ12),ISBLANK(AP12),ISBLANK(AV12),ISBLANK(BB12))</formula>
    </cfRule>
    <cfRule type="expression" dxfId="1" priority="214">
      <formula>IF(SUM(H12,N12,T12,Z12,AF12,AL12,AR12,AX12)=0,1,0)</formula>
    </cfRule>
    <cfRule type="cellIs" dxfId="0" priority="215" operator="greaterThan">
      <formula>SUM(H12,N12,T12,Z12,AF12,AL12,AR12,AX12)</formula>
    </cfRule>
    <cfRule type="cellIs" dxfId="3" priority="216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4" priority="217">
      <formula>AND(ISBLANK(D13),ISBLANK(L13),ISBLANK(R13),ISBLANK(X13),ISBLANK(AD13),ISBLANK(AJ13),ISBLANK(AP13),ISBLANK(AV13),ISBLANK(BB13))</formula>
    </cfRule>
    <cfRule type="expression" dxfId="1" priority="218">
      <formula>IF(SUM(H13,N13,T13,Z13,AF13,AL13,AR13,AX13)=0,1,0)</formula>
    </cfRule>
    <cfRule type="cellIs" dxfId="0" priority="219" operator="greaterThan">
      <formula>SUM(H13,N13,T13,Z13,AF13,AL13,AR13,AX13)</formula>
    </cfRule>
    <cfRule type="cellIs" dxfId="3" priority="220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4" priority="221">
      <formula>AND(ISBLANK(D14),ISBLANK(L14),ISBLANK(R14),ISBLANK(X14),ISBLANK(AD14),ISBLANK(AJ14),ISBLANK(AP14),ISBLANK(AV14),ISBLANK(BB14))</formula>
    </cfRule>
    <cfRule type="expression" dxfId="1" priority="222">
      <formula>IF(SUM(H14,N14,T14,Z14,AF14,AL14,AR14,AX14)=0,1,0)</formula>
    </cfRule>
    <cfRule type="cellIs" dxfId="0" priority="223" operator="greaterThan">
      <formula>SUM(H14,N14,T14,Z14,AF14,AL14,AR14,AX14)</formula>
    </cfRule>
    <cfRule type="cellIs" dxfId="3" priority="224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4" priority="225">
      <formula>AND(ISBLANK(D15),ISBLANK(L15),ISBLANK(R15),ISBLANK(X15),ISBLANK(AD15),ISBLANK(AJ15),ISBLANK(AP15),ISBLANK(AV15),ISBLANK(BB15))</formula>
    </cfRule>
    <cfRule type="expression" dxfId="1" priority="226">
      <formula>IF(SUM(H15,N15,T15,Z15,AF15,AL15,AR15,AX15)=0,1,0)</formula>
    </cfRule>
    <cfRule type="cellIs" dxfId="0" priority="227" operator="greaterThan">
      <formula>SUM(H15,N15,T15,Z15,AF15,AL15,AR15,AX15)</formula>
    </cfRule>
    <cfRule type="cellIs" dxfId="3" priority="228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4" priority="229">
      <formula>AND(ISBLANK(D16),ISBLANK(L16),ISBLANK(R16),ISBLANK(X16),ISBLANK(AD16),ISBLANK(AJ16),ISBLANK(AP16),ISBLANK(AV16),ISBLANK(BB16))</formula>
    </cfRule>
    <cfRule type="expression" dxfId="1" priority="230">
      <formula>IF(SUM(H16,N16,T16,Z16,AF16,AL16,AR16,AX16)=0,1,0)</formula>
    </cfRule>
    <cfRule type="cellIs" dxfId="0" priority="231" operator="greaterThan">
      <formula>SUM(H16,N16,T16,Z16,AF16,AL16,AR16,AX16)</formula>
    </cfRule>
    <cfRule type="cellIs" dxfId="3" priority="232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4" priority="233">
      <formula>AND(ISBLANK(D17),ISBLANK(L17),ISBLANK(R17),ISBLANK(X17),ISBLANK(AD17),ISBLANK(AJ17),ISBLANK(AP17),ISBLANK(AV17),ISBLANK(BB17))</formula>
    </cfRule>
    <cfRule type="expression" dxfId="1" priority="234">
      <formula>IF(SUM(H17,N17,T17,Z17,AF17,AL17,AR17,AX17)=0,1,0)</formula>
    </cfRule>
    <cfRule type="cellIs" dxfId="0" priority="235" operator="greaterThan">
      <formula>SUM(H17,N17,T17,Z17,AF17,AL17,AR17,AX17)</formula>
    </cfRule>
    <cfRule type="cellIs" dxfId="3" priority="236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4" priority="237">
      <formula>AND(ISBLANK(D18),ISBLANK(L18),ISBLANK(R18),ISBLANK(X18),ISBLANK(AD18),ISBLANK(AJ18),ISBLANK(AP18),ISBLANK(AV18),ISBLANK(BB18))</formula>
    </cfRule>
    <cfRule type="expression" dxfId="1" priority="238">
      <formula>IF(SUM(H18,N18,T18,Z18,AF18,AL18,AR18,AX18)=0,1,0)</formula>
    </cfRule>
    <cfRule type="cellIs" dxfId="0" priority="239" operator="greaterThan">
      <formula>SUM(H18,N18,T18,Z18,AF18,AL18,AR18,AX18)</formula>
    </cfRule>
    <cfRule type="cellIs" dxfId="3" priority="240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4" priority="241">
      <formula>AND(ISBLANK(D19),ISBLANK(L19),ISBLANK(R19),ISBLANK(X19),ISBLANK(AD19),ISBLANK(AJ19),ISBLANK(AP19),ISBLANK(AV19),ISBLANK(BB19))</formula>
    </cfRule>
    <cfRule type="expression" dxfId="1" priority="242">
      <formula>IF(SUM(H19,N19,T19,Z19,AF19,AL19,AR19,AX19)=0,1,0)</formula>
    </cfRule>
    <cfRule type="cellIs" dxfId="0" priority="243" operator="greaterThan">
      <formula>SUM(H19,N19,T19,Z19,AF19,AL19,AR19,AX19)</formula>
    </cfRule>
    <cfRule type="cellIs" dxfId="3" priority="244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4" priority="245">
      <formula>AND(ISBLANK(D20),ISBLANK(L20),ISBLANK(R20),ISBLANK(X20),ISBLANK(AD20),ISBLANK(AJ20),ISBLANK(AP20),ISBLANK(AV20),ISBLANK(BB20))</formula>
    </cfRule>
    <cfRule type="expression" dxfId="1" priority="246">
      <formula>IF(SUM(H20,N20,T20,Z20,AF20,AL20,AR20,AX20)=0,1,0)</formula>
    </cfRule>
    <cfRule type="cellIs" dxfId="0" priority="247" operator="greaterThan">
      <formula>SUM(H20,N20,T20,Z20,AF20,AL20,AR20,AX20)</formula>
    </cfRule>
    <cfRule type="cellIs" dxfId="3" priority="248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4" priority="249">
      <formula>AND(ISBLANK(D21),ISBLANK(L21),ISBLANK(R21),ISBLANK(X21),ISBLANK(AD21),ISBLANK(AJ21),ISBLANK(AP21),ISBLANK(AV21),ISBLANK(BB21))</formula>
    </cfRule>
    <cfRule type="expression" dxfId="1" priority="250">
      <formula>IF(SUM(H21,N21,T21,Z21,AF21,AL21,AR21,AX21)=0,1,0)</formula>
    </cfRule>
    <cfRule type="cellIs" dxfId="0" priority="251" operator="greaterThan">
      <formula>SUM(H21,N21,T21,Z21,AF21,AL21,AR21,AX21)</formula>
    </cfRule>
    <cfRule type="cellIs" dxfId="3" priority="252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7">
    <cfRule type="expression" dxfId="4" priority="193">
      <formula>AND(ISBLANK(D7),ISBLANK(L7),ISBLANK(R7),ISBLANK(X7),ISBLANK(AD7),ISBLANK(AJ7),ISBLANK(AP7),ISBLANK(AV7),ISBLANK(BB7))</formula>
    </cfRule>
    <cfRule type="expression" dxfId="1" priority="194">
      <formula>IF(SUM(H7,N7,T7,Z7,AF7,AL7,AR7,AX7)=0,1,0)</formula>
    </cfRule>
    <cfRule type="cellIs" dxfId="0" priority="195" operator="greaterThan">
      <formula>SUM(H7,N7,T7,Z7,AF7,AL7,AR7,AX7)</formula>
    </cfRule>
    <cfRule type="cellIs" dxfId="3" priority="196" operator="greaterThan">
      <formula>SUM(IF(ISNUMBER(J7),I7,0),IF(ISNUMBER(P7),O7,0),IF(ISNUMBER(V7),U7,0),IF(ISNUMBER(AB7),AA7,0),IF(ISNUMBER(AH7),AG7,0),IF(ISNUMBER(AN7),AM7,0),IF(ISNUMBER(AT7),AS7,0),IF(ISNUMBER(AZ7),AY7,0))</formula>
    </cfRule>
  </conditionalFormatting>
  <conditionalFormatting sqref="E8">
    <cfRule type="expression" dxfId="4" priority="197">
      <formula>AND(ISBLANK(D8),ISBLANK(L8),ISBLANK(R8),ISBLANK(X8),ISBLANK(AD8),ISBLANK(AJ8),ISBLANK(AP8),ISBLANK(AV8),ISBLANK(BB8))</formula>
    </cfRule>
    <cfRule type="expression" dxfId="1" priority="198">
      <formula>IF(SUM(H8,N8,T8,Z8,AF8,AL8,AR8,AX8)=0,1,0)</formula>
    </cfRule>
    <cfRule type="cellIs" dxfId="0" priority="199" operator="greaterThan">
      <formula>SUM(H8,N8,T8,Z8,AF8,AL8,AR8,AX8)</formula>
    </cfRule>
    <cfRule type="cellIs" dxfId="3" priority="200" operator="greaterThan">
      <formula>SUM(IF(ISNUMBER(J8),I8,0),IF(ISNUMBER(P8),O8,0),IF(ISNUMBER(V8),U8,0),IF(ISNUMBER(AB8),AA8,0),IF(ISNUMBER(AH8),AG8,0),IF(ISNUMBER(AN8),AM8,0),IF(ISNUMBER(AT8),AS8,0),IF(ISNUMBER(AZ8),AY8,0))</formula>
    </cfRule>
  </conditionalFormatting>
  <conditionalFormatting sqref="E9">
    <cfRule type="expression" dxfId="4" priority="201">
      <formula>AND(ISBLANK(D9),ISBLANK(L9),ISBLANK(R9),ISBLANK(X9),ISBLANK(AD9),ISBLANK(AJ9),ISBLANK(AP9),ISBLANK(AV9),ISBLANK(BB9))</formula>
    </cfRule>
    <cfRule type="expression" dxfId="1" priority="202">
      <formula>IF(SUM(H9,N9,T9,Z9,AF9,AL9,AR9,AX9)=0,1,0)</formula>
    </cfRule>
    <cfRule type="cellIs" dxfId="0" priority="203" operator="greaterThan">
      <formula>SUM(H9,N9,T9,Z9,AF9,AL9,AR9,AX9)</formula>
    </cfRule>
    <cfRule type="cellIs" dxfId="3" priority="204" operator="greaterThan">
      <formula>SUM(IF(ISNUMBER(J9),I9,0),IF(ISNUMBER(P9),O9,0),IF(ISNUMBER(V9),U9,0),IF(ISNUMBER(AB9),AA9,0),IF(ISNUMBER(AH9),AG9,0),IF(ISNUMBER(AN9),AM9,0),IF(ISNUMBER(AT9),AS9,0),IF(ISNUMBER(AZ9),AY9,0))</formula>
    </cfRule>
  </conditionalFormatting>
  <conditionalFormatting sqref="H13">
    <cfRule type="cellIs" dxfId="0" priority="13" operator="lessThan">
      <formula>E13</formula>
    </cfRule>
  </conditionalFormatting>
  <conditionalFormatting sqref="H15">
    <cfRule type="cellIs" dxfId="0" priority="21" operator="lessThan">
      <formula>E15</formula>
    </cfRule>
  </conditionalFormatting>
  <conditionalFormatting sqref="H16">
    <cfRule type="cellIs" dxfId="0" priority="25" operator="lessThan">
      <formula>E16</formula>
    </cfRule>
  </conditionalFormatting>
  <conditionalFormatting sqref="H21">
    <cfRule type="cellIs" dxfId="0" priority="29" operator="lessThan">
      <formula>E21</formula>
    </cfRule>
  </conditionalFormatting>
  <conditionalFormatting sqref="H8">
    <cfRule type="cellIs" dxfId="0" priority="1" operator="lessThan">
      <formula>E8</formula>
    </cfRule>
  </conditionalFormatting>
  <conditionalFormatting sqref="H9">
    <cfRule type="cellIs" dxfId="0" priority="5" operator="lessThan">
      <formula>E9</formula>
    </cfRule>
  </conditionalFormatting>
  <conditionalFormatting sqref="I13">
    <cfRule type="expression" dxfId="3" priority="14">
      <formula>AND(I13&gt;0,MOD(I13,K13)&lt;&gt;0)</formula>
    </cfRule>
    <cfRule type="expression" dxfId="1" priority="15">
      <formula>AND(NOT(ISBLANK(I13)),OR(H13="NonStk",I13&gt;H13))</formula>
    </cfRule>
  </conditionalFormatting>
  <conditionalFormatting sqref="I15">
    <cfRule type="expression" dxfId="1" priority="22">
      <formula>AND(NOT(ISBLANK(I15)),OR(H15="NonStk",I15&gt;H15))</formula>
    </cfRule>
  </conditionalFormatting>
  <conditionalFormatting sqref="I16">
    <cfRule type="expression" dxfId="1" priority="26">
      <formula>AND(NOT(ISBLANK(I16)),OR(H16="NonStk",I16&gt;H16))</formula>
    </cfRule>
  </conditionalFormatting>
  <conditionalFormatting sqref="I21">
    <cfRule type="expression" dxfId="3" priority="30">
      <formula>AND(I21&gt;0,MOD(I21,K21)&lt;&gt;0)</formula>
    </cfRule>
    <cfRule type="expression" dxfId="1" priority="31">
      <formula>AND(NOT(ISBLANK(I21)),OR(H21="NonStk",I21&gt;H21))</formula>
    </cfRule>
  </conditionalFormatting>
  <conditionalFormatting sqref="I8">
    <cfRule type="expression" dxfId="1" priority="2">
      <formula>AND(NOT(ISBLANK(I8)),OR(H8="NonStk",I8&gt;H8))</formula>
    </cfRule>
  </conditionalFormatting>
  <conditionalFormatting sqref="I9">
    <cfRule type="expression" dxfId="3" priority="6">
      <formula>AND(I9&gt;0,MOD(I9,K9)&lt;&gt;0)</formula>
    </cfRule>
    <cfRule type="expression" dxfId="1" priority="7">
      <formula>AND(NOT(ISBLANK(I9)),OR(H9="NonStk",I9&gt;H9))</formula>
    </cfRule>
  </conditionalFormatting>
  <conditionalFormatting sqref="J13">
    <cfRule type="cellIs" dxfId="2" priority="17" operator="lessThanOrEqual">
      <formula>F13</formula>
    </cfRule>
    <cfRule type="expression" dxfId="3" priority="18">
      <formula>AND(E13&lt;3000,I13&lt;3000)</formula>
    </cfRule>
  </conditionalFormatting>
  <conditionalFormatting sqref="J15">
    <cfRule type="cellIs" dxfId="2" priority="24" operator="lessThanOrEqual">
      <formula>F15</formula>
    </cfRule>
  </conditionalFormatting>
  <conditionalFormatting sqref="J16">
    <cfRule type="cellIs" dxfId="2" priority="28" operator="lessThanOrEqual">
      <formula>F16</formula>
    </cfRule>
  </conditionalFormatting>
  <conditionalFormatting sqref="J21">
    <cfRule type="cellIs" dxfId="2" priority="33" operator="lessThanOrEqual">
      <formula>F21</formula>
    </cfRule>
    <cfRule type="expression" dxfId="3" priority="34">
      <formula>AND(E21&lt;2500,I21&lt;2500)</formula>
    </cfRule>
  </conditionalFormatting>
  <conditionalFormatting sqref="J8">
    <cfRule type="cellIs" dxfId="2" priority="4" operator="lessThanOrEqual">
      <formula>F8</formula>
    </cfRule>
  </conditionalFormatting>
  <conditionalFormatting sqref="J9">
    <cfRule type="cellIs" dxfId="2" priority="9" operator="lessThanOrEqual">
      <formula>F9</formula>
    </cfRule>
    <cfRule type="expression" dxfId="3" priority="10">
      <formula>AND(E9&lt;10000,I9&lt;10000)</formula>
    </cfRule>
  </conditionalFormatting>
  <conditionalFormatting sqref="K13">
    <cfRule type="expression" dxfId="3" priority="19">
      <formula>AND(E13&lt;3000,I13&lt;3000)</formula>
    </cfRule>
  </conditionalFormatting>
  <conditionalFormatting sqref="K21">
    <cfRule type="expression" dxfId="3" priority="35">
      <formula>AND(E21&lt;2500,I21&lt;2500)</formula>
    </cfRule>
  </conditionalFormatting>
  <conditionalFormatting sqref="K9">
    <cfRule type="expression" dxfId="3" priority="11">
      <formula>AND(E9&lt;10000,I9&lt;10000)</formula>
    </cfRule>
  </conditionalFormatting>
  <conditionalFormatting sqref="L13">
    <cfRule type="cellIs" dxfId="2" priority="16" operator="lessThanOrEqual">
      <formula>G13</formula>
    </cfRule>
    <cfRule type="expression" dxfId="3" priority="20">
      <formula>AND(E13&lt;3000,I13&lt;3000)</formula>
    </cfRule>
  </conditionalFormatting>
  <conditionalFormatting sqref="L15">
    <cfRule type="cellIs" dxfId="2" priority="23" operator="lessThanOrEqual">
      <formula>G15</formula>
    </cfRule>
  </conditionalFormatting>
  <conditionalFormatting sqref="L16">
    <cfRule type="cellIs" dxfId="2" priority="27" operator="lessThanOrEqual">
      <formula>G16</formula>
    </cfRule>
  </conditionalFormatting>
  <conditionalFormatting sqref="L21">
    <cfRule type="cellIs" dxfId="2" priority="32" operator="lessThanOrEqual">
      <formula>G21</formula>
    </cfRule>
    <cfRule type="expression" dxfId="3" priority="36">
      <formula>AND(E21&lt;2500,I21&lt;2500)</formula>
    </cfRule>
  </conditionalFormatting>
  <conditionalFormatting sqref="L8">
    <cfRule type="cellIs" dxfId="2" priority="3" operator="lessThanOrEqual">
      <formula>G8</formula>
    </cfRule>
  </conditionalFormatting>
  <conditionalFormatting sqref="L9">
    <cfRule type="cellIs" dxfId="2" priority="8" operator="lessThanOrEqual">
      <formula>G9</formula>
    </cfRule>
    <cfRule type="expression" dxfId="3" priority="12">
      <formula>AND(E9&lt;10000,I9&lt;10000)</formula>
    </cfRule>
  </conditionalFormatting>
  <conditionalFormatting sqref="N11">
    <cfRule type="cellIs" dxfId="0" priority="49" operator="lessThan">
      <formula>E11</formula>
    </cfRule>
  </conditionalFormatting>
  <conditionalFormatting sqref="N13">
    <cfRule type="cellIs" dxfId="0" priority="53" operator="lessThan">
      <formula>E13</formula>
    </cfRule>
  </conditionalFormatting>
  <conditionalFormatting sqref="N15">
    <cfRule type="cellIs" dxfId="0" priority="57" operator="lessThan">
      <formula>E15</formula>
    </cfRule>
  </conditionalFormatting>
  <conditionalFormatting sqref="N16">
    <cfRule type="cellIs" dxfId="0" priority="61" operator="lessThan">
      <formula>E16</formula>
    </cfRule>
  </conditionalFormatting>
  <conditionalFormatting sqref="N21">
    <cfRule type="cellIs" dxfId="0" priority="65" operator="lessThan">
      <formula>E21</formula>
    </cfRule>
  </conditionalFormatting>
  <conditionalFormatting sqref="N7">
    <cfRule type="cellIs" dxfId="0" priority="37" operator="lessThan">
      <formula>E7</formula>
    </cfRule>
  </conditionalFormatting>
  <conditionalFormatting sqref="N8">
    <cfRule type="cellIs" dxfId="0" priority="41" operator="lessThan">
      <formula>E8</formula>
    </cfRule>
  </conditionalFormatting>
  <conditionalFormatting sqref="N9">
    <cfRule type="cellIs" dxfId="0" priority="45" operator="lessThan">
      <formula>E9</formula>
    </cfRule>
  </conditionalFormatting>
  <conditionalFormatting sqref="O11">
    <cfRule type="expression" dxfId="1" priority="50">
      <formula>AND(NOT(ISBLANK(O11)),OR(N11="NonStk",O11&gt;N11))</formula>
    </cfRule>
  </conditionalFormatting>
  <conditionalFormatting sqref="O13">
    <cfRule type="expression" dxfId="1" priority="54">
      <formula>AND(NOT(ISBLANK(O13)),OR(N13="NonStk",O13&gt;N13))</formula>
    </cfRule>
  </conditionalFormatting>
  <conditionalFormatting sqref="O15">
    <cfRule type="expression" dxfId="1" priority="58">
      <formula>AND(NOT(ISBLANK(O15)),OR(N15="NonStk",O15&gt;N15))</formula>
    </cfRule>
  </conditionalFormatting>
  <conditionalFormatting sqref="O16">
    <cfRule type="expression" dxfId="1" priority="62">
      <formula>AND(NOT(ISBLANK(O16)),OR(N16="NonStk",O16&gt;N16))</formula>
    </cfRule>
  </conditionalFormatting>
  <conditionalFormatting sqref="O21">
    <cfRule type="expression" dxfId="1" priority="66">
      <formula>AND(NOT(ISBLANK(O21)),OR(N21="NonStk",O21&gt;N21))</formula>
    </cfRule>
  </conditionalFormatting>
  <conditionalFormatting sqref="O7">
    <cfRule type="expression" dxfId="1" priority="38">
      <formula>AND(NOT(ISBLANK(O7)),OR(N7="NonStk",O7&gt;N7))</formula>
    </cfRule>
  </conditionalFormatting>
  <conditionalFormatting sqref="O8">
    <cfRule type="expression" dxfId="1" priority="42">
      <formula>AND(NOT(ISBLANK(O8)),OR(N8="NonStk",O8&gt;N8))</formula>
    </cfRule>
  </conditionalFormatting>
  <conditionalFormatting sqref="O9">
    <cfRule type="expression" dxfId="1" priority="46">
      <formula>AND(NOT(ISBLANK(O9)),OR(N9="NonStk",O9&gt;N9))</formula>
    </cfRule>
  </conditionalFormatting>
  <conditionalFormatting sqref="P11">
    <cfRule type="cellIs" dxfId="2" priority="52" operator="lessThanOrEqual">
      <formula>F11</formula>
    </cfRule>
  </conditionalFormatting>
  <conditionalFormatting sqref="P13">
    <cfRule type="cellIs" dxfId="2" priority="56" operator="lessThanOrEqual">
      <formula>F13</formula>
    </cfRule>
  </conditionalFormatting>
  <conditionalFormatting sqref="P15">
    <cfRule type="cellIs" dxfId="2" priority="60" operator="lessThanOrEqual">
      <formula>F15</formula>
    </cfRule>
  </conditionalFormatting>
  <conditionalFormatting sqref="P16">
    <cfRule type="cellIs" dxfId="2" priority="64" operator="lessThanOrEqual">
      <formula>F16</formula>
    </cfRule>
  </conditionalFormatting>
  <conditionalFormatting sqref="P21">
    <cfRule type="cellIs" dxfId="2" priority="68" operator="lessThanOrEqual">
      <formula>F21</formula>
    </cfRule>
  </conditionalFormatting>
  <conditionalFormatting sqref="P7">
    <cfRule type="cellIs" dxfId="2" priority="40" operator="lessThanOrEqual">
      <formula>F7</formula>
    </cfRule>
  </conditionalFormatting>
  <conditionalFormatting sqref="P8">
    <cfRule type="cellIs" dxfId="2" priority="44" operator="lessThanOrEqual">
      <formula>F8</formula>
    </cfRule>
  </conditionalFormatting>
  <conditionalFormatting sqref="P9">
    <cfRule type="cellIs" dxfId="2" priority="48" operator="lessThanOrEqual">
      <formula>F9</formula>
    </cfRule>
  </conditionalFormatting>
  <conditionalFormatting sqref="R11">
    <cfRule type="cellIs" dxfId="2" priority="51" operator="lessThanOrEqual">
      <formula>G11</formula>
    </cfRule>
  </conditionalFormatting>
  <conditionalFormatting sqref="R13">
    <cfRule type="cellIs" dxfId="2" priority="55" operator="lessThanOrEqual">
      <formula>G13</formula>
    </cfRule>
  </conditionalFormatting>
  <conditionalFormatting sqref="R15">
    <cfRule type="cellIs" dxfId="2" priority="59" operator="lessThanOrEqual">
      <formula>G15</formula>
    </cfRule>
  </conditionalFormatting>
  <conditionalFormatting sqref="R16">
    <cfRule type="cellIs" dxfId="2" priority="63" operator="lessThanOrEqual">
      <formula>G16</formula>
    </cfRule>
  </conditionalFormatting>
  <conditionalFormatting sqref="R21">
    <cfRule type="cellIs" dxfId="2" priority="67" operator="lessThanOrEqual">
      <formula>G21</formula>
    </cfRule>
  </conditionalFormatting>
  <conditionalFormatting sqref="R7">
    <cfRule type="cellIs" dxfId="2" priority="39" operator="lessThanOrEqual">
      <formula>G7</formula>
    </cfRule>
  </conditionalFormatting>
  <conditionalFormatting sqref="R8">
    <cfRule type="cellIs" dxfId="2" priority="43" operator="lessThanOrEqual">
      <formula>G8</formula>
    </cfRule>
  </conditionalFormatting>
  <conditionalFormatting sqref="R9">
    <cfRule type="cellIs" dxfId="2" priority="47" operator="lessThanOrEqual">
      <formula>G9</formula>
    </cfRule>
  </conditionalFormatting>
  <conditionalFormatting sqref="T13">
    <cfRule type="cellIs" dxfId="0" priority="82" operator="lessThan">
      <formula>E13</formula>
    </cfRule>
  </conditionalFormatting>
  <conditionalFormatting sqref="T15">
    <cfRule type="cellIs" dxfId="0" priority="87" operator="lessThan">
      <formula>E15</formula>
    </cfRule>
  </conditionalFormatting>
  <conditionalFormatting sqref="T16">
    <cfRule type="cellIs" dxfId="0" priority="91" operator="lessThan">
      <formula>E16</formula>
    </cfRule>
  </conditionalFormatting>
  <conditionalFormatting sqref="T7">
    <cfRule type="cellIs" dxfId="0" priority="69" operator="lessThan">
      <formula>E7</formula>
    </cfRule>
  </conditionalFormatting>
  <conditionalFormatting sqref="T8">
    <cfRule type="cellIs" dxfId="0" priority="73" operator="lessThan">
      <formula>E8</formula>
    </cfRule>
  </conditionalFormatting>
  <conditionalFormatting sqref="T9">
    <cfRule type="cellIs" dxfId="0" priority="77" operator="lessThan">
      <formula>E9</formula>
    </cfRule>
  </conditionalFormatting>
  <conditionalFormatting sqref="U13">
    <cfRule type="expression" dxfId="3" priority="83">
      <formula>AND(U13&gt;0,MOD(U13,W13)&lt;&gt;0)</formula>
    </cfRule>
    <cfRule type="expression" dxfId="1" priority="84">
      <formula>AND(NOT(ISBLANK(U13)),OR(T13="NonStk",U13&gt;T13))</formula>
    </cfRule>
  </conditionalFormatting>
  <conditionalFormatting sqref="U15">
    <cfRule type="expression" dxfId="1" priority="88">
      <formula>AND(NOT(ISBLANK(U15)),OR(T15="NonStk",U15&gt;T15))</formula>
    </cfRule>
  </conditionalFormatting>
  <conditionalFormatting sqref="U16">
    <cfRule type="expression" dxfId="1" priority="92">
      <formula>AND(NOT(ISBLANK(U16)),OR(T16="NonStk",U16&gt;T16))</formula>
    </cfRule>
  </conditionalFormatting>
  <conditionalFormatting sqref="U7">
    <cfRule type="expression" dxfId="1" priority="70">
      <formula>AND(NOT(ISBLANK(U7)),OR(T7="NonStk",U7&gt;T7))</formula>
    </cfRule>
  </conditionalFormatting>
  <conditionalFormatting sqref="U8">
    <cfRule type="expression" dxfId="1" priority="74">
      <formula>AND(NOT(ISBLANK(U8)),OR(T8="NonStk",U8&gt;T8))</formula>
    </cfRule>
  </conditionalFormatting>
  <conditionalFormatting sqref="U9">
    <cfRule type="expression" dxfId="3" priority="78">
      <formula>AND(U9&gt;0,MOD(U9,W9)&lt;&gt;0)</formula>
    </cfRule>
    <cfRule type="expression" dxfId="1" priority="79">
      <formula>AND(NOT(ISBLANK(U9)),OR(T9="NonStk",U9&gt;T9))</formula>
    </cfRule>
  </conditionalFormatting>
  <conditionalFormatting sqref="V13">
    <cfRule type="cellIs" dxfId="2" priority="86" operator="lessThanOrEqual">
      <formula>F13</formula>
    </cfRule>
  </conditionalFormatting>
  <conditionalFormatting sqref="V15">
    <cfRule type="cellIs" dxfId="2" priority="90" operator="lessThanOrEqual">
      <formula>F15</formula>
    </cfRule>
  </conditionalFormatting>
  <conditionalFormatting sqref="V16">
    <cfRule type="cellIs" dxfId="2" priority="94" operator="lessThanOrEqual">
      <formula>F16</formula>
    </cfRule>
  </conditionalFormatting>
  <conditionalFormatting sqref="V7">
    <cfRule type="cellIs" dxfId="2" priority="72" operator="lessThanOrEqual">
      <formula>F7</formula>
    </cfRule>
  </conditionalFormatting>
  <conditionalFormatting sqref="V8">
    <cfRule type="cellIs" dxfId="2" priority="76" operator="lessThanOrEqual">
      <formula>F8</formula>
    </cfRule>
  </conditionalFormatting>
  <conditionalFormatting sqref="V9">
    <cfRule type="cellIs" dxfId="2" priority="81" operator="lessThanOrEqual">
      <formula>F9</formula>
    </cfRule>
  </conditionalFormatting>
  <conditionalFormatting sqref="X13">
    <cfRule type="cellIs" dxfId="2" priority="85" operator="lessThanOrEqual">
      <formula>G13</formula>
    </cfRule>
  </conditionalFormatting>
  <conditionalFormatting sqref="X15">
    <cfRule type="cellIs" dxfId="2" priority="89" operator="lessThanOrEqual">
      <formula>G15</formula>
    </cfRule>
  </conditionalFormatting>
  <conditionalFormatting sqref="X16">
    <cfRule type="cellIs" dxfId="2" priority="93" operator="lessThanOrEqual">
      <formula>G16</formula>
    </cfRule>
  </conditionalFormatting>
  <conditionalFormatting sqref="X7">
    <cfRule type="cellIs" dxfId="2" priority="71" operator="lessThanOrEqual">
      <formula>G7</formula>
    </cfRule>
  </conditionalFormatting>
  <conditionalFormatting sqref="X8">
    <cfRule type="cellIs" dxfId="2" priority="75" operator="lessThanOrEqual">
      <formula>G8</formula>
    </cfRule>
  </conditionalFormatting>
  <conditionalFormatting sqref="X9">
    <cfRule type="cellIs" dxfId="2" priority="80" operator="lessThanOrEqual">
      <formula>G9</formula>
    </cfRule>
  </conditionalFormatting>
  <conditionalFormatting sqref="Z9">
    <cfRule type="cellIs" dxfId="0" priority="95" operator="lessThan">
      <formula>E9</formula>
    </cfRule>
  </conditionalFormatting>
  <hyperlinks>
    <hyperlink ref="S7" r:id="rId1"/>
    <hyperlink ref="Y7" r:id="rId2"/>
    <hyperlink ref="AK7" r:id="rId3"/>
    <hyperlink ref="AQ7" r:id="rId4"/>
    <hyperlink ref="AW7" r:id="rId5"/>
    <hyperlink ref="M8" r:id="rId6"/>
    <hyperlink ref="S8" r:id="rId7"/>
    <hyperlink ref="Y8" r:id="rId8"/>
    <hyperlink ref="AK8" r:id="rId9"/>
    <hyperlink ref="AQ8" r:id="rId10"/>
    <hyperlink ref="AW8" r:id="rId11"/>
    <hyperlink ref="M9" r:id="rId12"/>
    <hyperlink ref="S9" r:id="rId13"/>
    <hyperlink ref="Y9" r:id="rId14"/>
    <hyperlink ref="AE9" r:id="rId15"/>
    <hyperlink ref="AK9" r:id="rId16"/>
    <hyperlink ref="AQ9" r:id="rId17"/>
    <hyperlink ref="AW9" r:id="rId18"/>
    <hyperlink ref="D10" r:id="rId19"/>
    <hyperlink ref="M11" r:id="rId20"/>
    <hyperlink ref="S11" r:id="rId21"/>
    <hyperlink ref="AK11" r:id="rId22"/>
    <hyperlink ref="D13" r:id="rId23"/>
    <hyperlink ref="M13" r:id="rId24"/>
    <hyperlink ref="S13" r:id="rId25"/>
    <hyperlink ref="Y13" r:id="rId26"/>
    <hyperlink ref="AK13" r:id="rId27"/>
    <hyperlink ref="AQ13" r:id="rId28"/>
    <hyperlink ref="AW13" r:id="rId29"/>
    <hyperlink ref="BC13" r:id="rId30"/>
    <hyperlink ref="M15" r:id="rId31"/>
    <hyperlink ref="S15" r:id="rId32"/>
    <hyperlink ref="Y15" r:id="rId33"/>
    <hyperlink ref="AK15" r:id="rId34"/>
    <hyperlink ref="AQ15" r:id="rId35"/>
    <hyperlink ref="AW15" r:id="rId36"/>
    <hyperlink ref="D16" r:id="rId37"/>
    <hyperlink ref="M16" r:id="rId38"/>
    <hyperlink ref="S16" r:id="rId39"/>
    <hyperlink ref="Y16" r:id="rId40"/>
    <hyperlink ref="AK16" r:id="rId41"/>
    <hyperlink ref="AQ16" r:id="rId42"/>
    <hyperlink ref="AW16" r:id="rId43"/>
    <hyperlink ref="D21" r:id="rId44"/>
    <hyperlink ref="M21" r:id="rId45"/>
    <hyperlink ref="S21" r:id="rId46"/>
    <hyperlink ref="H23" r:id="rId47"/>
    <hyperlink ref="N23" r:id="rId48"/>
    <hyperlink ref="T23" r:id="rId49"/>
    <hyperlink ref="Z23" r:id="rId50"/>
    <hyperlink ref="AF23" r:id="rId51"/>
    <hyperlink ref="AL23" r:id="rId52"/>
    <hyperlink ref="AR23" r:id="rId53"/>
    <hyperlink ref="AX23" r:id="rId54"/>
  </hyperlinks>
  <pageMargins left="0.7" right="0.7" top="0.75" bottom="0.75" header="0.3" footer="0.3"/>
  <legacy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power-share</vt:lpstr>
      <vt:lpstr>'power-share'!BoardQty</vt:lpstr>
      <vt:lpstr>'power-share'!PURCHASE_DESCRIPTION</vt:lpstr>
      <vt:lpstr>'power-share'!TotalCost</vt:lpstr>
      <vt:lpstr>'power-share'!USD_GBP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2021-10-22T05:49:18Z</dcterms:created>
  <dcterms:modified xsi:type="dcterms:W3CDTF">2021-10-22T05:49:18Z</dcterms:modified>
</cp:coreProperties>
</file>