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8510" windowHeight="7125" tabRatio="886" firstSheet="4" activeTab="12"/>
  </bookViews>
  <sheets>
    <sheet name="APC 16x8E" sheetId="5" r:id="rId1"/>
    <sheet name="APC 17x7E" sheetId="11" r:id="rId2"/>
    <sheet name="APC 17x10E" sheetId="9" r:id="rId3"/>
    <sheet name="APC 18x8E" sheetId="1" r:id="rId4"/>
    <sheet name="XOAR 18x8" sheetId="4" r:id="rId5"/>
    <sheet name="APC 18x10E" sheetId="10" r:id="rId6"/>
    <sheet name="APC 18x10E_mod" sheetId="20" r:id="rId7"/>
    <sheet name="APC 18.25x10E" sheetId="17" r:id="rId8"/>
    <sheet name="APC 18.5x10E" sheetId="16" r:id="rId9"/>
    <sheet name="APC 18.75x10E" sheetId="15" r:id="rId10"/>
    <sheet name="APC 19x8E" sheetId="6" r:id="rId11"/>
    <sheet name="APC 19x10E" sheetId="7" r:id="rId12"/>
    <sheet name="APC 19x10E_A" sheetId="18" r:id="rId13"/>
    <sheet name="APC 19x10E_B" sheetId="19" r:id="rId14"/>
    <sheet name="APC 20x8E" sheetId="12" r:id="rId15"/>
    <sheet name="XOAR 22x6" sheetId="14" r:id="rId16"/>
  </sheets>
  <calcPr calcId="145621"/>
</workbook>
</file>

<file path=xl/calcChain.xml><?xml version="1.0" encoding="utf-8"?>
<calcChain xmlns="http://schemas.openxmlformats.org/spreadsheetml/2006/main">
  <c r="F13" i="20" l="1"/>
  <c r="F12" i="20"/>
  <c r="F11" i="20"/>
  <c r="F10" i="20"/>
  <c r="F9" i="20"/>
  <c r="C13" i="20"/>
  <c r="C12" i="20"/>
  <c r="C11" i="20"/>
  <c r="C10" i="20"/>
  <c r="C9" i="20"/>
  <c r="J13" i="20"/>
  <c r="J12" i="20"/>
  <c r="J11" i="20"/>
  <c r="J10" i="20"/>
  <c r="J9" i="20"/>
  <c r="J12" i="14"/>
  <c r="J11" i="14"/>
  <c r="F11" i="14"/>
  <c r="C11" i="14"/>
  <c r="J10" i="14"/>
  <c r="F10" i="14"/>
  <c r="C10" i="14"/>
  <c r="J9" i="14"/>
  <c r="F9" i="14"/>
  <c r="C9" i="14"/>
  <c r="F23" i="12"/>
  <c r="C23" i="12"/>
  <c r="J13" i="12"/>
  <c r="F13" i="12"/>
  <c r="C13" i="12"/>
  <c r="J12" i="12"/>
  <c r="F12" i="12"/>
  <c r="C12" i="12"/>
  <c r="J11" i="12"/>
  <c r="F11" i="12"/>
  <c r="C11" i="12"/>
  <c r="J10" i="12"/>
  <c r="F10" i="12"/>
  <c r="C10" i="12"/>
  <c r="J9" i="12"/>
  <c r="F9" i="12"/>
  <c r="C9" i="12"/>
  <c r="F13" i="19"/>
  <c r="F12" i="19"/>
  <c r="F11" i="19"/>
  <c r="F10" i="19"/>
  <c r="F9" i="19"/>
  <c r="F13" i="18"/>
  <c r="F12" i="18"/>
  <c r="F11" i="18"/>
  <c r="F10" i="18"/>
  <c r="F9" i="18"/>
  <c r="F14" i="7"/>
  <c r="C14" i="7"/>
  <c r="J13" i="7"/>
  <c r="F13" i="7"/>
  <c r="C13" i="7"/>
  <c r="J12" i="7"/>
  <c r="F12" i="7"/>
  <c r="C12" i="7"/>
  <c r="J11" i="7"/>
  <c r="F11" i="7"/>
  <c r="C11" i="7"/>
  <c r="J10" i="7"/>
  <c r="F10" i="7"/>
  <c r="C10" i="7"/>
  <c r="J9" i="7"/>
  <c r="F9" i="7"/>
  <c r="C9" i="7"/>
  <c r="F14" i="6"/>
  <c r="C14" i="6"/>
  <c r="J13" i="6"/>
  <c r="F13" i="6"/>
  <c r="C13" i="6"/>
  <c r="J12" i="6"/>
  <c r="F12" i="6"/>
  <c r="C12" i="6"/>
  <c r="J11" i="6"/>
  <c r="F11" i="6"/>
  <c r="C11" i="6"/>
  <c r="J10" i="6"/>
  <c r="F10" i="6"/>
  <c r="C10" i="6"/>
  <c r="J9" i="6"/>
  <c r="F9" i="6"/>
  <c r="C9" i="6"/>
  <c r="J12" i="15"/>
  <c r="F12" i="15"/>
  <c r="C12" i="15"/>
  <c r="J11" i="15"/>
  <c r="F11" i="15"/>
  <c r="C11" i="15"/>
  <c r="J10" i="15"/>
  <c r="F10" i="15"/>
  <c r="C10" i="15"/>
  <c r="J9" i="15"/>
  <c r="F9" i="15"/>
  <c r="C9" i="15"/>
  <c r="F13" i="16"/>
  <c r="J12" i="16"/>
  <c r="F12" i="16"/>
  <c r="J11" i="16"/>
  <c r="F11" i="16"/>
  <c r="J10" i="16"/>
  <c r="F10" i="16"/>
  <c r="J9" i="16"/>
  <c r="F9" i="16"/>
  <c r="F12" i="17"/>
  <c r="F11" i="17"/>
  <c r="F10" i="17"/>
  <c r="F9" i="17"/>
  <c r="F14" i="10"/>
  <c r="C14" i="10"/>
  <c r="F13" i="10"/>
  <c r="C13" i="10"/>
  <c r="F12" i="10"/>
  <c r="C12" i="10"/>
  <c r="F11" i="10"/>
  <c r="C11" i="10"/>
  <c r="F10" i="10"/>
  <c r="C10" i="10"/>
  <c r="F9" i="10"/>
  <c r="C9" i="10"/>
  <c r="J14" i="4"/>
  <c r="J13" i="4"/>
  <c r="J12" i="4"/>
  <c r="F12" i="4"/>
  <c r="C12" i="4"/>
  <c r="J11" i="4"/>
  <c r="F11" i="4"/>
  <c r="C11" i="4"/>
  <c r="J10" i="4"/>
  <c r="F10" i="4"/>
  <c r="C10" i="4"/>
  <c r="J9" i="4"/>
  <c r="F9" i="4"/>
  <c r="C9" i="4"/>
  <c r="J15" i="1"/>
  <c r="J14" i="1"/>
  <c r="J13" i="1"/>
  <c r="J12" i="1"/>
  <c r="F12" i="1"/>
  <c r="C12" i="1"/>
  <c r="J11" i="1"/>
  <c r="F11" i="1"/>
  <c r="C11" i="1"/>
  <c r="J10" i="1"/>
  <c r="F10" i="1"/>
  <c r="C10" i="1"/>
  <c r="J9" i="1"/>
  <c r="F9" i="1"/>
  <c r="C9" i="1"/>
  <c r="J14" i="9"/>
  <c r="F14" i="9"/>
  <c r="C14" i="9"/>
  <c r="J13" i="9"/>
  <c r="F13" i="9"/>
  <c r="C13" i="9"/>
  <c r="J12" i="9"/>
  <c r="F12" i="9"/>
  <c r="C12" i="9"/>
  <c r="J11" i="9"/>
  <c r="F11" i="9"/>
  <c r="C11" i="9"/>
  <c r="J10" i="9"/>
  <c r="F10" i="9"/>
  <c r="C10" i="9"/>
  <c r="J9" i="9"/>
  <c r="F9" i="9"/>
  <c r="C9" i="9"/>
  <c r="F15" i="11"/>
  <c r="C15" i="11"/>
  <c r="J14" i="11"/>
  <c r="F14" i="11"/>
  <c r="C14" i="11"/>
  <c r="J13" i="11"/>
  <c r="F13" i="11"/>
  <c r="C13" i="11"/>
  <c r="J12" i="11"/>
  <c r="F12" i="11"/>
  <c r="C12" i="11"/>
  <c r="J11" i="11"/>
  <c r="F11" i="11"/>
  <c r="C11" i="11"/>
  <c r="J10" i="11"/>
  <c r="F10" i="11"/>
  <c r="C10" i="11"/>
  <c r="J9" i="11"/>
  <c r="F9" i="11"/>
  <c r="C9" i="11"/>
  <c r="J16" i="5"/>
  <c r="F16" i="5"/>
  <c r="C16" i="5"/>
  <c r="J15" i="5"/>
  <c r="F15" i="5"/>
  <c r="C15" i="5"/>
  <c r="J14" i="5"/>
  <c r="F14" i="5"/>
  <c r="C14" i="5"/>
  <c r="J13" i="5"/>
  <c r="F13" i="5"/>
  <c r="C13" i="5"/>
  <c r="J12" i="5"/>
  <c r="F12" i="5"/>
  <c r="C12" i="5"/>
  <c r="J11" i="5"/>
  <c r="F11" i="5"/>
  <c r="C11" i="5"/>
  <c r="J10" i="5"/>
  <c r="F10" i="5"/>
  <c r="C10" i="5"/>
  <c r="J9" i="5"/>
  <c r="C9" i="5"/>
</calcChain>
</file>

<file path=xl/comments1.xml><?xml version="1.0" encoding="utf-8"?>
<comments xmlns="http://schemas.openxmlformats.org/spreadsheetml/2006/main">
  <authors>
    <author>Matt Wyborski</author>
  </authors>
  <commentList>
    <comment ref="A16" authorId="0">
      <text>
        <r>
          <rPr>
            <b/>
            <sz val="9"/>
            <color indexed="81"/>
            <rFont val="Tahoma"/>
            <family val="2"/>
          </rPr>
          <t>Matt Wyborski:</t>
        </r>
        <r>
          <rPr>
            <sz val="9"/>
            <color indexed="81"/>
            <rFont val="Tahoma"/>
            <family val="2"/>
          </rPr>
          <t xml:space="preserve">
Extra thrust point taken to see max thrust on new motor
</t>
        </r>
      </text>
    </comment>
  </commentList>
</comments>
</file>

<file path=xl/sharedStrings.xml><?xml version="1.0" encoding="utf-8"?>
<sst xmlns="http://schemas.openxmlformats.org/spreadsheetml/2006/main" count="627" uniqueCount="61">
  <si>
    <t>Barometer</t>
  </si>
  <si>
    <t>Date</t>
  </si>
  <si>
    <t>Temperature</t>
  </si>
  <si>
    <t>Motor Used</t>
  </si>
  <si>
    <t>Battery Used</t>
  </si>
  <si>
    <t>30.26 inHg</t>
  </si>
  <si>
    <t>81F</t>
  </si>
  <si>
    <t>O.S QMA-5020-490</t>
  </si>
  <si>
    <t>ThunderPower 4400 14.4V</t>
  </si>
  <si>
    <t>RPM</t>
  </si>
  <si>
    <t>Thrust [oz]</t>
  </si>
  <si>
    <t>Amperage [A]</t>
  </si>
  <si>
    <t>Voltage [V]</t>
  </si>
  <si>
    <t>Power (meas) [W]</t>
  </si>
  <si>
    <t>Power (calc) [W]</t>
  </si>
  <si>
    <t>INFO</t>
  </si>
  <si>
    <t>Weight</t>
  </si>
  <si>
    <t>86g</t>
  </si>
  <si>
    <t>45g</t>
  </si>
  <si>
    <t>30.00 inHg</t>
  </si>
  <si>
    <t>79F</t>
  </si>
  <si>
    <t>Hyperion ZS4020-12</t>
  </si>
  <si>
    <t>83F</t>
  </si>
  <si>
    <t>29.95 inHg</t>
  </si>
  <si>
    <t>29.93 inHg</t>
  </si>
  <si>
    <t>17C</t>
  </si>
  <si>
    <t xml:space="preserve">ThunderPower 4400 </t>
  </si>
  <si>
    <t>25C</t>
  </si>
  <si>
    <t>24C</t>
  </si>
  <si>
    <t>29.92 inHg</t>
  </si>
  <si>
    <t>29.9 inHg</t>
  </si>
  <si>
    <t>19C</t>
  </si>
  <si>
    <t>115 g</t>
  </si>
  <si>
    <t>30.05 inHg</t>
  </si>
  <si>
    <t>16C</t>
  </si>
  <si>
    <t>50g</t>
  </si>
  <si>
    <t>67g</t>
  </si>
  <si>
    <t>22C</t>
  </si>
  <si>
    <t>99g</t>
  </si>
  <si>
    <t>87g</t>
  </si>
  <si>
    <t>29.63 inHg</t>
  </si>
  <si>
    <t>21.1C</t>
  </si>
  <si>
    <t>Hacker A50 14L</t>
  </si>
  <si>
    <t>Turnigy 6Cell 3000</t>
  </si>
  <si>
    <t>29.83 inHg</t>
  </si>
  <si>
    <t>Hacker A60</t>
  </si>
  <si>
    <t>111 g</t>
  </si>
  <si>
    <t>12.7C</t>
  </si>
  <si>
    <t>Turnigy 6S 3000</t>
  </si>
  <si>
    <t>29.59 inHg</t>
  </si>
  <si>
    <t>Force (oz)</t>
  </si>
  <si>
    <t>29.64 inHg</t>
  </si>
  <si>
    <t>29.69 inHg</t>
  </si>
  <si>
    <t xml:space="preserve"> </t>
  </si>
  <si>
    <t>INDOOR DATA</t>
  </si>
  <si>
    <t>30.10 inHg</t>
  </si>
  <si>
    <t>29.96 inHg</t>
  </si>
  <si>
    <t>12.7 C</t>
  </si>
  <si>
    <t>Hacker A50 14L V3</t>
  </si>
  <si>
    <t>30.32 inHg</t>
  </si>
  <si>
    <t>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</si>
</sst>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9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2" borderId="0" xfId="0" applyFont="1" applyFill="1" applyAlignment="1">
      <alignment horizontal="center"/>
    </xf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14" fontId="1" fillId="5" borderId="4" xfId="0" applyNumberFormat="1" applyFont="1" applyFill="1" applyBorder="1"/>
    <xf numFmtId="14" fontId="1" fillId="5" borderId="5" xfId="0" applyNumberFormat="1" applyFont="1" applyFill="1" applyBorder="1"/>
    <xf numFmtId="0" fontId="1" fillId="5" borderId="6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1" fillId="5" borderId="9" xfId="0" applyFont="1" applyFill="1" applyBorder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6" borderId="0" xfId="0" applyFont="1" applyFill="1"/>
    <xf numFmtId="0" fontId="1" fillId="3" borderId="10" xfId="0" applyFont="1" applyFill="1" applyBorder="1" applyAlignment="1">
      <alignment horizontal="center"/>
    </xf>
    <xf numFmtId="164" fontId="1" fillId="3" borderId="10" xfId="0" applyNumberFormat="1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164" fontId="1" fillId="6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6" fillId="6" borderId="0" xfId="0" applyFont="1" applyFill="1"/>
    <xf numFmtId="0" fontId="2" fillId="4" borderId="0" xfId="0" applyFont="1" applyFill="1" applyAlignment="1">
      <alignment horizontal="center"/>
    </xf>
    <xf numFmtId="0" fontId="2" fillId="4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O20" sqref="O20"/>
    </sheetView>
  </sheetViews>
  <sheetFormatPr defaultRowHeight="12" x14ac:dyDescent="0.2"/>
  <cols>
    <col min="1" max="1" width="12.5703125" style="13" bestFit="1" customWidth="1"/>
    <col min="2" max="2" width="10.85546875" style="13" customWidth="1"/>
    <col min="3" max="3" width="10.28515625" style="13" customWidth="1"/>
    <col min="4" max="4" width="14.85546875" style="13" bestFit="1" customWidth="1"/>
    <col min="5" max="7" width="9.140625" style="13"/>
    <col min="8" max="8" width="11" style="13" bestFit="1" customWidth="1"/>
    <col min="9" max="9" width="10.85546875" style="13" customWidth="1"/>
    <col min="10" max="10" width="12.85546875" style="13" bestFit="1" customWidth="1"/>
    <col min="11" max="11" width="14.140625" style="13" bestFit="1" customWidth="1"/>
    <col min="12" max="16384" width="9.140625" style="13"/>
  </cols>
  <sheetData>
    <row r="1" spans="1:13" x14ac:dyDescent="0.2">
      <c r="A1" s="23" t="s">
        <v>15</v>
      </c>
      <c r="B1" s="23"/>
      <c r="C1" s="23"/>
      <c r="H1" s="11" t="s">
        <v>15</v>
      </c>
      <c r="I1" s="11"/>
      <c r="J1" s="11"/>
    </row>
    <row r="2" spans="1:13" x14ac:dyDescent="0.2">
      <c r="A2" s="2" t="s">
        <v>1</v>
      </c>
      <c r="B2" s="5">
        <v>41911</v>
      </c>
      <c r="C2" s="6"/>
      <c r="H2" s="2" t="s">
        <v>1</v>
      </c>
      <c r="I2" s="5">
        <v>41911</v>
      </c>
      <c r="J2" s="6"/>
    </row>
    <row r="3" spans="1:13" x14ac:dyDescent="0.2">
      <c r="A3" s="3" t="s">
        <v>0</v>
      </c>
      <c r="B3" s="7" t="s">
        <v>19</v>
      </c>
      <c r="C3" s="8"/>
      <c r="H3" s="3" t="s">
        <v>0</v>
      </c>
      <c r="I3" s="7" t="s">
        <v>24</v>
      </c>
      <c r="J3" s="8"/>
    </row>
    <row r="4" spans="1:13" x14ac:dyDescent="0.2">
      <c r="A4" s="3" t="s">
        <v>2</v>
      </c>
      <c r="B4" s="7" t="s">
        <v>20</v>
      </c>
      <c r="C4" s="8"/>
      <c r="H4" s="3" t="s">
        <v>2</v>
      </c>
      <c r="I4" s="7" t="s">
        <v>22</v>
      </c>
      <c r="J4" s="8"/>
    </row>
    <row r="5" spans="1:13" x14ac:dyDescent="0.2">
      <c r="A5" s="3" t="s">
        <v>3</v>
      </c>
      <c r="B5" s="7" t="s">
        <v>21</v>
      </c>
      <c r="C5" s="8"/>
      <c r="H5" s="3" t="s">
        <v>3</v>
      </c>
      <c r="I5" s="7" t="s">
        <v>21</v>
      </c>
      <c r="J5" s="8"/>
    </row>
    <row r="6" spans="1:13" x14ac:dyDescent="0.2">
      <c r="A6" s="3" t="s">
        <v>4</v>
      </c>
      <c r="B6" s="7" t="s">
        <v>8</v>
      </c>
      <c r="C6" s="8"/>
      <c r="H6" s="3" t="s">
        <v>4</v>
      </c>
      <c r="I6" s="7" t="s">
        <v>8</v>
      </c>
      <c r="J6" s="8"/>
    </row>
    <row r="7" spans="1:13" x14ac:dyDescent="0.2">
      <c r="A7" s="4" t="s">
        <v>16</v>
      </c>
      <c r="B7" s="9"/>
      <c r="C7" s="10"/>
      <c r="H7" s="4" t="s">
        <v>16</v>
      </c>
      <c r="I7" s="9" t="s">
        <v>17</v>
      </c>
      <c r="J7" s="10"/>
    </row>
    <row r="8" spans="1:13" x14ac:dyDescent="0.2">
      <c r="A8" s="1" t="s">
        <v>12</v>
      </c>
      <c r="B8" s="1" t="s">
        <v>11</v>
      </c>
      <c r="C8" s="1" t="s">
        <v>14</v>
      </c>
      <c r="D8" s="1" t="s">
        <v>13</v>
      </c>
      <c r="E8" s="1" t="s">
        <v>9</v>
      </c>
      <c r="F8" s="1" t="s">
        <v>10</v>
      </c>
      <c r="H8" s="1" t="s">
        <v>12</v>
      </c>
      <c r="I8" s="1" t="s">
        <v>11</v>
      </c>
      <c r="J8" s="1" t="s">
        <v>14</v>
      </c>
      <c r="K8" s="1" t="s">
        <v>13</v>
      </c>
      <c r="L8" s="1" t="s">
        <v>9</v>
      </c>
      <c r="M8" s="1" t="s">
        <v>50</v>
      </c>
    </row>
    <row r="9" spans="1:13" x14ac:dyDescent="0.2">
      <c r="A9" s="14">
        <v>15.09</v>
      </c>
      <c r="B9" s="14">
        <v>2.5</v>
      </c>
      <c r="C9" s="15">
        <f>A9*B9</f>
        <v>37.725000000000001</v>
      </c>
      <c r="D9" s="14"/>
      <c r="E9" s="14">
        <v>2520</v>
      </c>
      <c r="F9" s="14">
        <v>10</v>
      </c>
      <c r="H9" s="14">
        <v>15.23</v>
      </c>
      <c r="I9" s="14">
        <v>47.52</v>
      </c>
      <c r="J9" s="15">
        <f>H9*I9</f>
        <v>723.72960000000012</v>
      </c>
      <c r="K9" s="14">
        <v>713</v>
      </c>
      <c r="L9" s="14">
        <v>6960</v>
      </c>
      <c r="M9" s="14">
        <v>5.7</v>
      </c>
    </row>
    <row r="10" spans="1:13" x14ac:dyDescent="0.2">
      <c r="A10" s="14">
        <v>14.98</v>
      </c>
      <c r="B10" s="14">
        <v>3.84</v>
      </c>
      <c r="C10" s="15">
        <f t="shared" ref="C10:C16" si="0">A10*B10</f>
        <v>57.523200000000003</v>
      </c>
      <c r="D10" s="14"/>
      <c r="E10" s="14">
        <v>3030</v>
      </c>
      <c r="F10" s="14">
        <f>1*16+1</f>
        <v>17</v>
      </c>
      <c r="H10" s="14">
        <v>15.32</v>
      </c>
      <c r="I10" s="14">
        <v>35.72</v>
      </c>
      <c r="J10" s="15">
        <f t="shared" ref="J10:J16" si="1">H10*I10</f>
        <v>547.23040000000003</v>
      </c>
      <c r="K10" s="14">
        <v>547</v>
      </c>
      <c r="L10" s="14">
        <v>6360</v>
      </c>
      <c r="M10" s="14">
        <v>4.9000000000000004</v>
      </c>
    </row>
    <row r="11" spans="1:13" x14ac:dyDescent="0.2">
      <c r="A11" s="14">
        <v>14.83</v>
      </c>
      <c r="B11" s="14">
        <v>5.83</v>
      </c>
      <c r="C11" s="15">
        <f t="shared" si="0"/>
        <v>86.4589</v>
      </c>
      <c r="D11" s="14"/>
      <c r="E11" s="14">
        <v>3510</v>
      </c>
      <c r="F11" s="14">
        <f>1*16+10</f>
        <v>26</v>
      </c>
      <c r="H11" s="14">
        <v>15.33</v>
      </c>
      <c r="I11" s="14">
        <v>29.49</v>
      </c>
      <c r="J11" s="15">
        <f t="shared" si="1"/>
        <v>452.08169999999996</v>
      </c>
      <c r="K11" s="14">
        <v>445</v>
      </c>
      <c r="L11" s="14">
        <v>6030</v>
      </c>
      <c r="M11" s="14">
        <v>4.2</v>
      </c>
    </row>
    <row r="12" spans="1:13" x14ac:dyDescent="0.2">
      <c r="A12" s="14">
        <v>14.71</v>
      </c>
      <c r="B12" s="14">
        <v>8.6999999999999993</v>
      </c>
      <c r="C12" s="15">
        <f t="shared" si="0"/>
        <v>127.977</v>
      </c>
      <c r="D12" s="14"/>
      <c r="E12" s="14">
        <v>3990</v>
      </c>
      <c r="F12" s="14">
        <f>2*16+5</f>
        <v>37</v>
      </c>
      <c r="H12" s="14">
        <v>15.41</v>
      </c>
      <c r="I12" s="14">
        <v>21.98</v>
      </c>
      <c r="J12" s="15">
        <f t="shared" si="1"/>
        <v>338.71179999999998</v>
      </c>
      <c r="K12" s="14">
        <v>334</v>
      </c>
      <c r="L12" s="14">
        <v>5490</v>
      </c>
      <c r="M12" s="14">
        <v>3.4</v>
      </c>
    </row>
    <row r="13" spans="1:13" x14ac:dyDescent="0.2">
      <c r="A13" s="14">
        <v>14.54</v>
      </c>
      <c r="B13" s="14">
        <v>12.06</v>
      </c>
      <c r="C13" s="15">
        <f t="shared" si="0"/>
        <v>175.35239999999999</v>
      </c>
      <c r="D13" s="14"/>
      <c r="E13" s="14">
        <v>4500</v>
      </c>
      <c r="F13" s="14">
        <f>2*16+15</f>
        <v>47</v>
      </c>
      <c r="H13" s="14">
        <v>15.47</v>
      </c>
      <c r="I13" s="14">
        <v>16.600000000000001</v>
      </c>
      <c r="J13" s="15">
        <f t="shared" si="1"/>
        <v>256.80200000000002</v>
      </c>
      <c r="K13" s="14">
        <v>257</v>
      </c>
      <c r="L13" s="14">
        <v>5040</v>
      </c>
      <c r="M13" s="14">
        <v>2.8</v>
      </c>
    </row>
    <row r="14" spans="1:13" x14ac:dyDescent="0.2">
      <c r="A14" s="14">
        <v>14.34</v>
      </c>
      <c r="B14" s="14">
        <v>17.059999999999999</v>
      </c>
      <c r="C14" s="15">
        <f t="shared" si="0"/>
        <v>244.64039999999997</v>
      </c>
      <c r="D14" s="14"/>
      <c r="E14" s="14">
        <v>5010</v>
      </c>
      <c r="F14" s="14">
        <f>3*16+12</f>
        <v>60</v>
      </c>
      <c r="H14" s="14">
        <v>15.57</v>
      </c>
      <c r="I14" s="14">
        <v>11.25</v>
      </c>
      <c r="J14" s="15">
        <f t="shared" si="1"/>
        <v>175.16249999999999</v>
      </c>
      <c r="K14" s="14">
        <v>180</v>
      </c>
      <c r="L14" s="14">
        <v>4410</v>
      </c>
      <c r="M14" s="14">
        <v>2.1</v>
      </c>
    </row>
    <row r="15" spans="1:13" x14ac:dyDescent="0.2">
      <c r="A15" s="14">
        <v>14.06</v>
      </c>
      <c r="B15" s="14">
        <v>24</v>
      </c>
      <c r="C15" s="15">
        <f t="shared" si="0"/>
        <v>337.44</v>
      </c>
      <c r="D15" s="14">
        <v>340</v>
      </c>
      <c r="E15" s="14">
        <v>5520</v>
      </c>
      <c r="F15" s="14">
        <f>4*16+12</f>
        <v>76</v>
      </c>
      <c r="H15" s="14">
        <v>15.62</v>
      </c>
      <c r="I15" s="14">
        <v>7.84</v>
      </c>
      <c r="J15" s="15">
        <f t="shared" si="1"/>
        <v>122.46079999999999</v>
      </c>
      <c r="K15" s="14">
        <v>125</v>
      </c>
      <c r="L15" s="14">
        <v>3900</v>
      </c>
      <c r="M15" s="14">
        <v>1.6</v>
      </c>
    </row>
    <row r="16" spans="1:13" x14ac:dyDescent="0.2">
      <c r="A16" s="14">
        <v>13.66</v>
      </c>
      <c r="B16" s="14">
        <v>32.64</v>
      </c>
      <c r="C16" s="15">
        <f t="shared" si="0"/>
        <v>445.86240000000004</v>
      </c>
      <c r="D16" s="14">
        <v>447</v>
      </c>
      <c r="E16" s="14">
        <v>6060</v>
      </c>
      <c r="F16" s="14">
        <f>5*16+12</f>
        <v>92</v>
      </c>
      <c r="H16" s="14">
        <v>15.66</v>
      </c>
      <c r="I16" s="14">
        <v>5.87</v>
      </c>
      <c r="J16" s="15">
        <f t="shared" si="1"/>
        <v>91.924199999999999</v>
      </c>
      <c r="K16" s="14">
        <v>92</v>
      </c>
      <c r="L16" s="14">
        <v>3480</v>
      </c>
      <c r="M16" s="14">
        <v>1.2</v>
      </c>
    </row>
  </sheetData>
  <mergeCells count="1">
    <mergeCell ref="A1:C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H24" sqref="H24"/>
    </sheetView>
  </sheetViews>
  <sheetFormatPr defaultRowHeight="12" x14ac:dyDescent="0.2"/>
  <cols>
    <col min="1" max="1" width="12.5703125" style="13" bestFit="1" customWidth="1"/>
    <col min="2" max="2" width="11.42578125" style="13" customWidth="1"/>
    <col min="3" max="3" width="13.5703125" style="13" bestFit="1" customWidth="1"/>
    <col min="4" max="4" width="14.85546875" style="13" bestFit="1" customWidth="1"/>
    <col min="5" max="7" width="9.140625" style="13"/>
    <col min="8" max="8" width="11" style="13" bestFit="1" customWidth="1"/>
    <col min="9" max="9" width="20.7109375" style="13" bestFit="1" customWidth="1"/>
    <col min="10" max="10" width="12.85546875" style="13" bestFit="1" customWidth="1"/>
    <col min="11" max="11" width="14.140625" style="13" bestFit="1" customWidth="1"/>
    <col min="12" max="12" width="9.140625" style="13"/>
    <col min="13" max="13" width="8" style="13" bestFit="1" customWidth="1"/>
    <col min="14" max="16384" width="9.140625" style="13"/>
  </cols>
  <sheetData>
    <row r="1" spans="1:13" x14ac:dyDescent="0.2">
      <c r="A1" s="24" t="s">
        <v>15</v>
      </c>
      <c r="B1" s="24"/>
      <c r="C1" s="24"/>
      <c r="H1" s="24" t="s">
        <v>15</v>
      </c>
      <c r="I1" s="24"/>
      <c r="J1" s="24"/>
    </row>
    <row r="2" spans="1:13" x14ac:dyDescent="0.2">
      <c r="A2" s="2" t="s">
        <v>1</v>
      </c>
      <c r="B2" s="5">
        <v>41967</v>
      </c>
      <c r="C2" s="6"/>
      <c r="H2" s="2" t="s">
        <v>1</v>
      </c>
      <c r="I2" s="5">
        <v>41967</v>
      </c>
      <c r="J2" s="6"/>
    </row>
    <row r="3" spans="1:13" x14ac:dyDescent="0.2">
      <c r="A3" s="3" t="s">
        <v>0</v>
      </c>
      <c r="B3" s="7" t="s">
        <v>49</v>
      </c>
      <c r="C3" s="8"/>
      <c r="H3" s="3" t="s">
        <v>0</v>
      </c>
      <c r="I3" s="7" t="s">
        <v>49</v>
      </c>
      <c r="J3" s="8"/>
    </row>
    <row r="4" spans="1:13" x14ac:dyDescent="0.2">
      <c r="A4" s="3" t="s">
        <v>2</v>
      </c>
      <c r="B4" s="7" t="s">
        <v>47</v>
      </c>
      <c r="C4" s="8"/>
      <c r="H4" s="3" t="s">
        <v>2</v>
      </c>
      <c r="I4" s="7" t="s">
        <v>47</v>
      </c>
      <c r="J4" s="8"/>
    </row>
    <row r="5" spans="1:13" x14ac:dyDescent="0.2">
      <c r="A5" s="3" t="s">
        <v>3</v>
      </c>
      <c r="B5" s="7" t="s">
        <v>42</v>
      </c>
      <c r="C5" s="8"/>
      <c r="H5" s="3" t="s">
        <v>3</v>
      </c>
      <c r="I5" s="7" t="s">
        <v>42</v>
      </c>
      <c r="J5" s="8"/>
    </row>
    <row r="6" spans="1:13" x14ac:dyDescent="0.2">
      <c r="A6" s="3" t="s">
        <v>4</v>
      </c>
      <c r="B6" s="7" t="s">
        <v>48</v>
      </c>
      <c r="C6" s="8"/>
      <c r="H6" s="3" t="s">
        <v>4</v>
      </c>
      <c r="I6" s="7" t="s">
        <v>48</v>
      </c>
      <c r="J6" s="8"/>
    </row>
    <row r="7" spans="1:13" x14ac:dyDescent="0.2">
      <c r="A7" s="3" t="s">
        <v>16</v>
      </c>
      <c r="B7" s="7" t="s">
        <v>38</v>
      </c>
      <c r="C7" s="8"/>
      <c r="H7" s="3" t="s">
        <v>16</v>
      </c>
      <c r="I7" s="7" t="s">
        <v>38</v>
      </c>
      <c r="J7" s="8"/>
    </row>
    <row r="8" spans="1:13" x14ac:dyDescent="0.2">
      <c r="A8" s="20" t="s">
        <v>12</v>
      </c>
      <c r="B8" s="20" t="s">
        <v>11</v>
      </c>
      <c r="C8" s="20" t="s">
        <v>14</v>
      </c>
      <c r="D8" s="20" t="s">
        <v>13</v>
      </c>
      <c r="E8" s="20" t="s">
        <v>9</v>
      </c>
      <c r="F8" s="20" t="s">
        <v>10</v>
      </c>
      <c r="H8" s="20" t="s">
        <v>12</v>
      </c>
      <c r="I8" s="20" t="s">
        <v>11</v>
      </c>
      <c r="J8" s="20" t="s">
        <v>14</v>
      </c>
      <c r="K8" s="20" t="s">
        <v>13</v>
      </c>
      <c r="L8" s="20" t="s">
        <v>9</v>
      </c>
      <c r="M8" s="20" t="s">
        <v>50</v>
      </c>
    </row>
    <row r="9" spans="1:13" x14ac:dyDescent="0.2">
      <c r="A9" s="14">
        <v>22</v>
      </c>
      <c r="B9" s="14">
        <v>45</v>
      </c>
      <c r="C9" s="15">
        <f>B9*A9</f>
        <v>990</v>
      </c>
      <c r="D9" s="14">
        <v>960</v>
      </c>
      <c r="E9" s="14">
        <v>5684</v>
      </c>
      <c r="F9" s="14">
        <f>10*16+12</f>
        <v>172</v>
      </c>
      <c r="H9" s="14">
        <v>21.8</v>
      </c>
      <c r="I9" s="14">
        <v>45</v>
      </c>
      <c r="J9" s="15">
        <f>I9*H9</f>
        <v>981</v>
      </c>
      <c r="K9" s="14">
        <v>960</v>
      </c>
      <c r="L9" s="14">
        <v>5640</v>
      </c>
      <c r="M9" s="14">
        <v>10.1</v>
      </c>
    </row>
    <row r="10" spans="1:13" x14ac:dyDescent="0.2">
      <c r="A10" s="14">
        <v>22.09</v>
      </c>
      <c r="B10" s="14">
        <v>30</v>
      </c>
      <c r="C10" s="15">
        <f t="shared" ref="C10:C12" si="0">B10*A10</f>
        <v>662.7</v>
      </c>
      <c r="D10" s="14">
        <v>660</v>
      </c>
      <c r="E10" s="14">
        <v>4980</v>
      </c>
      <c r="F10" s="14">
        <f>8*16+3</f>
        <v>131</v>
      </c>
      <c r="H10" s="14">
        <v>22</v>
      </c>
      <c r="I10" s="14">
        <v>30.6</v>
      </c>
      <c r="J10" s="15">
        <f t="shared" ref="J10:J12" si="1">I10*H10</f>
        <v>673.2</v>
      </c>
      <c r="K10" s="14">
        <v>676</v>
      </c>
      <c r="L10" s="14">
        <v>5000</v>
      </c>
      <c r="M10" s="14">
        <v>7.9</v>
      </c>
    </row>
    <row r="11" spans="1:13" x14ac:dyDescent="0.2">
      <c r="A11" s="14">
        <v>22.4</v>
      </c>
      <c r="B11" s="14">
        <v>22.2</v>
      </c>
      <c r="C11" s="15">
        <f t="shared" si="0"/>
        <v>497.28</v>
      </c>
      <c r="D11" s="14">
        <v>493</v>
      </c>
      <c r="E11" s="14">
        <v>4555</v>
      </c>
      <c r="F11" s="14">
        <f>6*16+12</f>
        <v>108</v>
      </c>
      <c r="H11" s="14">
        <v>22.27</v>
      </c>
      <c r="I11" s="14">
        <v>23</v>
      </c>
      <c r="J11" s="15">
        <f t="shared" si="1"/>
        <v>512.21</v>
      </c>
      <c r="K11" s="14">
        <v>518</v>
      </c>
      <c r="L11" s="14">
        <v>4600</v>
      </c>
      <c r="M11" s="14">
        <v>6.6</v>
      </c>
    </row>
    <row r="12" spans="1:13" x14ac:dyDescent="0.2">
      <c r="A12" s="14">
        <v>22.6</v>
      </c>
      <c r="B12" s="14">
        <v>15.85</v>
      </c>
      <c r="C12" s="15">
        <f t="shared" si="0"/>
        <v>358.21000000000004</v>
      </c>
      <c r="D12" s="14">
        <v>363</v>
      </c>
      <c r="E12" s="14">
        <v>4080</v>
      </c>
      <c r="F12" s="14">
        <f>5*16+5</f>
        <v>85</v>
      </c>
      <c r="H12" s="14">
        <v>22.55</v>
      </c>
      <c r="I12" s="14">
        <v>15</v>
      </c>
      <c r="J12" s="15">
        <f t="shared" si="1"/>
        <v>338.25</v>
      </c>
      <c r="K12" s="14">
        <v>334</v>
      </c>
      <c r="L12" s="14">
        <v>3955</v>
      </c>
      <c r="M12" s="14">
        <v>4.8</v>
      </c>
    </row>
  </sheetData>
  <mergeCells count="2">
    <mergeCell ref="A1:C1"/>
    <mergeCell ref="H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M8" sqref="M8"/>
    </sheetView>
  </sheetViews>
  <sheetFormatPr defaultRowHeight="12" x14ac:dyDescent="0.2"/>
  <cols>
    <col min="1" max="1" width="12.5703125" style="13" bestFit="1" customWidth="1"/>
    <col min="2" max="2" width="11.42578125" style="13" customWidth="1"/>
    <col min="3" max="3" width="13.5703125" style="13" bestFit="1" customWidth="1"/>
    <col min="4" max="4" width="14.85546875" style="13" bestFit="1" customWidth="1"/>
    <col min="5" max="7" width="9.140625" style="13"/>
    <col min="8" max="8" width="11" style="13" bestFit="1" customWidth="1"/>
    <col min="9" max="9" width="20.7109375" style="13" bestFit="1" customWidth="1"/>
    <col min="10" max="10" width="12.85546875" style="13" bestFit="1" customWidth="1"/>
    <col min="11" max="11" width="14.140625" style="13" bestFit="1" customWidth="1"/>
    <col min="12" max="16384" width="9.140625" style="13"/>
  </cols>
  <sheetData>
    <row r="1" spans="1:13" x14ac:dyDescent="0.2">
      <c r="A1" s="23" t="s">
        <v>15</v>
      </c>
      <c r="B1" s="23"/>
      <c r="C1" s="23"/>
      <c r="H1" s="12" t="s">
        <v>15</v>
      </c>
      <c r="I1" s="12"/>
      <c r="J1" s="12"/>
    </row>
    <row r="2" spans="1:13" x14ac:dyDescent="0.2">
      <c r="A2" s="2" t="s">
        <v>1</v>
      </c>
      <c r="B2" s="5">
        <v>41912</v>
      </c>
      <c r="C2" s="6"/>
      <c r="H2" s="2" t="s">
        <v>1</v>
      </c>
      <c r="I2" s="5">
        <v>41912</v>
      </c>
      <c r="J2" s="6"/>
    </row>
    <row r="3" spans="1:13" x14ac:dyDescent="0.2">
      <c r="A3" s="3" t="s">
        <v>0</v>
      </c>
      <c r="B3" s="7" t="s">
        <v>23</v>
      </c>
      <c r="C3" s="8"/>
      <c r="H3" s="3" t="s">
        <v>0</v>
      </c>
      <c r="I3" s="7" t="s">
        <v>23</v>
      </c>
      <c r="J3" s="8"/>
    </row>
    <row r="4" spans="1:13" x14ac:dyDescent="0.2">
      <c r="A4" s="3" t="s">
        <v>2</v>
      </c>
      <c r="B4" s="7" t="s">
        <v>25</v>
      </c>
      <c r="C4" s="8"/>
      <c r="H4" s="3" t="s">
        <v>2</v>
      </c>
      <c r="I4" s="7" t="s">
        <v>25</v>
      </c>
      <c r="J4" s="8"/>
    </row>
    <row r="5" spans="1:13" x14ac:dyDescent="0.2">
      <c r="A5" s="3" t="s">
        <v>3</v>
      </c>
      <c r="B5" s="7" t="s">
        <v>21</v>
      </c>
      <c r="C5" s="8"/>
      <c r="H5" s="3" t="s">
        <v>3</v>
      </c>
      <c r="I5" s="7" t="s">
        <v>21</v>
      </c>
      <c r="J5" s="8"/>
    </row>
    <row r="6" spans="1:13" x14ac:dyDescent="0.2">
      <c r="A6" s="3" t="s">
        <v>4</v>
      </c>
      <c r="B6" s="7" t="s">
        <v>26</v>
      </c>
      <c r="C6" s="8"/>
      <c r="H6" s="3" t="s">
        <v>4</v>
      </c>
      <c r="I6" s="7" t="s">
        <v>8</v>
      </c>
      <c r="J6" s="8"/>
    </row>
    <row r="7" spans="1:13" x14ac:dyDescent="0.2">
      <c r="A7" s="4" t="s">
        <v>16</v>
      </c>
      <c r="B7" s="9"/>
      <c r="C7" s="10"/>
      <c r="H7" s="4" t="s">
        <v>16</v>
      </c>
      <c r="I7" s="9"/>
      <c r="J7" s="10"/>
    </row>
    <row r="8" spans="1:13" x14ac:dyDescent="0.2">
      <c r="A8" s="1" t="s">
        <v>12</v>
      </c>
      <c r="B8" s="1" t="s">
        <v>11</v>
      </c>
      <c r="C8" s="1" t="s">
        <v>14</v>
      </c>
      <c r="D8" s="1" t="s">
        <v>13</v>
      </c>
      <c r="E8" s="1" t="s">
        <v>9</v>
      </c>
      <c r="F8" s="1" t="s">
        <v>10</v>
      </c>
      <c r="H8" s="1" t="s">
        <v>12</v>
      </c>
      <c r="I8" s="1" t="s">
        <v>11</v>
      </c>
      <c r="J8" s="1" t="s">
        <v>14</v>
      </c>
      <c r="K8" s="1" t="s">
        <v>13</v>
      </c>
      <c r="L8" s="1" t="s">
        <v>9</v>
      </c>
      <c r="M8" s="1" t="s">
        <v>50</v>
      </c>
    </row>
    <row r="9" spans="1:13" x14ac:dyDescent="0.2">
      <c r="A9" s="14">
        <v>14.5</v>
      </c>
      <c r="B9" s="14">
        <v>69.599999999999994</v>
      </c>
      <c r="C9" s="15">
        <f>B9*A9</f>
        <v>1009.1999999999999</v>
      </c>
      <c r="D9" s="14">
        <v>998</v>
      </c>
      <c r="E9" s="14">
        <v>5580</v>
      </c>
      <c r="F9" s="14">
        <f>10*16+14</f>
        <v>174</v>
      </c>
      <c r="H9" s="14">
        <v>14.4</v>
      </c>
      <c r="I9" s="14">
        <v>69.599999999999994</v>
      </c>
      <c r="J9" s="15">
        <f>I9*H9</f>
        <v>1002.2399999999999</v>
      </c>
      <c r="K9" s="14">
        <v>993</v>
      </c>
      <c r="L9" s="14">
        <v>5520</v>
      </c>
      <c r="M9" s="14">
        <v>9.3000000000000007</v>
      </c>
    </row>
    <row r="10" spans="1:13" x14ac:dyDescent="0.2">
      <c r="A10" s="14">
        <v>14.79</v>
      </c>
      <c r="B10" s="14">
        <v>49.89</v>
      </c>
      <c r="C10" s="15">
        <f t="shared" ref="C10:C14" si="0">B10*A10</f>
        <v>737.87310000000002</v>
      </c>
      <c r="D10" s="14">
        <v>739</v>
      </c>
      <c r="E10" s="14">
        <v>5010</v>
      </c>
      <c r="F10" s="14">
        <f>8*16+10</f>
        <v>138</v>
      </c>
      <c r="H10" s="14">
        <v>14.34</v>
      </c>
      <c r="I10" s="14">
        <v>49.7</v>
      </c>
      <c r="J10" s="15">
        <f t="shared" ref="J10:J13" si="1">I10*H10</f>
        <v>712.69799999999998</v>
      </c>
      <c r="K10" s="14">
        <v>725</v>
      </c>
      <c r="L10" s="14">
        <v>4980</v>
      </c>
      <c r="M10" s="14">
        <v>7.3</v>
      </c>
    </row>
    <row r="11" spans="1:13" x14ac:dyDescent="0.2">
      <c r="A11" s="14">
        <v>14.97</v>
      </c>
      <c r="B11" s="14">
        <v>35</v>
      </c>
      <c r="C11" s="15">
        <f t="shared" si="0"/>
        <v>523.95000000000005</v>
      </c>
      <c r="D11" s="14">
        <v>525</v>
      </c>
      <c r="E11" s="14">
        <v>4500</v>
      </c>
      <c r="F11" s="14">
        <f>6*16+15</f>
        <v>111</v>
      </c>
      <c r="H11" s="14">
        <v>15</v>
      </c>
      <c r="I11" s="14">
        <v>32.9</v>
      </c>
      <c r="J11" s="15">
        <f t="shared" si="1"/>
        <v>493.5</v>
      </c>
      <c r="K11" s="14">
        <v>487</v>
      </c>
      <c r="L11" s="14">
        <v>4440</v>
      </c>
      <c r="M11" s="14">
        <v>5.5</v>
      </c>
    </row>
    <row r="12" spans="1:13" x14ac:dyDescent="0.2">
      <c r="A12" s="14">
        <v>15.12</v>
      </c>
      <c r="B12" s="14">
        <v>23.2</v>
      </c>
      <c r="C12" s="15">
        <f t="shared" si="0"/>
        <v>350.78399999999999</v>
      </c>
      <c r="D12" s="14">
        <v>353</v>
      </c>
      <c r="E12" s="14">
        <v>4020</v>
      </c>
      <c r="F12" s="14">
        <f>5*16+6</f>
        <v>86</v>
      </c>
      <c r="H12" s="14">
        <v>15.09</v>
      </c>
      <c r="I12" s="14">
        <v>22.8</v>
      </c>
      <c r="J12" s="15">
        <f t="shared" si="1"/>
        <v>344.05200000000002</v>
      </c>
      <c r="K12" s="14">
        <v>346</v>
      </c>
      <c r="L12" s="14">
        <v>3990</v>
      </c>
      <c r="M12" s="14">
        <v>4.4000000000000004</v>
      </c>
    </row>
    <row r="13" spans="1:13" x14ac:dyDescent="0.2">
      <c r="A13" s="14">
        <v>15.2</v>
      </c>
      <c r="B13" s="14">
        <v>15</v>
      </c>
      <c r="C13" s="15">
        <f t="shared" si="0"/>
        <v>228</v>
      </c>
      <c r="D13" s="14">
        <v>230</v>
      </c>
      <c r="E13" s="14">
        <v>3540</v>
      </c>
      <c r="F13" s="14">
        <f>3*16+6</f>
        <v>54</v>
      </c>
      <c r="H13" s="14">
        <v>15.24</v>
      </c>
      <c r="I13" s="14">
        <v>14</v>
      </c>
      <c r="J13" s="15">
        <f t="shared" si="1"/>
        <v>213.36</v>
      </c>
      <c r="K13" s="14">
        <v>213</v>
      </c>
      <c r="L13" s="14">
        <v>3450</v>
      </c>
      <c r="M13" s="14">
        <v>3.1</v>
      </c>
    </row>
    <row r="14" spans="1:13" x14ac:dyDescent="0.2">
      <c r="A14" s="14">
        <v>15.28</v>
      </c>
      <c r="B14" s="14">
        <v>8.9499999999999993</v>
      </c>
      <c r="C14" s="15">
        <f t="shared" si="0"/>
        <v>136.75599999999997</v>
      </c>
      <c r="D14" s="14">
        <v>138</v>
      </c>
      <c r="E14" s="14">
        <v>2970</v>
      </c>
      <c r="F14" s="14">
        <f>2*16+13</f>
        <v>45</v>
      </c>
    </row>
  </sheetData>
  <mergeCells count="1">
    <mergeCell ref="A1: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C28" sqref="C28"/>
    </sheetView>
  </sheetViews>
  <sheetFormatPr defaultRowHeight="12" x14ac:dyDescent="0.2"/>
  <cols>
    <col min="1" max="1" width="12.5703125" style="13" bestFit="1" customWidth="1"/>
    <col min="2" max="2" width="11.42578125" style="13" customWidth="1"/>
    <col min="3" max="3" width="13.5703125" style="13" bestFit="1" customWidth="1"/>
    <col min="4" max="4" width="14.85546875" style="13" bestFit="1" customWidth="1"/>
    <col min="5" max="7" width="9.140625" style="13"/>
    <col min="8" max="8" width="11" style="13" bestFit="1" customWidth="1"/>
    <col min="9" max="9" width="20.7109375" style="13" bestFit="1" customWidth="1"/>
    <col min="10" max="10" width="12.85546875" style="13" bestFit="1" customWidth="1"/>
    <col min="11" max="11" width="14.140625" style="13" bestFit="1" customWidth="1"/>
    <col min="12" max="16384" width="9.140625" style="13"/>
  </cols>
  <sheetData>
    <row r="1" spans="1:13" x14ac:dyDescent="0.2">
      <c r="A1" s="24" t="s">
        <v>15</v>
      </c>
      <c r="B1" s="24"/>
      <c r="C1" s="24"/>
      <c r="H1" s="24" t="s">
        <v>15</v>
      </c>
      <c r="I1" s="24"/>
      <c r="J1" s="24"/>
    </row>
    <row r="2" spans="1:13" x14ac:dyDescent="0.2">
      <c r="A2" s="2" t="s">
        <v>1</v>
      </c>
      <c r="B2" s="5">
        <v>41912</v>
      </c>
      <c r="C2" s="6"/>
      <c r="H2" s="2" t="s">
        <v>1</v>
      </c>
      <c r="I2" s="5">
        <v>41912</v>
      </c>
      <c r="J2" s="6"/>
    </row>
    <row r="3" spans="1:13" x14ac:dyDescent="0.2">
      <c r="A3" s="3" t="s">
        <v>0</v>
      </c>
      <c r="B3" s="7" t="s">
        <v>24</v>
      </c>
      <c r="C3" s="8"/>
      <c r="H3" s="3" t="s">
        <v>0</v>
      </c>
      <c r="I3" s="7" t="s">
        <v>29</v>
      </c>
      <c r="J3" s="8"/>
    </row>
    <row r="4" spans="1:13" x14ac:dyDescent="0.2">
      <c r="A4" s="3" t="s">
        <v>2</v>
      </c>
      <c r="B4" s="7" t="s">
        <v>27</v>
      </c>
      <c r="C4" s="8"/>
      <c r="H4" s="3" t="s">
        <v>2</v>
      </c>
      <c r="I4" s="7" t="s">
        <v>28</v>
      </c>
      <c r="J4" s="8"/>
    </row>
    <row r="5" spans="1:13" x14ac:dyDescent="0.2">
      <c r="A5" s="3" t="s">
        <v>3</v>
      </c>
      <c r="B5" s="7" t="s">
        <v>21</v>
      </c>
      <c r="C5" s="8"/>
      <c r="H5" s="3" t="s">
        <v>3</v>
      </c>
      <c r="I5" s="7" t="s">
        <v>21</v>
      </c>
      <c r="J5" s="8"/>
    </row>
    <row r="6" spans="1:13" x14ac:dyDescent="0.2">
      <c r="A6" s="3" t="s">
        <v>4</v>
      </c>
      <c r="B6" s="7" t="s">
        <v>26</v>
      </c>
      <c r="C6" s="8"/>
      <c r="H6" s="3" t="s">
        <v>4</v>
      </c>
      <c r="I6" s="7" t="s">
        <v>8</v>
      </c>
      <c r="J6" s="8"/>
    </row>
    <row r="7" spans="1:13" x14ac:dyDescent="0.2">
      <c r="A7" s="4" t="s">
        <v>16</v>
      </c>
      <c r="B7" s="9" t="s">
        <v>38</v>
      </c>
      <c r="C7" s="10"/>
      <c r="H7" s="4" t="s">
        <v>16</v>
      </c>
      <c r="I7" s="9" t="s">
        <v>38</v>
      </c>
      <c r="J7" s="10"/>
    </row>
    <row r="8" spans="1:13" x14ac:dyDescent="0.2">
      <c r="A8" s="1" t="s">
        <v>12</v>
      </c>
      <c r="B8" s="1" t="s">
        <v>11</v>
      </c>
      <c r="C8" s="1" t="s">
        <v>14</v>
      </c>
      <c r="D8" s="1" t="s">
        <v>13</v>
      </c>
      <c r="E8" s="1" t="s">
        <v>9</v>
      </c>
      <c r="F8" s="1" t="s">
        <v>10</v>
      </c>
      <c r="H8" s="1" t="s">
        <v>12</v>
      </c>
      <c r="I8" s="1" t="s">
        <v>11</v>
      </c>
      <c r="J8" s="1" t="s">
        <v>14</v>
      </c>
      <c r="K8" s="1" t="s">
        <v>13</v>
      </c>
      <c r="L8" s="1" t="s">
        <v>9</v>
      </c>
      <c r="M8" s="1" t="s">
        <v>50</v>
      </c>
    </row>
    <row r="9" spans="1:13" x14ac:dyDescent="0.2">
      <c r="A9" s="14">
        <v>14.64</v>
      </c>
      <c r="B9" s="14">
        <v>69.599999999999994</v>
      </c>
      <c r="C9" s="15">
        <f>B9*A9</f>
        <v>1018.944</v>
      </c>
      <c r="D9" s="14">
        <v>1006</v>
      </c>
      <c r="E9" s="14">
        <v>5580</v>
      </c>
      <c r="F9" s="14">
        <f>10*16+10</f>
        <v>170</v>
      </c>
      <c r="H9" s="14">
        <v>14.4</v>
      </c>
      <c r="I9" s="14">
        <v>69.599999999999994</v>
      </c>
      <c r="J9" s="15">
        <f>I9*H9</f>
        <v>1002.2399999999999</v>
      </c>
      <c r="K9" s="14">
        <v>997</v>
      </c>
      <c r="L9" s="14">
        <v>5580</v>
      </c>
      <c r="M9" s="14">
        <v>9.3000000000000007</v>
      </c>
    </row>
    <row r="10" spans="1:13" x14ac:dyDescent="0.2">
      <c r="A10" s="14">
        <v>14.6</v>
      </c>
      <c r="B10" s="14">
        <v>51.7</v>
      </c>
      <c r="C10" s="15">
        <f t="shared" ref="C10:C14" si="0">B10*A10</f>
        <v>754.82</v>
      </c>
      <c r="D10" s="14">
        <v>734</v>
      </c>
      <c r="E10" s="14">
        <v>4920</v>
      </c>
      <c r="F10" s="14">
        <f>8*16+4</f>
        <v>132</v>
      </c>
      <c r="H10" s="14">
        <v>14.8</v>
      </c>
      <c r="I10" s="14">
        <v>49.5</v>
      </c>
      <c r="J10" s="15">
        <f t="shared" ref="J10:J13" si="1">I10*H10</f>
        <v>732.6</v>
      </c>
      <c r="K10" s="14">
        <v>729</v>
      </c>
      <c r="L10" s="14">
        <v>4980</v>
      </c>
      <c r="M10" s="14">
        <v>7.1</v>
      </c>
    </row>
    <row r="11" spans="1:13" x14ac:dyDescent="0.2">
      <c r="A11" s="14">
        <v>14.57</v>
      </c>
      <c r="B11" s="14">
        <v>36.79</v>
      </c>
      <c r="C11" s="15">
        <f t="shared" si="0"/>
        <v>536.03030000000001</v>
      </c>
      <c r="D11" s="14">
        <v>540</v>
      </c>
      <c r="E11" s="14">
        <v>4410</v>
      </c>
      <c r="F11" s="14">
        <f>6*16+13</f>
        <v>109</v>
      </c>
      <c r="H11" s="14">
        <v>15.02</v>
      </c>
      <c r="I11" s="14">
        <v>34</v>
      </c>
      <c r="J11" s="15">
        <f t="shared" si="1"/>
        <v>510.68</v>
      </c>
      <c r="K11" s="14">
        <v>514</v>
      </c>
      <c r="L11" s="14">
        <v>4500</v>
      </c>
      <c r="M11" s="14">
        <v>5.7</v>
      </c>
    </row>
    <row r="12" spans="1:13" x14ac:dyDescent="0.2">
      <c r="A12" s="14">
        <v>14.68</v>
      </c>
      <c r="B12" s="14">
        <v>24.4</v>
      </c>
      <c r="C12" s="15">
        <f t="shared" si="0"/>
        <v>358.19199999999995</v>
      </c>
      <c r="D12" s="14">
        <v>365</v>
      </c>
      <c r="E12" s="14">
        <v>3960</v>
      </c>
      <c r="F12" s="14">
        <f>5*16+5</f>
        <v>85</v>
      </c>
      <c r="H12" s="14">
        <v>15.17</v>
      </c>
      <c r="I12" s="14">
        <v>21.3</v>
      </c>
      <c r="J12" s="15">
        <f t="shared" si="1"/>
        <v>323.12099999999998</v>
      </c>
      <c r="K12" s="14">
        <v>335</v>
      </c>
      <c r="L12" s="14">
        <v>3930</v>
      </c>
      <c r="M12" s="14">
        <v>4.5</v>
      </c>
    </row>
    <row r="13" spans="1:13" x14ac:dyDescent="0.2">
      <c r="A13" s="14">
        <v>14.8</v>
      </c>
      <c r="B13" s="14">
        <v>15.9</v>
      </c>
      <c r="C13" s="15">
        <f t="shared" si="0"/>
        <v>235.32000000000002</v>
      </c>
      <c r="D13" s="14">
        <v>240</v>
      </c>
      <c r="E13" s="14">
        <v>3480</v>
      </c>
      <c r="F13" s="14">
        <f>4*16</f>
        <v>64</v>
      </c>
      <c r="H13" s="14">
        <v>15.2</v>
      </c>
      <c r="I13" s="14">
        <v>14.4</v>
      </c>
      <c r="J13" s="15">
        <f t="shared" si="1"/>
        <v>218.88</v>
      </c>
      <c r="K13" s="14">
        <v>219</v>
      </c>
      <c r="L13" s="14">
        <v>3450</v>
      </c>
      <c r="M13" s="14">
        <v>3.4</v>
      </c>
    </row>
    <row r="14" spans="1:13" x14ac:dyDescent="0.2">
      <c r="A14" s="14">
        <v>14.86</v>
      </c>
      <c r="B14" s="14">
        <v>11.15</v>
      </c>
      <c r="C14" s="15">
        <f t="shared" si="0"/>
        <v>165.68899999999999</v>
      </c>
      <c r="D14" s="14">
        <v>165</v>
      </c>
      <c r="E14" s="14">
        <v>3090</v>
      </c>
      <c r="F14" s="14">
        <f>3*16</f>
        <v>48</v>
      </c>
    </row>
  </sheetData>
  <mergeCells count="2">
    <mergeCell ref="A1:C1"/>
    <mergeCell ref="H1:J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F9" sqref="F9"/>
    </sheetView>
  </sheetViews>
  <sheetFormatPr defaultRowHeight="12" x14ac:dyDescent="0.2"/>
  <cols>
    <col min="1" max="1" width="12.5703125" style="13" bestFit="1" customWidth="1"/>
    <col min="2" max="2" width="11.42578125" style="13" customWidth="1"/>
    <col min="3" max="3" width="13.5703125" style="13" bestFit="1" customWidth="1"/>
    <col min="4" max="4" width="14.85546875" style="13" bestFit="1" customWidth="1"/>
    <col min="5" max="7" width="9.140625" style="13"/>
    <col min="8" max="8" width="11" style="13" bestFit="1" customWidth="1"/>
    <col min="9" max="9" width="20.7109375" style="13" bestFit="1" customWidth="1"/>
    <col min="10" max="10" width="12.85546875" style="13" bestFit="1" customWidth="1"/>
    <col min="11" max="11" width="14.140625" style="13" bestFit="1" customWidth="1"/>
    <col min="12" max="16384" width="9.140625" style="13"/>
  </cols>
  <sheetData>
    <row r="1" spans="1:13" x14ac:dyDescent="0.2">
      <c r="A1" s="24" t="s">
        <v>15</v>
      </c>
      <c r="B1" s="24"/>
      <c r="C1" s="24"/>
      <c r="H1" s="24" t="s">
        <v>15</v>
      </c>
      <c r="I1" s="24"/>
      <c r="J1" s="24"/>
    </row>
    <row r="2" spans="1:13" x14ac:dyDescent="0.2">
      <c r="A2" s="2" t="s">
        <v>1</v>
      </c>
      <c r="B2" s="5">
        <v>41989</v>
      </c>
      <c r="C2" s="6"/>
      <c r="H2" s="2" t="s">
        <v>1</v>
      </c>
      <c r="I2" s="5">
        <v>41989</v>
      </c>
      <c r="J2" s="6"/>
    </row>
    <row r="3" spans="1:13" x14ac:dyDescent="0.2">
      <c r="A3" s="3" t="s">
        <v>0</v>
      </c>
      <c r="B3" s="7" t="s">
        <v>56</v>
      </c>
      <c r="C3" s="8"/>
      <c r="H3" s="3" t="s">
        <v>0</v>
      </c>
      <c r="I3" s="7" t="s">
        <v>56</v>
      </c>
      <c r="J3" s="8"/>
    </row>
    <row r="4" spans="1:13" x14ac:dyDescent="0.2">
      <c r="A4" s="3" t="s">
        <v>2</v>
      </c>
      <c r="B4" s="7" t="s">
        <v>57</v>
      </c>
      <c r="C4" s="8"/>
      <c r="H4" s="3" t="s">
        <v>2</v>
      </c>
      <c r="I4" s="7" t="s">
        <v>57</v>
      </c>
      <c r="J4" s="8"/>
    </row>
    <row r="5" spans="1:13" x14ac:dyDescent="0.2">
      <c r="A5" s="3" t="s">
        <v>3</v>
      </c>
      <c r="B5" s="7" t="s">
        <v>42</v>
      </c>
      <c r="C5" s="8"/>
      <c r="H5" s="3" t="s">
        <v>3</v>
      </c>
      <c r="I5" s="7" t="s">
        <v>42</v>
      </c>
      <c r="J5" s="8"/>
    </row>
    <row r="6" spans="1:13" x14ac:dyDescent="0.2">
      <c r="A6" s="3" t="s">
        <v>4</v>
      </c>
      <c r="B6" s="7" t="s">
        <v>48</v>
      </c>
      <c r="C6" s="8"/>
      <c r="H6" s="3" t="s">
        <v>4</v>
      </c>
      <c r="I6" s="7" t="s">
        <v>48</v>
      </c>
      <c r="J6" s="8"/>
    </row>
    <row r="7" spans="1:13" x14ac:dyDescent="0.2">
      <c r="A7" s="4" t="s">
        <v>16</v>
      </c>
      <c r="B7" s="9" t="s">
        <v>38</v>
      </c>
      <c r="C7" s="10"/>
      <c r="H7" s="4" t="s">
        <v>16</v>
      </c>
      <c r="I7" s="9" t="s">
        <v>38</v>
      </c>
      <c r="J7" s="10"/>
    </row>
    <row r="8" spans="1:13" x14ac:dyDescent="0.2">
      <c r="A8" s="1" t="s">
        <v>12</v>
      </c>
      <c r="B8" s="1" t="s">
        <v>11</v>
      </c>
      <c r="C8" s="1" t="s">
        <v>14</v>
      </c>
      <c r="D8" s="1" t="s">
        <v>13</v>
      </c>
      <c r="E8" s="1" t="s">
        <v>9</v>
      </c>
      <c r="F8" s="1" t="s">
        <v>10</v>
      </c>
      <c r="H8" s="1" t="s">
        <v>12</v>
      </c>
      <c r="I8" s="1" t="s">
        <v>11</v>
      </c>
      <c r="J8" s="1" t="s">
        <v>14</v>
      </c>
      <c r="K8" s="1" t="s">
        <v>13</v>
      </c>
      <c r="L8" s="1" t="s">
        <v>9</v>
      </c>
      <c r="M8" s="1" t="s">
        <v>50</v>
      </c>
    </row>
    <row r="9" spans="1:13" x14ac:dyDescent="0.2">
      <c r="A9" s="14">
        <v>21.1</v>
      </c>
      <c r="B9" s="14">
        <v>43.8</v>
      </c>
      <c r="C9" s="15"/>
      <c r="D9" s="14">
        <v>937</v>
      </c>
      <c r="E9" s="14">
        <v>5550</v>
      </c>
      <c r="F9" s="14">
        <f>11*16+1</f>
        <v>177</v>
      </c>
      <c r="H9" s="14">
        <v>21.14</v>
      </c>
      <c r="I9" s="14">
        <v>43.9</v>
      </c>
      <c r="J9" s="15"/>
      <c r="K9" s="14">
        <v>921</v>
      </c>
      <c r="L9" s="14">
        <v>5570</v>
      </c>
      <c r="M9" s="14">
        <v>9.6999999999999993</v>
      </c>
    </row>
    <row r="10" spans="1:13" x14ac:dyDescent="0.2">
      <c r="A10" s="14">
        <v>21.7</v>
      </c>
      <c r="B10" s="14">
        <v>31.7</v>
      </c>
      <c r="C10" s="15"/>
      <c r="D10" s="14">
        <v>687</v>
      </c>
      <c r="E10" s="14">
        <v>5020</v>
      </c>
      <c r="F10" s="14">
        <f>8*16+14</f>
        <v>142</v>
      </c>
      <c r="H10" s="14">
        <v>21.9</v>
      </c>
      <c r="I10" s="14">
        <v>30.3</v>
      </c>
      <c r="J10" s="15"/>
      <c r="K10" s="14">
        <v>651</v>
      </c>
      <c r="L10" s="14">
        <v>4940</v>
      </c>
      <c r="M10" s="14">
        <v>7.6</v>
      </c>
    </row>
    <row r="11" spans="1:13" x14ac:dyDescent="0.2">
      <c r="A11" s="14">
        <v>22</v>
      </c>
      <c r="B11" s="14">
        <v>23</v>
      </c>
      <c r="C11" s="15"/>
      <c r="D11" s="14">
        <v>509</v>
      </c>
      <c r="E11" s="14">
        <v>4540</v>
      </c>
      <c r="F11" s="14">
        <f>7*16+4</f>
        <v>116</v>
      </c>
      <c r="H11" s="14">
        <v>22.2</v>
      </c>
      <c r="I11" s="14">
        <v>22.6</v>
      </c>
      <c r="J11" s="15"/>
      <c r="K11" s="14">
        <v>502</v>
      </c>
      <c r="L11" s="14">
        <v>4530</v>
      </c>
      <c r="M11" s="14">
        <v>6.5</v>
      </c>
    </row>
    <row r="12" spans="1:13" x14ac:dyDescent="0.2">
      <c r="A12" s="14">
        <v>22.2</v>
      </c>
      <c r="B12" s="14">
        <v>16.3</v>
      </c>
      <c r="C12" s="15"/>
      <c r="D12" s="14">
        <v>359</v>
      </c>
      <c r="E12" s="14">
        <v>4030</v>
      </c>
      <c r="F12" s="14">
        <f>5*16+8</f>
        <v>88</v>
      </c>
      <c r="H12" s="14">
        <v>22.47</v>
      </c>
      <c r="I12" s="14">
        <v>15.4</v>
      </c>
      <c r="J12" s="15"/>
      <c r="K12" s="14">
        <v>347</v>
      </c>
      <c r="L12" s="14">
        <v>3990</v>
      </c>
      <c r="M12" s="14">
        <v>4.9000000000000004</v>
      </c>
    </row>
    <row r="13" spans="1:13" x14ac:dyDescent="0.2">
      <c r="A13" s="14">
        <v>22.47</v>
      </c>
      <c r="B13" s="14">
        <v>10.9</v>
      </c>
      <c r="C13" s="15"/>
      <c r="D13" s="14">
        <v>245</v>
      </c>
      <c r="E13" s="14">
        <v>3530</v>
      </c>
      <c r="F13" s="14">
        <f>4*16+8</f>
        <v>72</v>
      </c>
      <c r="H13" s="14">
        <v>22.65</v>
      </c>
      <c r="I13" s="14">
        <v>10.4</v>
      </c>
      <c r="J13" s="15"/>
      <c r="K13" s="14">
        <v>236</v>
      </c>
      <c r="L13" s="14">
        <v>3480</v>
      </c>
      <c r="M13" s="14">
        <v>3.8</v>
      </c>
    </row>
  </sheetData>
  <mergeCells count="2">
    <mergeCell ref="A1:C1"/>
    <mergeCell ref="H1:J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G19" sqref="G19"/>
    </sheetView>
  </sheetViews>
  <sheetFormatPr defaultRowHeight="12" x14ac:dyDescent="0.2"/>
  <cols>
    <col min="1" max="1" width="12.5703125" style="13" bestFit="1" customWidth="1"/>
    <col min="2" max="2" width="11.42578125" style="13" customWidth="1"/>
    <col min="3" max="3" width="13.5703125" style="13" bestFit="1" customWidth="1"/>
    <col min="4" max="4" width="14.85546875" style="13" bestFit="1" customWidth="1"/>
    <col min="5" max="7" width="9.140625" style="13"/>
    <col min="8" max="8" width="11" style="13" bestFit="1" customWidth="1"/>
    <col min="9" max="9" width="20.7109375" style="13" bestFit="1" customWidth="1"/>
    <col min="10" max="10" width="12.85546875" style="13" bestFit="1" customWidth="1"/>
    <col min="11" max="11" width="14.140625" style="13" bestFit="1" customWidth="1"/>
    <col min="12" max="16384" width="9.140625" style="13"/>
  </cols>
  <sheetData>
    <row r="1" spans="1:13" x14ac:dyDescent="0.2">
      <c r="A1" s="24" t="s">
        <v>15</v>
      </c>
      <c r="B1" s="24"/>
      <c r="C1" s="24"/>
      <c r="H1" s="24" t="s">
        <v>15</v>
      </c>
      <c r="I1" s="24"/>
      <c r="J1" s="24"/>
    </row>
    <row r="2" spans="1:13" x14ac:dyDescent="0.2">
      <c r="A2" s="2" t="s">
        <v>1</v>
      </c>
      <c r="B2" s="5">
        <v>41989</v>
      </c>
      <c r="C2" s="6"/>
      <c r="H2" s="2" t="s">
        <v>1</v>
      </c>
      <c r="I2" s="5">
        <v>41989</v>
      </c>
      <c r="J2" s="6"/>
    </row>
    <row r="3" spans="1:13" x14ac:dyDescent="0.2">
      <c r="A3" s="3" t="s">
        <v>0</v>
      </c>
      <c r="B3" s="7" t="s">
        <v>56</v>
      </c>
      <c r="C3" s="8"/>
      <c r="H3" s="3" t="s">
        <v>0</v>
      </c>
      <c r="I3" s="7" t="s">
        <v>56</v>
      </c>
      <c r="J3" s="8"/>
    </row>
    <row r="4" spans="1:13" x14ac:dyDescent="0.2">
      <c r="A4" s="3" t="s">
        <v>2</v>
      </c>
      <c r="B4" s="7" t="s">
        <v>57</v>
      </c>
      <c r="C4" s="8"/>
      <c r="H4" s="3" t="s">
        <v>2</v>
      </c>
      <c r="I4" s="7" t="s">
        <v>57</v>
      </c>
      <c r="J4" s="8"/>
    </row>
    <row r="5" spans="1:13" x14ac:dyDescent="0.2">
      <c r="A5" s="3" t="s">
        <v>3</v>
      </c>
      <c r="B5" s="7" t="s">
        <v>42</v>
      </c>
      <c r="C5" s="8"/>
      <c r="H5" s="3" t="s">
        <v>3</v>
      </c>
      <c r="I5" s="7" t="s">
        <v>42</v>
      </c>
      <c r="J5" s="8"/>
    </row>
    <row r="6" spans="1:13" x14ac:dyDescent="0.2">
      <c r="A6" s="3" t="s">
        <v>4</v>
      </c>
      <c r="B6" s="7" t="s">
        <v>48</v>
      </c>
      <c r="C6" s="8"/>
      <c r="H6" s="3" t="s">
        <v>4</v>
      </c>
      <c r="I6" s="7" t="s">
        <v>48</v>
      </c>
      <c r="J6" s="8"/>
    </row>
    <row r="7" spans="1:13" x14ac:dyDescent="0.2">
      <c r="A7" s="4" t="s">
        <v>16</v>
      </c>
      <c r="B7" s="9" t="s">
        <v>38</v>
      </c>
      <c r="C7" s="10"/>
      <c r="H7" s="4" t="s">
        <v>16</v>
      </c>
      <c r="I7" s="9" t="s">
        <v>38</v>
      </c>
      <c r="J7" s="10"/>
    </row>
    <row r="8" spans="1:13" x14ac:dyDescent="0.2">
      <c r="A8" s="1" t="s">
        <v>12</v>
      </c>
      <c r="B8" s="1" t="s">
        <v>11</v>
      </c>
      <c r="C8" s="1" t="s">
        <v>14</v>
      </c>
      <c r="D8" s="1" t="s">
        <v>13</v>
      </c>
      <c r="E8" s="1" t="s">
        <v>9</v>
      </c>
      <c r="F8" s="1" t="s">
        <v>10</v>
      </c>
      <c r="H8" s="1" t="s">
        <v>12</v>
      </c>
      <c r="I8" s="1" t="s">
        <v>11</v>
      </c>
      <c r="J8" s="1" t="s">
        <v>14</v>
      </c>
      <c r="K8" s="1" t="s">
        <v>13</v>
      </c>
      <c r="L8" s="1" t="s">
        <v>9</v>
      </c>
      <c r="M8" s="1" t="s">
        <v>50</v>
      </c>
    </row>
    <row r="9" spans="1:13" x14ac:dyDescent="0.2">
      <c r="A9" s="14">
        <v>20.8</v>
      </c>
      <c r="B9" s="14">
        <v>42.5</v>
      </c>
      <c r="C9" s="15"/>
      <c r="D9" s="14">
        <v>884</v>
      </c>
      <c r="E9" s="14">
        <v>5500</v>
      </c>
      <c r="F9" s="14">
        <f>10*16</f>
        <v>160</v>
      </c>
      <c r="H9" s="14">
        <v>21.56</v>
      </c>
      <c r="I9" s="14"/>
      <c r="J9" s="15"/>
      <c r="K9" s="14">
        <v>959</v>
      </c>
      <c r="L9" s="14">
        <v>5670</v>
      </c>
      <c r="M9" s="14">
        <v>10</v>
      </c>
    </row>
    <row r="10" spans="1:13" x14ac:dyDescent="0.2">
      <c r="A10" s="14">
        <v>21.8</v>
      </c>
      <c r="B10" s="14">
        <v>30.8</v>
      </c>
      <c r="C10" s="15"/>
      <c r="D10" s="14">
        <v>675</v>
      </c>
      <c r="E10" s="14">
        <v>4980</v>
      </c>
      <c r="F10" s="14">
        <f>8*16+10</f>
        <v>138</v>
      </c>
      <c r="H10" s="14">
        <v>22.04</v>
      </c>
      <c r="I10" s="14">
        <v>30.4</v>
      </c>
      <c r="J10" s="15"/>
      <c r="K10" s="14">
        <v>671</v>
      </c>
      <c r="L10" s="14">
        <v>5020</v>
      </c>
      <c r="M10" s="14">
        <v>7.8</v>
      </c>
    </row>
    <row r="11" spans="1:13" x14ac:dyDescent="0.2">
      <c r="A11" s="14">
        <v>22.2</v>
      </c>
      <c r="B11" s="14">
        <v>23.3</v>
      </c>
      <c r="C11" s="15"/>
      <c r="D11" s="14">
        <v>516</v>
      </c>
      <c r="E11" s="14">
        <v>4560</v>
      </c>
      <c r="F11" s="14">
        <f>7*16+4</f>
        <v>116</v>
      </c>
      <c r="H11" s="14">
        <v>22.3</v>
      </c>
      <c r="I11" s="14">
        <v>22</v>
      </c>
      <c r="J11" s="15"/>
      <c r="K11" s="14">
        <v>484</v>
      </c>
      <c r="L11" s="14">
        <v>4500</v>
      </c>
      <c r="M11" s="14">
        <v>6.2</v>
      </c>
    </row>
    <row r="12" spans="1:13" x14ac:dyDescent="0.2">
      <c r="A12" s="14">
        <v>22.6</v>
      </c>
      <c r="B12" s="14">
        <v>15.05</v>
      </c>
      <c r="C12" s="15"/>
      <c r="D12" s="14">
        <v>342</v>
      </c>
      <c r="E12" s="14">
        <v>3960</v>
      </c>
      <c r="F12" s="14">
        <f>5*16+4</f>
        <v>84</v>
      </c>
      <c r="H12" s="14">
        <v>22.47</v>
      </c>
      <c r="I12" s="14">
        <v>16.2</v>
      </c>
      <c r="J12" s="15"/>
      <c r="K12" s="14">
        <v>364</v>
      </c>
      <c r="L12" s="14">
        <v>4080</v>
      </c>
      <c r="M12" s="14">
        <v>5.0999999999999996</v>
      </c>
    </row>
    <row r="13" spans="1:13" x14ac:dyDescent="0.2">
      <c r="A13" s="14">
        <v>22.85</v>
      </c>
      <c r="B13" s="14">
        <v>10.5</v>
      </c>
      <c r="C13" s="15"/>
      <c r="D13" s="14">
        <v>230</v>
      </c>
      <c r="E13" s="14">
        <v>3450</v>
      </c>
      <c r="F13" s="14">
        <f>3*16+13</f>
        <v>61</v>
      </c>
      <c r="H13" s="14">
        <v>22.7</v>
      </c>
      <c r="I13" s="14">
        <v>10</v>
      </c>
      <c r="J13" s="15"/>
      <c r="K13" s="14">
        <v>226</v>
      </c>
      <c r="L13" s="14">
        <v>3430</v>
      </c>
      <c r="M13" s="14">
        <v>3.7</v>
      </c>
    </row>
  </sheetData>
  <mergeCells count="2">
    <mergeCell ref="A1:C1"/>
    <mergeCell ref="H1:J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8"/>
  <sheetViews>
    <sheetView workbookViewId="0">
      <selection activeCell="F20" sqref="F20"/>
    </sheetView>
  </sheetViews>
  <sheetFormatPr defaultRowHeight="12" x14ac:dyDescent="0.2"/>
  <cols>
    <col min="1" max="1" width="12.5703125" style="13" bestFit="1" customWidth="1"/>
    <col min="2" max="2" width="11.42578125" style="13" customWidth="1"/>
    <col min="3" max="3" width="13.5703125" style="13" bestFit="1" customWidth="1"/>
    <col min="4" max="4" width="14.85546875" style="13" bestFit="1" customWidth="1"/>
    <col min="5" max="7" width="9.140625" style="13"/>
    <col min="8" max="8" width="11" style="13" bestFit="1" customWidth="1"/>
    <col min="9" max="9" width="20.7109375" style="13" bestFit="1" customWidth="1"/>
    <col min="10" max="10" width="12.85546875" style="13" bestFit="1" customWidth="1"/>
    <col min="11" max="11" width="14.140625" style="13" bestFit="1" customWidth="1"/>
    <col min="12" max="16384" width="9.140625" style="13"/>
  </cols>
  <sheetData>
    <row r="1" spans="1:13" x14ac:dyDescent="0.2">
      <c r="A1" s="23" t="s">
        <v>15</v>
      </c>
      <c r="B1" s="23"/>
      <c r="C1" s="23"/>
      <c r="H1" s="18" t="s">
        <v>15</v>
      </c>
      <c r="I1" s="18"/>
      <c r="J1" s="18"/>
    </row>
    <row r="2" spans="1:13" x14ac:dyDescent="0.2">
      <c r="A2" s="2" t="s">
        <v>1</v>
      </c>
      <c r="B2" s="5">
        <v>41912</v>
      </c>
      <c r="C2" s="6"/>
      <c r="H2" s="2" t="s">
        <v>1</v>
      </c>
      <c r="I2" s="5">
        <v>41912</v>
      </c>
      <c r="J2" s="6"/>
    </row>
    <row r="3" spans="1:13" x14ac:dyDescent="0.2">
      <c r="A3" s="3" t="s">
        <v>0</v>
      </c>
      <c r="B3" s="7" t="s">
        <v>19</v>
      </c>
      <c r="C3" s="8"/>
      <c r="H3" s="3" t="s">
        <v>0</v>
      </c>
      <c r="I3" s="7" t="s">
        <v>24</v>
      </c>
      <c r="J3" s="8"/>
    </row>
    <row r="4" spans="1:13" x14ac:dyDescent="0.2">
      <c r="A4" s="3" t="s">
        <v>2</v>
      </c>
      <c r="B4" s="7" t="s">
        <v>37</v>
      </c>
      <c r="C4" s="8"/>
      <c r="H4" s="3" t="s">
        <v>2</v>
      </c>
      <c r="I4" s="7" t="s">
        <v>31</v>
      </c>
      <c r="J4" s="8"/>
    </row>
    <row r="5" spans="1:13" x14ac:dyDescent="0.2">
      <c r="A5" s="3" t="s">
        <v>3</v>
      </c>
      <c r="B5" s="7" t="s">
        <v>21</v>
      </c>
      <c r="C5" s="8"/>
      <c r="H5" s="3" t="s">
        <v>3</v>
      </c>
      <c r="I5" s="7" t="s">
        <v>21</v>
      </c>
      <c r="J5" s="8"/>
    </row>
    <row r="6" spans="1:13" x14ac:dyDescent="0.2">
      <c r="A6" s="3" t="s">
        <v>4</v>
      </c>
      <c r="B6" s="7" t="s">
        <v>8</v>
      </c>
      <c r="C6" s="8"/>
      <c r="H6" s="3" t="s">
        <v>4</v>
      </c>
      <c r="I6" s="7" t="s">
        <v>8</v>
      </c>
      <c r="J6" s="8"/>
    </row>
    <row r="7" spans="1:13" x14ac:dyDescent="0.2">
      <c r="A7" s="4" t="s">
        <v>16</v>
      </c>
      <c r="B7" s="9" t="s">
        <v>32</v>
      </c>
      <c r="C7" s="10"/>
      <c r="H7" s="4" t="s">
        <v>16</v>
      </c>
      <c r="I7" s="9" t="s">
        <v>32</v>
      </c>
      <c r="J7" s="10"/>
    </row>
    <row r="8" spans="1:13" x14ac:dyDescent="0.2">
      <c r="A8" s="1" t="s">
        <v>12</v>
      </c>
      <c r="B8" s="1" t="s">
        <v>11</v>
      </c>
      <c r="C8" s="1" t="s">
        <v>14</v>
      </c>
      <c r="D8" s="1" t="s">
        <v>13</v>
      </c>
      <c r="E8" s="1" t="s">
        <v>9</v>
      </c>
      <c r="F8" s="1" t="s">
        <v>10</v>
      </c>
      <c r="H8" s="1" t="s">
        <v>12</v>
      </c>
      <c r="I8" s="1" t="s">
        <v>11</v>
      </c>
      <c r="J8" s="1" t="s">
        <v>14</v>
      </c>
      <c r="K8" s="1" t="s">
        <v>13</v>
      </c>
      <c r="L8" s="1" t="s">
        <v>9</v>
      </c>
      <c r="M8" s="1" t="s">
        <v>50</v>
      </c>
    </row>
    <row r="9" spans="1:13" x14ac:dyDescent="0.2">
      <c r="A9" s="14">
        <v>13.81</v>
      </c>
      <c r="B9" s="14">
        <v>69.599999999999994</v>
      </c>
      <c r="C9" s="15">
        <f>B9*A9</f>
        <v>961.17599999999993</v>
      </c>
      <c r="D9" s="14">
        <v>964</v>
      </c>
      <c r="E9" s="14">
        <v>5520</v>
      </c>
      <c r="F9" s="14">
        <f>11*16</f>
        <v>176</v>
      </c>
      <c r="H9" s="14">
        <v>14.69</v>
      </c>
      <c r="I9" s="14">
        <v>63.3</v>
      </c>
      <c r="J9" s="15">
        <f>I9*H9</f>
        <v>929.87699999999995</v>
      </c>
      <c r="K9" s="14">
        <v>919</v>
      </c>
      <c r="L9" s="14">
        <v>5490</v>
      </c>
      <c r="M9" s="14">
        <v>8.3000000000000007</v>
      </c>
    </row>
    <row r="10" spans="1:13" x14ac:dyDescent="0.2">
      <c r="A10" s="14">
        <v>14.26</v>
      </c>
      <c r="B10" s="14">
        <v>49.99</v>
      </c>
      <c r="C10" s="15">
        <f t="shared" ref="C10:C13" si="0">B10*A10</f>
        <v>712.85739999999998</v>
      </c>
      <c r="D10" s="14">
        <v>686</v>
      </c>
      <c r="E10" s="14">
        <v>5040</v>
      </c>
      <c r="F10" s="14">
        <f>8*16+11</f>
        <v>139</v>
      </c>
      <c r="H10" s="14">
        <v>14.96</v>
      </c>
      <c r="I10" s="14">
        <v>45.36</v>
      </c>
      <c r="J10" s="15">
        <f t="shared" ref="J10:J13" si="1">I10*H10</f>
        <v>678.5856</v>
      </c>
      <c r="K10" s="14">
        <v>682</v>
      </c>
      <c r="L10" s="14">
        <v>5000</v>
      </c>
      <c r="M10" s="14">
        <v>6.8</v>
      </c>
    </row>
    <row r="11" spans="1:13" x14ac:dyDescent="0.2">
      <c r="A11" s="14">
        <v>14.45</v>
      </c>
      <c r="B11" s="14">
        <v>35.24</v>
      </c>
      <c r="C11" s="15">
        <f t="shared" si="0"/>
        <v>509.21800000000002</v>
      </c>
      <c r="D11" s="14">
        <v>512</v>
      </c>
      <c r="E11" s="14">
        <v>4590</v>
      </c>
      <c r="F11" s="14">
        <f>7*16+4</f>
        <v>116</v>
      </c>
      <c r="H11" s="14">
        <v>15.1</v>
      </c>
      <c r="I11" s="14">
        <v>33.799999999999997</v>
      </c>
      <c r="J11" s="15">
        <f t="shared" si="1"/>
        <v>510.37999999999994</v>
      </c>
      <c r="K11" s="14">
        <v>498</v>
      </c>
      <c r="L11" s="14">
        <v>4560</v>
      </c>
      <c r="M11" s="14">
        <v>5.5</v>
      </c>
    </row>
    <row r="12" spans="1:13" x14ac:dyDescent="0.2">
      <c r="A12" s="14">
        <v>14.55</v>
      </c>
      <c r="B12" s="14">
        <v>26.02</v>
      </c>
      <c r="C12" s="15">
        <f t="shared" si="0"/>
        <v>378.59100000000001</v>
      </c>
      <c r="D12" s="14">
        <v>377</v>
      </c>
      <c r="E12" s="14">
        <v>4110</v>
      </c>
      <c r="F12" s="14">
        <f>5*16+11</f>
        <v>91</v>
      </c>
      <c r="H12" s="14">
        <v>15.23</v>
      </c>
      <c r="I12" s="14">
        <v>21.24</v>
      </c>
      <c r="J12" s="15">
        <f t="shared" si="1"/>
        <v>323.48519999999996</v>
      </c>
      <c r="K12" s="14">
        <v>333</v>
      </c>
      <c r="L12" s="14">
        <v>4000</v>
      </c>
      <c r="M12" s="14">
        <v>4.3</v>
      </c>
    </row>
    <row r="13" spans="1:13" x14ac:dyDescent="0.2">
      <c r="A13" s="14">
        <v>14.68</v>
      </c>
      <c r="B13" s="14">
        <v>15.77</v>
      </c>
      <c r="C13" s="15">
        <f t="shared" si="0"/>
        <v>231.50359999999998</v>
      </c>
      <c r="D13" s="14">
        <v>232</v>
      </c>
      <c r="E13" s="14">
        <v>3540</v>
      </c>
      <c r="F13" s="14">
        <f>4*16+2</f>
        <v>66</v>
      </c>
      <c r="H13" s="14">
        <v>15.29</v>
      </c>
      <c r="I13" s="14">
        <v>14.6</v>
      </c>
      <c r="J13" s="15">
        <f t="shared" si="1"/>
        <v>223.23399999999998</v>
      </c>
      <c r="K13" s="14">
        <v>225</v>
      </c>
      <c r="L13" s="14">
        <v>3525</v>
      </c>
      <c r="M13" s="14">
        <v>3.4</v>
      </c>
    </row>
    <row r="15" spans="1:13" x14ac:dyDescent="0.2">
      <c r="A15" s="23" t="s">
        <v>15</v>
      </c>
      <c r="B15" s="23"/>
      <c r="C15" s="23"/>
    </row>
    <row r="16" spans="1:13" x14ac:dyDescent="0.2">
      <c r="A16" s="2" t="s">
        <v>1</v>
      </c>
      <c r="B16" s="5">
        <v>41926</v>
      </c>
      <c r="C16" s="6"/>
    </row>
    <row r="17" spans="1:10" x14ac:dyDescent="0.2">
      <c r="A17" s="3" t="s">
        <v>0</v>
      </c>
      <c r="B17" s="7" t="s">
        <v>40</v>
      </c>
      <c r="C17" s="8"/>
    </row>
    <row r="18" spans="1:10" x14ac:dyDescent="0.2">
      <c r="A18" s="3" t="s">
        <v>2</v>
      </c>
      <c r="B18" s="7" t="s">
        <v>41</v>
      </c>
      <c r="C18" s="8"/>
    </row>
    <row r="19" spans="1:10" x14ac:dyDescent="0.2">
      <c r="A19" s="3" t="s">
        <v>3</v>
      </c>
      <c r="B19" s="7" t="s">
        <v>42</v>
      </c>
      <c r="C19" s="8"/>
    </row>
    <row r="20" spans="1:10" x14ac:dyDescent="0.2">
      <c r="A20" s="3" t="s">
        <v>4</v>
      </c>
      <c r="B20" s="7" t="s">
        <v>43</v>
      </c>
      <c r="C20" s="8"/>
    </row>
    <row r="21" spans="1:10" x14ac:dyDescent="0.2">
      <c r="A21" s="4" t="s">
        <v>16</v>
      </c>
      <c r="B21" s="9" t="s">
        <v>32</v>
      </c>
      <c r="C21" s="10"/>
    </row>
    <row r="22" spans="1:10" x14ac:dyDescent="0.2">
      <c r="A22" s="1" t="s">
        <v>12</v>
      </c>
      <c r="B22" s="1" t="s">
        <v>11</v>
      </c>
      <c r="C22" s="1" t="s">
        <v>14</v>
      </c>
      <c r="D22" s="1" t="s">
        <v>13</v>
      </c>
      <c r="E22" s="1" t="s">
        <v>9</v>
      </c>
      <c r="F22" s="1" t="s">
        <v>10</v>
      </c>
    </row>
    <row r="23" spans="1:10" x14ac:dyDescent="0.2">
      <c r="A23" s="14">
        <v>22.09</v>
      </c>
      <c r="B23" s="14">
        <v>42.4</v>
      </c>
      <c r="C23" s="15">
        <f>B23*A23</f>
        <v>936.61599999999999</v>
      </c>
      <c r="D23" s="14">
        <v>942</v>
      </c>
      <c r="E23" s="14">
        <v>5862</v>
      </c>
      <c r="F23" s="14">
        <f>11*16+11</f>
        <v>187</v>
      </c>
    </row>
    <row r="25" spans="1:10" x14ac:dyDescent="0.2">
      <c r="A25" s="22" t="s">
        <v>54</v>
      </c>
    </row>
    <row r="26" spans="1:10" x14ac:dyDescent="0.2">
      <c r="A26" s="23" t="s">
        <v>15</v>
      </c>
      <c r="B26" s="23"/>
      <c r="C26" s="23"/>
      <c r="H26" s="21" t="s">
        <v>15</v>
      </c>
      <c r="I26" s="21"/>
      <c r="J26" s="21"/>
    </row>
    <row r="27" spans="1:10" x14ac:dyDescent="0.2">
      <c r="A27" s="2" t="s">
        <v>1</v>
      </c>
      <c r="B27" s="5">
        <v>41968</v>
      </c>
      <c r="C27" s="6"/>
      <c r="H27" s="2" t="s">
        <v>1</v>
      </c>
      <c r="I27" s="5">
        <v>41968</v>
      </c>
      <c r="J27" s="6"/>
    </row>
    <row r="28" spans="1:10" x14ac:dyDescent="0.2">
      <c r="A28" s="3" t="s">
        <v>0</v>
      </c>
      <c r="B28" s="8"/>
      <c r="C28" s="8"/>
      <c r="H28" s="3" t="s">
        <v>0</v>
      </c>
      <c r="I28" s="7" t="s">
        <v>55</v>
      </c>
      <c r="J28" s="8"/>
    </row>
    <row r="29" spans="1:10" x14ac:dyDescent="0.2">
      <c r="A29" s="3" t="s">
        <v>2</v>
      </c>
      <c r="B29" s="8"/>
      <c r="C29" s="8"/>
      <c r="H29" s="3" t="s">
        <v>2</v>
      </c>
      <c r="I29" s="7" t="s">
        <v>47</v>
      </c>
      <c r="J29" s="8"/>
    </row>
    <row r="30" spans="1:10" x14ac:dyDescent="0.2">
      <c r="A30" s="3" t="s">
        <v>3</v>
      </c>
      <c r="B30" s="7" t="s">
        <v>42</v>
      </c>
      <c r="C30" s="8"/>
      <c r="H30" s="3" t="s">
        <v>3</v>
      </c>
      <c r="I30" s="7" t="s">
        <v>42</v>
      </c>
      <c r="J30" s="8"/>
    </row>
    <row r="31" spans="1:10" x14ac:dyDescent="0.2">
      <c r="A31" s="3" t="s">
        <v>4</v>
      </c>
      <c r="B31" s="7" t="s">
        <v>48</v>
      </c>
      <c r="C31" s="8"/>
      <c r="H31" s="3" t="s">
        <v>4</v>
      </c>
      <c r="I31" s="7" t="s">
        <v>48</v>
      </c>
      <c r="J31" s="8"/>
    </row>
    <row r="32" spans="1:10" x14ac:dyDescent="0.2">
      <c r="A32" s="4" t="s">
        <v>16</v>
      </c>
      <c r="B32" s="9" t="s">
        <v>32</v>
      </c>
      <c r="C32" s="10"/>
      <c r="H32" s="4" t="s">
        <v>16</v>
      </c>
      <c r="I32" s="9" t="s">
        <v>32</v>
      </c>
      <c r="J32" s="10"/>
    </row>
    <row r="33" spans="1:13" x14ac:dyDescent="0.2">
      <c r="A33" s="1" t="s">
        <v>12</v>
      </c>
      <c r="B33" s="1" t="s">
        <v>11</v>
      </c>
      <c r="C33" s="1" t="s">
        <v>14</v>
      </c>
      <c r="D33" s="1" t="s">
        <v>13</v>
      </c>
      <c r="E33" s="1" t="s">
        <v>9</v>
      </c>
      <c r="F33" s="1" t="s">
        <v>10</v>
      </c>
      <c r="H33" s="1" t="s">
        <v>12</v>
      </c>
      <c r="I33" s="1" t="s">
        <v>11</v>
      </c>
      <c r="J33" s="1" t="s">
        <v>14</v>
      </c>
      <c r="K33" s="1" t="s">
        <v>13</v>
      </c>
      <c r="L33" s="1" t="s">
        <v>9</v>
      </c>
      <c r="M33" s="1" t="s">
        <v>50</v>
      </c>
    </row>
    <row r="34" spans="1:13" x14ac:dyDescent="0.2">
      <c r="A34" s="14"/>
      <c r="B34" s="14"/>
      <c r="C34" s="15"/>
      <c r="D34" s="14"/>
      <c r="E34" s="14"/>
      <c r="F34" s="14"/>
      <c r="H34" s="14">
        <v>21.5</v>
      </c>
      <c r="I34" s="14">
        <v>42.3</v>
      </c>
      <c r="J34" s="15"/>
      <c r="K34" s="14">
        <v>937</v>
      </c>
      <c r="L34" s="14">
        <v>5690</v>
      </c>
      <c r="M34" s="14">
        <v>9.5</v>
      </c>
    </row>
    <row r="35" spans="1:13" x14ac:dyDescent="0.2">
      <c r="A35" s="14"/>
      <c r="B35" s="14"/>
      <c r="C35" s="15"/>
      <c r="D35" s="14"/>
      <c r="E35" s="14"/>
      <c r="F35" s="14"/>
      <c r="H35" s="14">
        <v>22.06</v>
      </c>
      <c r="I35" s="14">
        <v>27.7</v>
      </c>
      <c r="J35" s="15"/>
      <c r="K35" s="14">
        <v>613</v>
      </c>
      <c r="L35" s="14">
        <v>5018</v>
      </c>
      <c r="M35" s="14">
        <v>7.1</v>
      </c>
    </row>
    <row r="36" spans="1:13" x14ac:dyDescent="0.2">
      <c r="A36" s="14"/>
      <c r="B36" s="14"/>
      <c r="C36" s="15"/>
      <c r="D36" s="14"/>
      <c r="E36" s="14"/>
      <c r="F36" s="14"/>
      <c r="H36" s="14">
        <v>22.18</v>
      </c>
      <c r="I36" s="14">
        <v>20.6</v>
      </c>
      <c r="J36" s="15"/>
      <c r="K36" s="14">
        <v>456</v>
      </c>
      <c r="L36" s="14">
        <v>4525</v>
      </c>
      <c r="M36" s="14">
        <v>5.7</v>
      </c>
    </row>
    <row r="37" spans="1:13" x14ac:dyDescent="0.2">
      <c r="A37" s="14"/>
      <c r="B37" s="14"/>
      <c r="C37" s="15"/>
      <c r="D37" s="14"/>
      <c r="E37" s="14"/>
      <c r="F37" s="14"/>
      <c r="H37" s="14">
        <v>22.2</v>
      </c>
      <c r="I37" s="14">
        <v>15.6</v>
      </c>
      <c r="J37" s="15"/>
      <c r="K37" s="14">
        <v>351</v>
      </c>
      <c r="L37" s="14">
        <v>4118</v>
      </c>
      <c r="M37" s="14">
        <v>4.8</v>
      </c>
    </row>
    <row r="38" spans="1:13" x14ac:dyDescent="0.2">
      <c r="A38" s="14"/>
      <c r="B38" s="14"/>
      <c r="C38" s="15"/>
      <c r="D38" s="14"/>
      <c r="E38" s="14"/>
      <c r="F38" s="14"/>
      <c r="H38" s="14"/>
      <c r="I38" s="14"/>
      <c r="J38" s="15"/>
      <c r="K38" s="14"/>
      <c r="L38" s="14"/>
      <c r="M38" s="14"/>
    </row>
  </sheetData>
  <mergeCells count="3">
    <mergeCell ref="A1:C1"/>
    <mergeCell ref="A15:C15"/>
    <mergeCell ref="A26:C26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I26" sqref="I26"/>
    </sheetView>
  </sheetViews>
  <sheetFormatPr defaultRowHeight="12" x14ac:dyDescent="0.2"/>
  <cols>
    <col min="1" max="1" width="12.5703125" style="13" bestFit="1" customWidth="1"/>
    <col min="2" max="2" width="11.42578125" style="13" customWidth="1"/>
    <col min="3" max="3" width="13.5703125" style="13" bestFit="1" customWidth="1"/>
    <col min="4" max="4" width="14.85546875" style="13" bestFit="1" customWidth="1"/>
    <col min="5" max="7" width="9.140625" style="13"/>
    <col min="8" max="8" width="11" style="13" bestFit="1" customWidth="1"/>
    <col min="9" max="9" width="20.7109375" style="13" bestFit="1" customWidth="1"/>
    <col min="10" max="10" width="12.85546875" style="13" bestFit="1" customWidth="1"/>
    <col min="11" max="11" width="14.140625" style="13" bestFit="1" customWidth="1"/>
    <col min="12" max="16384" width="9.140625" style="13"/>
  </cols>
  <sheetData>
    <row r="1" spans="1:13" x14ac:dyDescent="0.2">
      <c r="A1" s="23" t="s">
        <v>15</v>
      </c>
      <c r="B1" s="23"/>
      <c r="C1" s="23"/>
      <c r="H1" s="19" t="s">
        <v>15</v>
      </c>
      <c r="I1" s="19"/>
      <c r="J1" s="19"/>
    </row>
    <row r="2" spans="1:13" x14ac:dyDescent="0.2">
      <c r="A2" s="2" t="s">
        <v>1</v>
      </c>
      <c r="B2" s="5">
        <v>41928</v>
      </c>
      <c r="C2" s="6"/>
      <c r="H2" s="2" t="s">
        <v>1</v>
      </c>
      <c r="I2" s="5">
        <v>41928</v>
      </c>
      <c r="J2" s="6"/>
    </row>
    <row r="3" spans="1:13" x14ac:dyDescent="0.2">
      <c r="A3" s="3" t="s">
        <v>0</v>
      </c>
      <c r="B3" s="7" t="s">
        <v>44</v>
      </c>
      <c r="C3" s="8"/>
      <c r="H3" s="3" t="s">
        <v>0</v>
      </c>
      <c r="I3" s="7" t="s">
        <v>44</v>
      </c>
      <c r="J3" s="8"/>
    </row>
    <row r="4" spans="1:13" x14ac:dyDescent="0.2">
      <c r="A4" s="3" t="s">
        <v>2</v>
      </c>
      <c r="B4" s="7" t="s">
        <v>34</v>
      </c>
      <c r="C4" s="8"/>
      <c r="H4" s="3" t="s">
        <v>2</v>
      </c>
      <c r="I4" s="7" t="s">
        <v>34</v>
      </c>
      <c r="J4" s="8"/>
    </row>
    <row r="5" spans="1:13" x14ac:dyDescent="0.2">
      <c r="A5" s="3" t="s">
        <v>3</v>
      </c>
      <c r="B5" s="7" t="s">
        <v>45</v>
      </c>
      <c r="C5" s="8"/>
      <c r="H5" s="3" t="s">
        <v>3</v>
      </c>
      <c r="I5" s="7" t="s">
        <v>45</v>
      </c>
      <c r="J5" s="8"/>
    </row>
    <row r="6" spans="1:13" x14ac:dyDescent="0.2">
      <c r="A6" s="3" t="s">
        <v>4</v>
      </c>
      <c r="B6" s="7" t="s">
        <v>43</v>
      </c>
      <c r="C6" s="8"/>
      <c r="H6" s="3" t="s">
        <v>4</v>
      </c>
      <c r="I6" s="7" t="s">
        <v>43</v>
      </c>
      <c r="J6" s="8"/>
    </row>
    <row r="7" spans="1:13" x14ac:dyDescent="0.2">
      <c r="A7" s="4" t="s">
        <v>16</v>
      </c>
      <c r="B7" s="9" t="s">
        <v>46</v>
      </c>
      <c r="C7" s="10"/>
      <c r="H7" s="4" t="s">
        <v>16</v>
      </c>
      <c r="I7" s="9" t="s">
        <v>46</v>
      </c>
      <c r="J7" s="10"/>
    </row>
    <row r="8" spans="1:13" x14ac:dyDescent="0.2">
      <c r="A8" s="1" t="s">
        <v>12</v>
      </c>
      <c r="B8" s="1" t="s">
        <v>11</v>
      </c>
      <c r="C8" s="1" t="s">
        <v>14</v>
      </c>
      <c r="D8" s="1" t="s">
        <v>13</v>
      </c>
      <c r="E8" s="1" t="s">
        <v>9</v>
      </c>
      <c r="F8" s="1" t="s">
        <v>10</v>
      </c>
      <c r="H8" s="1" t="s">
        <v>12</v>
      </c>
      <c r="I8" s="1" t="s">
        <v>11</v>
      </c>
      <c r="J8" s="1" t="s">
        <v>14</v>
      </c>
      <c r="K8" s="1" t="s">
        <v>13</v>
      </c>
      <c r="L8" s="1" t="s">
        <v>9</v>
      </c>
      <c r="M8" s="1" t="s">
        <v>50</v>
      </c>
    </row>
    <row r="9" spans="1:13" x14ac:dyDescent="0.2">
      <c r="A9" s="14">
        <v>21.8</v>
      </c>
      <c r="B9" s="14">
        <v>46.6</v>
      </c>
      <c r="C9" s="15">
        <f>B9*A9</f>
        <v>1015.8800000000001</v>
      </c>
      <c r="D9" s="14">
        <v>1000</v>
      </c>
      <c r="E9" s="14">
        <v>5142</v>
      </c>
      <c r="F9" s="14">
        <f>13*16+3</f>
        <v>211</v>
      </c>
      <c r="H9" s="14">
        <v>21.04</v>
      </c>
      <c r="I9" s="14">
        <v>44.8</v>
      </c>
      <c r="J9" s="15">
        <f>I9*H9</f>
        <v>942.59199999999987</v>
      </c>
      <c r="K9" s="14">
        <v>920</v>
      </c>
      <c r="L9" s="14">
        <v>5010</v>
      </c>
      <c r="M9" s="14">
        <v>10.8</v>
      </c>
    </row>
    <row r="10" spans="1:13" x14ac:dyDescent="0.2">
      <c r="A10" s="14">
        <v>21.5</v>
      </c>
      <c r="B10" s="14">
        <v>27.9</v>
      </c>
      <c r="C10" s="15">
        <f t="shared" ref="C10:C11" si="0">B10*A10</f>
        <v>599.85</v>
      </c>
      <c r="D10" s="14">
        <v>582</v>
      </c>
      <c r="E10" s="14">
        <v>4320</v>
      </c>
      <c r="F10" s="14">
        <f>8*16+9</f>
        <v>137</v>
      </c>
      <c r="H10" s="14">
        <v>21.5</v>
      </c>
      <c r="I10" s="14">
        <v>27.9</v>
      </c>
      <c r="J10" s="15">
        <f t="shared" ref="J10:J12" si="1">I10*H10</f>
        <v>599.85</v>
      </c>
      <c r="K10" s="14">
        <v>600</v>
      </c>
      <c r="L10" s="14">
        <v>4350</v>
      </c>
      <c r="M10" s="14">
        <v>7.8</v>
      </c>
    </row>
    <row r="11" spans="1:13" x14ac:dyDescent="0.2">
      <c r="A11" s="14">
        <v>22.5</v>
      </c>
      <c r="B11" s="14">
        <v>14.82</v>
      </c>
      <c r="C11" s="15">
        <f t="shared" si="0"/>
        <v>333.45</v>
      </c>
      <c r="D11" s="14">
        <v>336</v>
      </c>
      <c r="E11" s="14">
        <v>3540</v>
      </c>
      <c r="F11" s="14">
        <f>5*16+13</f>
        <v>93</v>
      </c>
      <c r="H11" s="14">
        <v>21.05</v>
      </c>
      <c r="I11" s="14">
        <v>21.7</v>
      </c>
      <c r="J11" s="15">
        <f t="shared" si="1"/>
        <v>456.78500000000003</v>
      </c>
      <c r="K11" s="14">
        <v>467</v>
      </c>
      <c r="L11" s="14">
        <v>3930</v>
      </c>
      <c r="M11" s="14">
        <v>6.6</v>
      </c>
    </row>
    <row r="12" spans="1:13" x14ac:dyDescent="0.2">
      <c r="H12" s="14">
        <v>21.77</v>
      </c>
      <c r="I12" s="14">
        <v>15</v>
      </c>
      <c r="J12" s="15">
        <f t="shared" si="1"/>
        <v>326.55</v>
      </c>
      <c r="K12" s="14">
        <v>328</v>
      </c>
      <c r="L12" s="14">
        <v>3450</v>
      </c>
      <c r="M12" s="14">
        <v>5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A28" sqref="A28"/>
    </sheetView>
  </sheetViews>
  <sheetFormatPr defaultRowHeight="12" x14ac:dyDescent="0.2"/>
  <cols>
    <col min="1" max="1" width="12.5703125" style="13" bestFit="1" customWidth="1"/>
    <col min="2" max="2" width="11.42578125" style="13" customWidth="1"/>
    <col min="3" max="3" width="13.5703125" style="13" bestFit="1" customWidth="1"/>
    <col min="4" max="4" width="14.85546875" style="13" bestFit="1" customWidth="1"/>
    <col min="5" max="7" width="9.140625" style="13"/>
    <col min="8" max="8" width="11" style="13" bestFit="1" customWidth="1"/>
    <col min="9" max="9" width="20.7109375" style="13" bestFit="1" customWidth="1"/>
    <col min="10" max="10" width="12.85546875" style="13" bestFit="1" customWidth="1"/>
    <col min="11" max="11" width="14.140625" style="13" bestFit="1" customWidth="1"/>
    <col min="12" max="16384" width="9.140625" style="13"/>
  </cols>
  <sheetData>
    <row r="1" spans="1:13" x14ac:dyDescent="0.2">
      <c r="A1" s="23" t="s">
        <v>15</v>
      </c>
      <c r="B1" s="23"/>
      <c r="C1" s="23"/>
      <c r="H1" s="23" t="s">
        <v>15</v>
      </c>
      <c r="I1" s="23"/>
      <c r="J1" s="23"/>
    </row>
    <row r="2" spans="1:13" x14ac:dyDescent="0.2">
      <c r="A2" s="2" t="s">
        <v>1</v>
      </c>
      <c r="B2" s="5">
        <v>41913</v>
      </c>
      <c r="C2" s="6"/>
      <c r="H2" s="2" t="s">
        <v>1</v>
      </c>
      <c r="I2" s="5">
        <v>41912</v>
      </c>
      <c r="J2" s="6"/>
    </row>
    <row r="3" spans="1:13" x14ac:dyDescent="0.2">
      <c r="A3" s="3" t="s">
        <v>0</v>
      </c>
      <c r="B3" s="7" t="s">
        <v>33</v>
      </c>
      <c r="C3" s="8"/>
      <c r="H3" s="3" t="s">
        <v>0</v>
      </c>
      <c r="I3" s="7" t="s">
        <v>30</v>
      </c>
      <c r="J3" s="8"/>
    </row>
    <row r="4" spans="1:13" x14ac:dyDescent="0.2">
      <c r="A4" s="3" t="s">
        <v>2</v>
      </c>
      <c r="B4" s="7" t="s">
        <v>34</v>
      </c>
      <c r="C4" s="8"/>
      <c r="H4" s="3" t="s">
        <v>2</v>
      </c>
      <c r="I4" s="7" t="s">
        <v>28</v>
      </c>
      <c r="J4" s="8"/>
    </row>
    <row r="5" spans="1:13" x14ac:dyDescent="0.2">
      <c r="A5" s="3" t="s">
        <v>3</v>
      </c>
      <c r="B5" s="7" t="s">
        <v>21</v>
      </c>
      <c r="C5" s="8"/>
      <c r="H5" s="3" t="s">
        <v>3</v>
      </c>
      <c r="I5" s="7" t="s">
        <v>21</v>
      </c>
      <c r="J5" s="8"/>
    </row>
    <row r="6" spans="1:13" x14ac:dyDescent="0.2">
      <c r="A6" s="3" t="s">
        <v>4</v>
      </c>
      <c r="B6" s="7" t="s">
        <v>8</v>
      </c>
      <c r="C6" s="8"/>
      <c r="H6" s="3" t="s">
        <v>4</v>
      </c>
      <c r="I6" s="7" t="s">
        <v>8</v>
      </c>
      <c r="J6" s="8"/>
    </row>
    <row r="7" spans="1:13" x14ac:dyDescent="0.2">
      <c r="A7" s="4" t="s">
        <v>16</v>
      </c>
      <c r="B7" s="9" t="s">
        <v>36</v>
      </c>
      <c r="C7" s="10"/>
      <c r="H7" s="4" t="s">
        <v>16</v>
      </c>
      <c r="I7" s="9" t="s">
        <v>36</v>
      </c>
      <c r="J7" s="10"/>
    </row>
    <row r="8" spans="1:13" x14ac:dyDescent="0.2">
      <c r="A8" s="1" t="s">
        <v>12</v>
      </c>
      <c r="B8" s="1" t="s">
        <v>11</v>
      </c>
      <c r="C8" s="1" t="s">
        <v>14</v>
      </c>
      <c r="D8" s="1" t="s">
        <v>13</v>
      </c>
      <c r="E8" s="1" t="s">
        <v>9</v>
      </c>
      <c r="F8" s="1" t="s">
        <v>10</v>
      </c>
      <c r="H8" s="1" t="s">
        <v>12</v>
      </c>
      <c r="I8" s="1" t="s">
        <v>11</v>
      </c>
      <c r="J8" s="1" t="s">
        <v>14</v>
      </c>
      <c r="K8" s="1" t="s">
        <v>13</v>
      </c>
      <c r="L8" s="1" t="s">
        <v>9</v>
      </c>
      <c r="M8" s="1" t="s">
        <v>50</v>
      </c>
    </row>
    <row r="9" spans="1:13" x14ac:dyDescent="0.2">
      <c r="A9" s="14">
        <v>14.34</v>
      </c>
      <c r="B9" s="14">
        <v>47.56</v>
      </c>
      <c r="C9" s="15">
        <f>B9*A9</f>
        <v>682.0104</v>
      </c>
      <c r="D9" s="14">
        <v>680</v>
      </c>
      <c r="E9" s="14">
        <v>6330</v>
      </c>
      <c r="F9" s="14">
        <f>8*16+2</f>
        <v>130</v>
      </c>
      <c r="H9" s="14">
        <v>14.3</v>
      </c>
      <c r="I9" s="14">
        <v>34.6</v>
      </c>
      <c r="J9" s="15">
        <f>I9*H9</f>
        <v>494.78000000000003</v>
      </c>
      <c r="K9" s="14">
        <v>486</v>
      </c>
      <c r="L9" s="14">
        <v>5910</v>
      </c>
      <c r="M9" s="14">
        <v>4.8</v>
      </c>
    </row>
    <row r="10" spans="1:13" x14ac:dyDescent="0.2">
      <c r="A10" s="14">
        <v>14.38</v>
      </c>
      <c r="B10" s="14">
        <v>34.5</v>
      </c>
      <c r="C10" s="15">
        <f t="shared" ref="C10:C15" si="0">B10*A10</f>
        <v>496.11</v>
      </c>
      <c r="D10" s="14">
        <v>540</v>
      </c>
      <c r="E10" s="14">
        <v>6030</v>
      </c>
      <c r="F10" s="14">
        <f>6*16+15</f>
        <v>111</v>
      </c>
      <c r="H10" s="14">
        <v>14.28</v>
      </c>
      <c r="I10" s="14">
        <v>27.8</v>
      </c>
      <c r="J10" s="15">
        <f t="shared" ref="J10:J14" si="1">I10*H10</f>
        <v>396.98399999999998</v>
      </c>
      <c r="K10" s="14">
        <v>399</v>
      </c>
      <c r="L10" s="14">
        <v>5520</v>
      </c>
      <c r="M10" s="14">
        <v>4.0999999999999996</v>
      </c>
    </row>
    <row r="11" spans="1:13" x14ac:dyDescent="0.2">
      <c r="A11" s="14">
        <v>14.49</v>
      </c>
      <c r="B11" s="14">
        <v>30.24</v>
      </c>
      <c r="C11" s="15">
        <f t="shared" si="0"/>
        <v>438.17759999999998</v>
      </c>
      <c r="D11" s="14">
        <v>436</v>
      </c>
      <c r="E11" s="14">
        <v>5520</v>
      </c>
      <c r="F11" s="14">
        <f>6*16+1</f>
        <v>97</v>
      </c>
      <c r="H11" s="14">
        <v>14.34</v>
      </c>
      <c r="I11" s="14">
        <v>20.5</v>
      </c>
      <c r="J11" s="15">
        <f t="shared" si="1"/>
        <v>293.96999999999997</v>
      </c>
      <c r="K11" s="14">
        <v>292</v>
      </c>
      <c r="L11" s="14">
        <v>5040</v>
      </c>
      <c r="M11" s="14">
        <v>3.25</v>
      </c>
    </row>
    <row r="12" spans="1:13" x14ac:dyDescent="0.2">
      <c r="A12" s="14">
        <v>14.62</v>
      </c>
      <c r="B12" s="14">
        <v>22.95</v>
      </c>
      <c r="C12" s="15">
        <f t="shared" si="0"/>
        <v>335.529</v>
      </c>
      <c r="D12" s="14">
        <v>322</v>
      </c>
      <c r="E12" s="14">
        <v>5020</v>
      </c>
      <c r="F12" s="14">
        <f>5*16+0</f>
        <v>80</v>
      </c>
      <c r="H12" s="14">
        <v>14.33</v>
      </c>
      <c r="I12" s="14">
        <v>14.5</v>
      </c>
      <c r="J12" s="15">
        <f t="shared" si="1"/>
        <v>207.785</v>
      </c>
      <c r="K12" s="14">
        <v>202</v>
      </c>
      <c r="L12" s="14">
        <v>4470</v>
      </c>
      <c r="M12" s="14">
        <v>2.56</v>
      </c>
    </row>
    <row r="13" spans="1:13" x14ac:dyDescent="0.2">
      <c r="A13" s="14">
        <v>14.7</v>
      </c>
      <c r="B13" s="14">
        <v>15.51</v>
      </c>
      <c r="C13" s="15">
        <f t="shared" si="0"/>
        <v>227.99699999999999</v>
      </c>
      <c r="D13" s="14">
        <v>235</v>
      </c>
      <c r="E13" s="14">
        <v>4530</v>
      </c>
      <c r="F13" s="14">
        <f>3*16+13</f>
        <v>61</v>
      </c>
      <c r="H13" s="14">
        <v>14.14</v>
      </c>
      <c r="I13" s="14">
        <v>10.3</v>
      </c>
      <c r="J13" s="15">
        <f t="shared" si="1"/>
        <v>145.64200000000002</v>
      </c>
      <c r="K13" s="14">
        <v>144</v>
      </c>
      <c r="L13" s="14">
        <v>3960</v>
      </c>
      <c r="M13" s="14">
        <v>1.9</v>
      </c>
    </row>
    <row r="14" spans="1:13" x14ac:dyDescent="0.2">
      <c r="A14" s="14">
        <v>14.79</v>
      </c>
      <c r="B14" s="14">
        <v>11.49</v>
      </c>
      <c r="C14" s="15">
        <f t="shared" si="0"/>
        <v>169.93709999999999</v>
      </c>
      <c r="D14" s="14">
        <v>174</v>
      </c>
      <c r="E14" s="14">
        <v>4050</v>
      </c>
      <c r="F14" s="14">
        <f>3*16+0</f>
        <v>48</v>
      </c>
      <c r="H14" s="14">
        <v>13.86</v>
      </c>
      <c r="I14" s="14">
        <v>7.47</v>
      </c>
      <c r="J14" s="15">
        <f t="shared" si="1"/>
        <v>103.5342</v>
      </c>
      <c r="K14" s="14">
        <v>103</v>
      </c>
      <c r="L14" s="14">
        <v>3480</v>
      </c>
      <c r="M14" s="14">
        <v>1.5</v>
      </c>
    </row>
    <row r="15" spans="1:13" x14ac:dyDescent="0.2">
      <c r="A15" s="14">
        <v>14.84</v>
      </c>
      <c r="B15" s="14">
        <v>7.94</v>
      </c>
      <c r="C15" s="15">
        <f t="shared" si="0"/>
        <v>117.8296</v>
      </c>
      <c r="D15" s="14">
        <v>116</v>
      </c>
      <c r="E15" s="14">
        <v>3570</v>
      </c>
      <c r="F15" s="14">
        <f>2*16+2</f>
        <v>34</v>
      </c>
    </row>
  </sheetData>
  <mergeCells count="2">
    <mergeCell ref="A1:C1"/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M8" sqref="M8"/>
    </sheetView>
  </sheetViews>
  <sheetFormatPr defaultRowHeight="12" x14ac:dyDescent="0.2"/>
  <cols>
    <col min="1" max="1" width="12.5703125" style="13" bestFit="1" customWidth="1"/>
    <col min="2" max="2" width="11.42578125" style="13" customWidth="1"/>
    <col min="3" max="3" width="13.5703125" style="13" bestFit="1" customWidth="1"/>
    <col min="4" max="4" width="14.85546875" style="13" bestFit="1" customWidth="1"/>
    <col min="5" max="7" width="9.140625" style="13"/>
    <col min="8" max="8" width="11" style="13" bestFit="1" customWidth="1"/>
    <col min="9" max="9" width="20.7109375" style="13" bestFit="1" customWidth="1"/>
    <col min="10" max="10" width="12.85546875" style="13" bestFit="1" customWidth="1"/>
    <col min="11" max="11" width="14.140625" style="13" bestFit="1" customWidth="1"/>
    <col min="12" max="16384" width="9.140625" style="13"/>
  </cols>
  <sheetData>
    <row r="1" spans="1:13" x14ac:dyDescent="0.2">
      <c r="A1" s="23" t="s">
        <v>15</v>
      </c>
      <c r="B1" s="23"/>
      <c r="C1" s="23"/>
      <c r="H1" s="18" t="s">
        <v>15</v>
      </c>
      <c r="I1" s="18"/>
      <c r="J1" s="18"/>
    </row>
    <row r="2" spans="1:13" x14ac:dyDescent="0.2">
      <c r="A2" s="2" t="s">
        <v>1</v>
      </c>
      <c r="B2" s="5">
        <v>41913</v>
      </c>
      <c r="C2" s="6"/>
      <c r="H2" s="2" t="s">
        <v>1</v>
      </c>
      <c r="I2" s="5">
        <v>41912</v>
      </c>
      <c r="J2" s="6"/>
    </row>
    <row r="3" spans="1:13" x14ac:dyDescent="0.2">
      <c r="A3" s="3" t="s">
        <v>0</v>
      </c>
      <c r="B3" s="7" t="s">
        <v>33</v>
      </c>
      <c r="C3" s="8"/>
      <c r="H3" s="3" t="s">
        <v>0</v>
      </c>
      <c r="I3" s="7" t="s">
        <v>30</v>
      </c>
      <c r="J3" s="8"/>
    </row>
    <row r="4" spans="1:13" x14ac:dyDescent="0.2">
      <c r="A4" s="3" t="s">
        <v>2</v>
      </c>
      <c r="B4" s="7" t="s">
        <v>34</v>
      </c>
      <c r="C4" s="8"/>
      <c r="H4" s="3" t="s">
        <v>2</v>
      </c>
      <c r="I4" s="7" t="s">
        <v>28</v>
      </c>
      <c r="J4" s="8"/>
    </row>
    <row r="5" spans="1:13" x14ac:dyDescent="0.2">
      <c r="A5" s="3" t="s">
        <v>3</v>
      </c>
      <c r="B5" s="7" t="s">
        <v>21</v>
      </c>
      <c r="C5" s="8"/>
      <c r="H5" s="3" t="s">
        <v>3</v>
      </c>
      <c r="I5" s="7" t="s">
        <v>21</v>
      </c>
      <c r="J5" s="8"/>
    </row>
    <row r="6" spans="1:13" x14ac:dyDescent="0.2">
      <c r="A6" s="3" t="s">
        <v>4</v>
      </c>
      <c r="B6" s="7" t="s">
        <v>8</v>
      </c>
      <c r="C6" s="8"/>
      <c r="H6" s="3" t="s">
        <v>4</v>
      </c>
      <c r="I6" s="7" t="s">
        <v>8</v>
      </c>
      <c r="J6" s="8"/>
    </row>
    <row r="7" spans="1:13" x14ac:dyDescent="0.2">
      <c r="A7" s="4" t="s">
        <v>16</v>
      </c>
      <c r="B7" s="9" t="s">
        <v>35</v>
      </c>
      <c r="C7" s="10"/>
      <c r="H7" s="4" t="s">
        <v>16</v>
      </c>
      <c r="I7" s="9" t="s">
        <v>35</v>
      </c>
      <c r="J7" s="10"/>
    </row>
    <row r="8" spans="1:13" x14ac:dyDescent="0.2">
      <c r="A8" s="1" t="s">
        <v>12</v>
      </c>
      <c r="B8" s="1" t="s">
        <v>11</v>
      </c>
      <c r="C8" s="1" t="s">
        <v>14</v>
      </c>
      <c r="D8" s="1" t="s">
        <v>13</v>
      </c>
      <c r="E8" s="1" t="s">
        <v>9</v>
      </c>
      <c r="F8" s="1" t="s">
        <v>10</v>
      </c>
      <c r="H8" s="1" t="s">
        <v>12</v>
      </c>
      <c r="I8" s="1" t="s">
        <v>11</v>
      </c>
      <c r="J8" s="1" t="s">
        <v>14</v>
      </c>
      <c r="K8" s="1" t="s">
        <v>13</v>
      </c>
      <c r="L8" s="1" t="s">
        <v>9</v>
      </c>
      <c r="M8" s="1" t="s">
        <v>50</v>
      </c>
    </row>
    <row r="9" spans="1:13" x14ac:dyDescent="0.2">
      <c r="A9" s="14">
        <v>14.55</v>
      </c>
      <c r="B9" s="14">
        <v>61.38</v>
      </c>
      <c r="C9" s="15">
        <f>B9*A9</f>
        <v>893.07900000000006</v>
      </c>
      <c r="D9" s="14">
        <v>870</v>
      </c>
      <c r="E9" s="14">
        <v>5910</v>
      </c>
      <c r="F9" s="14">
        <f>8*16+10</f>
        <v>138</v>
      </c>
      <c r="H9" s="14">
        <v>14.65</v>
      </c>
      <c r="I9" s="14">
        <v>62.8</v>
      </c>
      <c r="J9" s="15">
        <f>I9*H9</f>
        <v>920.02</v>
      </c>
      <c r="K9" s="14">
        <v>918</v>
      </c>
      <c r="L9" s="14">
        <v>5920</v>
      </c>
      <c r="M9" s="14">
        <v>7.7</v>
      </c>
    </row>
    <row r="10" spans="1:13" x14ac:dyDescent="0.2">
      <c r="A10" s="14">
        <v>14.75</v>
      </c>
      <c r="B10" s="14">
        <v>47.45</v>
      </c>
      <c r="C10" s="15">
        <f t="shared" ref="C10:C14" si="0">B10*A10</f>
        <v>699.88750000000005</v>
      </c>
      <c r="D10" s="14">
        <v>695</v>
      </c>
      <c r="E10" s="14">
        <v>5550</v>
      </c>
      <c r="F10" s="14">
        <f>7*16+5</f>
        <v>117</v>
      </c>
      <c r="H10" s="14">
        <v>14.81</v>
      </c>
      <c r="I10" s="14">
        <v>49.3</v>
      </c>
      <c r="J10" s="15">
        <f t="shared" ref="J10:J14" si="1">I10*H10</f>
        <v>730.13300000000004</v>
      </c>
      <c r="K10" s="14">
        <v>753</v>
      </c>
      <c r="L10" s="14">
        <v>5550</v>
      </c>
      <c r="M10" s="14">
        <v>6.6</v>
      </c>
    </row>
    <row r="11" spans="1:13" x14ac:dyDescent="0.2">
      <c r="A11" s="14">
        <v>14.93</v>
      </c>
      <c r="B11" s="14">
        <v>34.979999999999997</v>
      </c>
      <c r="C11" s="15">
        <f t="shared" si="0"/>
        <v>522.25139999999999</v>
      </c>
      <c r="D11" s="14">
        <v>515</v>
      </c>
      <c r="E11" s="14">
        <v>5010</v>
      </c>
      <c r="F11" s="14">
        <f>6*16+1</f>
        <v>97</v>
      </c>
      <c r="H11" s="14">
        <v>15.01</v>
      </c>
      <c r="I11" s="14">
        <v>34</v>
      </c>
      <c r="J11" s="15">
        <f t="shared" si="1"/>
        <v>510.34</v>
      </c>
      <c r="K11" s="14">
        <v>516</v>
      </c>
      <c r="L11" s="14">
        <v>4980</v>
      </c>
      <c r="M11" s="14">
        <v>5.3</v>
      </c>
    </row>
    <row r="12" spans="1:13" x14ac:dyDescent="0.2">
      <c r="A12" s="14">
        <v>15.08</v>
      </c>
      <c r="B12" s="14">
        <v>34.58</v>
      </c>
      <c r="C12" s="15">
        <f t="shared" si="0"/>
        <v>521.46640000000002</v>
      </c>
      <c r="D12" s="14">
        <v>371</v>
      </c>
      <c r="E12" s="14">
        <v>4530</v>
      </c>
      <c r="F12" s="14">
        <f>5*16</f>
        <v>80</v>
      </c>
      <c r="H12" s="14">
        <v>15.14</v>
      </c>
      <c r="I12" s="14">
        <v>24.4</v>
      </c>
      <c r="J12" s="15">
        <f t="shared" si="1"/>
        <v>369.416</v>
      </c>
      <c r="K12" s="14">
        <v>380</v>
      </c>
      <c r="L12" s="14">
        <v>4410</v>
      </c>
      <c r="M12" s="14">
        <v>4.7</v>
      </c>
    </row>
    <row r="13" spans="1:13" x14ac:dyDescent="0.2">
      <c r="A13" s="14">
        <v>15.21</v>
      </c>
      <c r="B13" s="14">
        <v>16.170000000000002</v>
      </c>
      <c r="C13" s="15">
        <f t="shared" si="0"/>
        <v>245.94570000000004</v>
      </c>
      <c r="D13" s="14">
        <v>247</v>
      </c>
      <c r="E13" s="14">
        <v>3960</v>
      </c>
      <c r="F13" s="14">
        <f>3*16+12</f>
        <v>60</v>
      </c>
      <c r="H13" s="14">
        <v>15.19</v>
      </c>
      <c r="I13" s="14">
        <v>18.399999999999999</v>
      </c>
      <c r="J13" s="15">
        <f t="shared" si="1"/>
        <v>279.49599999999998</v>
      </c>
      <c r="K13" s="14">
        <v>275</v>
      </c>
      <c r="L13" s="14">
        <v>4050</v>
      </c>
      <c r="M13" s="14">
        <v>3.6</v>
      </c>
    </row>
    <row r="14" spans="1:13" x14ac:dyDescent="0.2">
      <c r="A14" s="14">
        <v>15.27</v>
      </c>
      <c r="B14" s="14">
        <v>11.84</v>
      </c>
      <c r="C14" s="15">
        <f t="shared" si="0"/>
        <v>180.79679999999999</v>
      </c>
      <c r="D14" s="14">
        <v>186</v>
      </c>
      <c r="E14" s="14">
        <v>3450</v>
      </c>
      <c r="F14" s="14">
        <f>2*16+14</f>
        <v>46</v>
      </c>
      <c r="H14" s="14">
        <v>15.31</v>
      </c>
      <c r="I14" s="14">
        <v>10.6</v>
      </c>
      <c r="J14" s="15">
        <f t="shared" si="1"/>
        <v>162.286</v>
      </c>
      <c r="K14" s="14">
        <v>161</v>
      </c>
      <c r="L14" s="14">
        <v>3540</v>
      </c>
      <c r="M14" s="14">
        <v>2.5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M8" sqref="M8"/>
    </sheetView>
  </sheetViews>
  <sheetFormatPr defaultRowHeight="12" x14ac:dyDescent="0.2"/>
  <cols>
    <col min="1" max="1" width="12.5703125" style="13" bestFit="1" customWidth="1"/>
    <col min="2" max="2" width="11.42578125" style="13" customWidth="1"/>
    <col min="3" max="3" width="13.5703125" style="13" bestFit="1" customWidth="1"/>
    <col min="4" max="4" width="14.85546875" style="13" bestFit="1" customWidth="1"/>
    <col min="5" max="7" width="9.140625" style="13"/>
    <col min="8" max="8" width="11" style="13" bestFit="1" customWidth="1"/>
    <col min="9" max="9" width="20.7109375" style="13" bestFit="1" customWidth="1"/>
    <col min="10" max="10" width="12.85546875" style="13" bestFit="1" customWidth="1"/>
    <col min="11" max="11" width="14.140625" style="13" bestFit="1" customWidth="1"/>
    <col min="12" max="16384" width="9.140625" style="13"/>
  </cols>
  <sheetData>
    <row r="1" spans="1:13" x14ac:dyDescent="0.2">
      <c r="A1" s="23" t="s">
        <v>15</v>
      </c>
      <c r="B1" s="23"/>
      <c r="C1" s="23"/>
      <c r="H1" s="23" t="s">
        <v>15</v>
      </c>
      <c r="I1" s="23"/>
      <c r="J1" s="23"/>
    </row>
    <row r="2" spans="1:13" x14ac:dyDescent="0.2">
      <c r="A2" s="2" t="s">
        <v>1</v>
      </c>
      <c r="B2" s="5">
        <v>41908</v>
      </c>
      <c r="C2" s="6"/>
      <c r="H2" s="2" t="s">
        <v>1</v>
      </c>
      <c r="I2" s="5">
        <v>41911</v>
      </c>
      <c r="J2" s="6"/>
    </row>
    <row r="3" spans="1:13" x14ac:dyDescent="0.2">
      <c r="A3" s="3" t="s">
        <v>0</v>
      </c>
      <c r="B3" s="7" t="s">
        <v>5</v>
      </c>
      <c r="C3" s="8"/>
      <c r="H3" s="3" t="s">
        <v>0</v>
      </c>
      <c r="I3" s="7" t="s">
        <v>23</v>
      </c>
      <c r="J3" s="8"/>
    </row>
    <row r="4" spans="1:13" x14ac:dyDescent="0.2">
      <c r="A4" s="3" t="s">
        <v>2</v>
      </c>
      <c r="B4" s="7" t="s">
        <v>6</v>
      </c>
      <c r="C4" s="8"/>
      <c r="H4" s="3" t="s">
        <v>2</v>
      </c>
      <c r="I4" s="7" t="s">
        <v>22</v>
      </c>
      <c r="J4" s="8"/>
    </row>
    <row r="5" spans="1:13" x14ac:dyDescent="0.2">
      <c r="A5" s="3" t="s">
        <v>3</v>
      </c>
      <c r="B5" s="7" t="s">
        <v>7</v>
      </c>
      <c r="C5" s="8"/>
      <c r="H5" s="3" t="s">
        <v>3</v>
      </c>
      <c r="I5" s="7" t="s">
        <v>21</v>
      </c>
      <c r="J5" s="8"/>
    </row>
    <row r="6" spans="1:13" x14ac:dyDescent="0.2">
      <c r="A6" s="3" t="s">
        <v>4</v>
      </c>
      <c r="B6" s="7" t="s">
        <v>8</v>
      </c>
      <c r="C6" s="8"/>
      <c r="H6" s="3" t="s">
        <v>4</v>
      </c>
      <c r="I6" s="7" t="s">
        <v>8</v>
      </c>
      <c r="J6" s="8"/>
    </row>
    <row r="7" spans="1:13" x14ac:dyDescent="0.2">
      <c r="A7" s="4" t="s">
        <v>16</v>
      </c>
      <c r="B7" s="9" t="s">
        <v>17</v>
      </c>
      <c r="C7" s="10"/>
      <c r="H7" s="4" t="s">
        <v>16</v>
      </c>
      <c r="I7" s="9" t="s">
        <v>17</v>
      </c>
      <c r="J7" s="10"/>
    </row>
    <row r="8" spans="1:13" x14ac:dyDescent="0.2">
      <c r="A8" s="1" t="s">
        <v>12</v>
      </c>
      <c r="B8" s="1" t="s">
        <v>11</v>
      </c>
      <c r="C8" s="1" t="s">
        <v>14</v>
      </c>
      <c r="D8" s="1" t="s">
        <v>13</v>
      </c>
      <c r="E8" s="1" t="s">
        <v>9</v>
      </c>
      <c r="F8" s="1" t="s">
        <v>10</v>
      </c>
      <c r="H8" s="1" t="s">
        <v>12</v>
      </c>
      <c r="I8" s="1" t="s">
        <v>11</v>
      </c>
      <c r="J8" s="1" t="s">
        <v>14</v>
      </c>
      <c r="K8" s="1" t="s">
        <v>13</v>
      </c>
      <c r="L8" s="1" t="s">
        <v>9</v>
      </c>
      <c r="M8" s="1" t="s">
        <v>50</v>
      </c>
    </row>
    <row r="9" spans="1:13" x14ac:dyDescent="0.2">
      <c r="A9" s="14">
        <v>15.36</v>
      </c>
      <c r="B9" s="14">
        <v>4.3499999999999996</v>
      </c>
      <c r="C9" s="15">
        <f>A9*B9</f>
        <v>66.815999999999988</v>
      </c>
      <c r="D9" s="14">
        <v>67</v>
      </c>
      <c r="E9" s="14">
        <v>2500</v>
      </c>
      <c r="F9" s="14">
        <f>1*16+5</f>
        <v>21</v>
      </c>
      <c r="H9" s="14">
        <v>14.74</v>
      </c>
      <c r="I9" s="14">
        <v>60.67</v>
      </c>
      <c r="J9" s="15">
        <f>H9*I9</f>
        <v>894.2758</v>
      </c>
      <c r="K9" s="14">
        <v>890</v>
      </c>
      <c r="L9" s="14">
        <v>6250</v>
      </c>
      <c r="M9" s="14">
        <v>7.6</v>
      </c>
    </row>
    <row r="10" spans="1:13" x14ac:dyDescent="0.2">
      <c r="A10" s="14">
        <v>15.05</v>
      </c>
      <c r="B10" s="14">
        <v>10.3</v>
      </c>
      <c r="C10" s="15">
        <f t="shared" ref="C10:C12" si="0">A10*B10</f>
        <v>155.01500000000001</v>
      </c>
      <c r="D10" s="14">
        <v>159</v>
      </c>
      <c r="E10" s="14">
        <v>3500</v>
      </c>
      <c r="F10" s="14">
        <f>2*16+14</f>
        <v>46</v>
      </c>
      <c r="H10" s="14">
        <v>14.5</v>
      </c>
      <c r="I10" s="14">
        <v>59.8</v>
      </c>
      <c r="J10" s="15">
        <f t="shared" ref="J10:J15" si="1">H10*I10</f>
        <v>867.09999999999991</v>
      </c>
      <c r="K10" s="14">
        <v>835</v>
      </c>
      <c r="L10" s="14">
        <v>6000</v>
      </c>
      <c r="M10" s="14">
        <v>7.4</v>
      </c>
    </row>
    <row r="11" spans="1:13" x14ac:dyDescent="0.2">
      <c r="A11" s="14">
        <v>14.6</v>
      </c>
      <c r="B11" s="14">
        <v>22.2</v>
      </c>
      <c r="C11" s="15">
        <f t="shared" si="0"/>
        <v>324.12</v>
      </c>
      <c r="D11" s="14">
        <v>320</v>
      </c>
      <c r="E11" s="14">
        <v>4500</v>
      </c>
      <c r="F11" s="14">
        <f>5*16+1</f>
        <v>81</v>
      </c>
      <c r="H11" s="14">
        <v>14.73</v>
      </c>
      <c r="I11" s="14">
        <v>42.62</v>
      </c>
      <c r="J11" s="15">
        <f t="shared" si="1"/>
        <v>627.79259999999999</v>
      </c>
      <c r="K11" s="14">
        <v>628</v>
      </c>
      <c r="L11" s="14">
        <v>5520</v>
      </c>
      <c r="M11" s="14">
        <v>6.1</v>
      </c>
    </row>
    <row r="12" spans="1:13" x14ac:dyDescent="0.2">
      <c r="A12" s="14">
        <v>14</v>
      </c>
      <c r="B12" s="14">
        <v>40.6</v>
      </c>
      <c r="C12" s="15">
        <f t="shared" si="0"/>
        <v>568.4</v>
      </c>
      <c r="D12" s="14">
        <v>573</v>
      </c>
      <c r="E12" s="14">
        <v>5430</v>
      </c>
      <c r="F12" s="14">
        <f>7*16+10</f>
        <v>122</v>
      </c>
      <c r="H12" s="14">
        <v>14.95</v>
      </c>
      <c r="I12" s="14">
        <v>30.14</v>
      </c>
      <c r="J12" s="15">
        <f t="shared" si="1"/>
        <v>450.59299999999996</v>
      </c>
      <c r="K12" s="14">
        <v>447</v>
      </c>
      <c r="L12" s="14">
        <v>4980</v>
      </c>
      <c r="M12" s="14">
        <v>4.9000000000000004</v>
      </c>
    </row>
    <row r="13" spans="1:13" x14ac:dyDescent="0.2">
      <c r="H13" s="14">
        <v>15.17</v>
      </c>
      <c r="I13" s="14">
        <v>15.95</v>
      </c>
      <c r="J13" s="15">
        <f>H13*I13</f>
        <v>241.9615</v>
      </c>
      <c r="K13" s="14">
        <v>232</v>
      </c>
      <c r="L13" s="14">
        <v>4050</v>
      </c>
      <c r="M13" s="14">
        <v>3.1</v>
      </c>
    </row>
    <row r="14" spans="1:13" x14ac:dyDescent="0.2">
      <c r="H14" s="14">
        <v>15.3</v>
      </c>
      <c r="I14" s="14">
        <v>6.25</v>
      </c>
      <c r="J14" s="15">
        <f t="shared" si="1"/>
        <v>95.625</v>
      </c>
      <c r="K14" s="14">
        <v>103</v>
      </c>
      <c r="L14" s="14">
        <v>3000</v>
      </c>
      <c r="M14" s="14">
        <v>1.8</v>
      </c>
    </row>
    <row r="15" spans="1:13" x14ac:dyDescent="0.2">
      <c r="H15" s="14">
        <v>15.39</v>
      </c>
      <c r="I15" s="14">
        <v>2.34</v>
      </c>
      <c r="J15" s="15">
        <f t="shared" si="1"/>
        <v>36.012599999999999</v>
      </c>
      <c r="K15" s="14">
        <v>35</v>
      </c>
      <c r="L15" s="14">
        <v>2010</v>
      </c>
      <c r="M15" s="14">
        <v>0.8</v>
      </c>
    </row>
  </sheetData>
  <mergeCells count="2">
    <mergeCell ref="A1:C1"/>
    <mergeCell ref="H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M8" sqref="M8"/>
    </sheetView>
  </sheetViews>
  <sheetFormatPr defaultRowHeight="12" x14ac:dyDescent="0.2"/>
  <cols>
    <col min="1" max="1" width="12.5703125" style="13" bestFit="1" customWidth="1"/>
    <col min="2" max="2" width="11.42578125" style="13" customWidth="1"/>
    <col min="3" max="3" width="13.5703125" style="13" bestFit="1" customWidth="1"/>
    <col min="4" max="4" width="14.85546875" style="13" bestFit="1" customWidth="1"/>
    <col min="5" max="7" width="9.140625" style="13"/>
    <col min="8" max="8" width="11" style="13" bestFit="1" customWidth="1"/>
    <col min="9" max="9" width="20.7109375" style="13" bestFit="1" customWidth="1"/>
    <col min="10" max="10" width="12.85546875" style="13" bestFit="1" customWidth="1"/>
    <col min="11" max="11" width="14.140625" style="13" bestFit="1" customWidth="1"/>
    <col min="12" max="16384" width="9.140625" style="13"/>
  </cols>
  <sheetData>
    <row r="1" spans="1:13" x14ac:dyDescent="0.2">
      <c r="A1" s="23" t="s">
        <v>15</v>
      </c>
      <c r="B1" s="23"/>
      <c r="C1" s="23"/>
      <c r="H1" s="23" t="s">
        <v>15</v>
      </c>
      <c r="I1" s="23"/>
      <c r="J1" s="23"/>
    </row>
    <row r="2" spans="1:13" x14ac:dyDescent="0.2">
      <c r="A2" s="2" t="s">
        <v>1</v>
      </c>
      <c r="B2" s="5">
        <v>41908</v>
      </c>
      <c r="C2" s="6"/>
      <c r="H2" s="2" t="s">
        <v>1</v>
      </c>
      <c r="I2" s="5">
        <v>41911</v>
      </c>
      <c r="J2" s="6"/>
    </row>
    <row r="3" spans="1:13" x14ac:dyDescent="0.2">
      <c r="A3" s="3" t="s">
        <v>0</v>
      </c>
      <c r="B3" s="7" t="s">
        <v>5</v>
      </c>
      <c r="C3" s="8"/>
      <c r="H3" s="3" t="s">
        <v>0</v>
      </c>
      <c r="I3" s="7" t="s">
        <v>23</v>
      </c>
      <c r="J3" s="8"/>
    </row>
    <row r="4" spans="1:13" x14ac:dyDescent="0.2">
      <c r="A4" s="3" t="s">
        <v>2</v>
      </c>
      <c r="B4" s="7" t="s">
        <v>6</v>
      </c>
      <c r="C4" s="8"/>
      <c r="H4" s="3" t="s">
        <v>2</v>
      </c>
      <c r="I4" s="7" t="s">
        <v>22</v>
      </c>
      <c r="J4" s="8"/>
    </row>
    <row r="5" spans="1:13" x14ac:dyDescent="0.2">
      <c r="A5" s="3" t="s">
        <v>3</v>
      </c>
      <c r="B5" s="7" t="s">
        <v>7</v>
      </c>
      <c r="C5" s="8"/>
      <c r="H5" s="3" t="s">
        <v>3</v>
      </c>
      <c r="I5" s="7" t="s">
        <v>21</v>
      </c>
      <c r="J5" s="8"/>
    </row>
    <row r="6" spans="1:13" x14ac:dyDescent="0.2">
      <c r="A6" s="3" t="s">
        <v>4</v>
      </c>
      <c r="B6" s="7" t="s">
        <v>8</v>
      </c>
      <c r="C6" s="8"/>
      <c r="H6" s="3" t="s">
        <v>4</v>
      </c>
      <c r="I6" s="7" t="s">
        <v>8</v>
      </c>
      <c r="J6" s="8"/>
    </row>
    <row r="7" spans="1:13" x14ac:dyDescent="0.2">
      <c r="A7" s="4" t="s">
        <v>16</v>
      </c>
      <c r="B7" s="9" t="s">
        <v>18</v>
      </c>
      <c r="C7" s="10"/>
      <c r="H7" s="4" t="s">
        <v>16</v>
      </c>
      <c r="I7" s="9" t="s">
        <v>17</v>
      </c>
      <c r="J7" s="10"/>
    </row>
    <row r="8" spans="1:13" x14ac:dyDescent="0.2">
      <c r="A8" s="1" t="s">
        <v>12</v>
      </c>
      <c r="B8" s="1" t="s">
        <v>11</v>
      </c>
      <c r="C8" s="1" t="s">
        <v>14</v>
      </c>
      <c r="D8" s="1" t="s">
        <v>13</v>
      </c>
      <c r="E8" s="1" t="s">
        <v>9</v>
      </c>
      <c r="F8" s="1" t="s">
        <v>10</v>
      </c>
      <c r="H8" s="1" t="s">
        <v>12</v>
      </c>
      <c r="I8" s="1" t="s">
        <v>11</v>
      </c>
      <c r="J8" s="1" t="s">
        <v>14</v>
      </c>
      <c r="K8" s="1" t="s">
        <v>13</v>
      </c>
      <c r="L8" s="1" t="s">
        <v>9</v>
      </c>
      <c r="M8" s="1" t="s">
        <v>50</v>
      </c>
    </row>
    <row r="9" spans="1:13" x14ac:dyDescent="0.2">
      <c r="A9" s="14">
        <v>15.85</v>
      </c>
      <c r="B9" s="14">
        <v>4.24</v>
      </c>
      <c r="C9" s="15">
        <f>A9*B9</f>
        <v>67.204000000000008</v>
      </c>
      <c r="D9" s="14">
        <v>66</v>
      </c>
      <c r="E9" s="14">
        <v>2500</v>
      </c>
      <c r="F9" s="14">
        <f>1*16+5</f>
        <v>21</v>
      </c>
      <c r="H9" s="14">
        <v>14.08</v>
      </c>
      <c r="I9" s="14">
        <v>55.72</v>
      </c>
      <c r="J9" s="15">
        <f>H9*I9</f>
        <v>784.5376</v>
      </c>
      <c r="K9" s="14">
        <v>785</v>
      </c>
      <c r="L9" s="14">
        <v>6060</v>
      </c>
      <c r="M9" s="14">
        <v>7</v>
      </c>
    </row>
    <row r="10" spans="1:13" x14ac:dyDescent="0.2">
      <c r="A10" s="14">
        <v>15.51</v>
      </c>
      <c r="B10" s="14">
        <v>10.08</v>
      </c>
      <c r="C10" s="15">
        <f t="shared" ref="C10:C12" si="0">A10*B10</f>
        <v>156.3408</v>
      </c>
      <c r="D10" s="14">
        <v>155</v>
      </c>
      <c r="E10" s="14">
        <v>3500</v>
      </c>
      <c r="F10" s="14">
        <f>2*16+14</f>
        <v>46</v>
      </c>
      <c r="H10" s="14">
        <v>14.21</v>
      </c>
      <c r="I10" s="14">
        <v>43.19</v>
      </c>
      <c r="J10" s="15">
        <f t="shared" ref="J10:J14" si="1">H10*I10</f>
        <v>613.72990000000004</v>
      </c>
      <c r="K10" s="14">
        <v>608</v>
      </c>
      <c r="L10" s="14">
        <v>5520</v>
      </c>
      <c r="M10" s="14">
        <v>6</v>
      </c>
    </row>
    <row r="11" spans="1:13" x14ac:dyDescent="0.2">
      <c r="A11" s="14">
        <v>14.96</v>
      </c>
      <c r="B11" s="14">
        <v>21.15</v>
      </c>
      <c r="C11" s="15">
        <f t="shared" si="0"/>
        <v>316.404</v>
      </c>
      <c r="D11" s="14">
        <v>316</v>
      </c>
      <c r="E11" s="14">
        <v>4500</v>
      </c>
      <c r="F11" s="14">
        <f>4*16+14</f>
        <v>78</v>
      </c>
      <c r="H11" s="14">
        <v>14.29</v>
      </c>
      <c r="I11" s="14">
        <v>32.19</v>
      </c>
      <c r="J11" s="15">
        <f t="shared" si="1"/>
        <v>459.99509999999992</v>
      </c>
      <c r="K11" s="14">
        <v>451</v>
      </c>
      <c r="L11" s="14">
        <v>5040</v>
      </c>
      <c r="M11" s="14">
        <v>4.9000000000000004</v>
      </c>
    </row>
    <row r="12" spans="1:13" x14ac:dyDescent="0.2">
      <c r="A12" s="14">
        <v>14.26</v>
      </c>
      <c r="B12" s="14">
        <v>41.28</v>
      </c>
      <c r="C12" s="15">
        <f t="shared" si="0"/>
        <v>588.65279999999996</v>
      </c>
      <c r="D12" s="14">
        <v>580</v>
      </c>
      <c r="E12" s="14">
        <v>5460</v>
      </c>
      <c r="F12" s="14">
        <f>7*16+12</f>
        <v>124</v>
      </c>
      <c r="H12" s="14">
        <v>14.48</v>
      </c>
      <c r="I12" s="14">
        <v>16.52</v>
      </c>
      <c r="J12" s="15">
        <f t="shared" si="1"/>
        <v>239.20959999999999</v>
      </c>
      <c r="K12" s="14">
        <v>230</v>
      </c>
      <c r="L12" s="14">
        <v>4020</v>
      </c>
      <c r="M12" s="14">
        <v>3.1</v>
      </c>
    </row>
    <row r="13" spans="1:13" x14ac:dyDescent="0.2">
      <c r="H13" s="14">
        <v>14.76</v>
      </c>
      <c r="I13" s="14">
        <v>1.25</v>
      </c>
      <c r="J13" s="15">
        <f t="shared" si="1"/>
        <v>18.45</v>
      </c>
      <c r="K13" s="14">
        <v>18</v>
      </c>
      <c r="L13" s="14">
        <v>3000</v>
      </c>
      <c r="M13" s="14">
        <v>0.5</v>
      </c>
    </row>
    <row r="14" spans="1:13" x14ac:dyDescent="0.2">
      <c r="H14" s="14">
        <v>14.76</v>
      </c>
      <c r="I14" s="14">
        <v>0.6</v>
      </c>
      <c r="J14" s="15">
        <f t="shared" si="1"/>
        <v>8.8559999999999999</v>
      </c>
      <c r="K14" s="14">
        <v>8</v>
      </c>
      <c r="L14" s="14">
        <v>2100</v>
      </c>
      <c r="M14" s="14">
        <v>0.2</v>
      </c>
    </row>
    <row r="15" spans="1:13" x14ac:dyDescent="0.2">
      <c r="H15" s="16"/>
      <c r="I15" s="16"/>
      <c r="J15" s="17"/>
      <c r="K15" s="16"/>
      <c r="L15" s="16"/>
      <c r="M15" s="16"/>
    </row>
  </sheetData>
  <mergeCells count="2">
    <mergeCell ref="A1:C1"/>
    <mergeCell ref="H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G23" sqref="G23"/>
    </sheetView>
  </sheetViews>
  <sheetFormatPr defaultRowHeight="12" x14ac:dyDescent="0.2"/>
  <cols>
    <col min="1" max="1" width="12.5703125" style="13" bestFit="1" customWidth="1"/>
    <col min="2" max="2" width="11.42578125" style="13" customWidth="1"/>
    <col min="3" max="3" width="13.5703125" style="13" bestFit="1" customWidth="1"/>
    <col min="4" max="4" width="14.85546875" style="13" bestFit="1" customWidth="1"/>
    <col min="5" max="7" width="9.140625" style="13"/>
    <col min="8" max="8" width="11" style="13" bestFit="1" customWidth="1"/>
    <col min="9" max="9" width="20.7109375" style="13" bestFit="1" customWidth="1"/>
    <col min="10" max="10" width="12.85546875" style="13" bestFit="1" customWidth="1"/>
    <col min="11" max="11" width="14.140625" style="13" bestFit="1" customWidth="1"/>
    <col min="12" max="16384" width="9.140625" style="13"/>
  </cols>
  <sheetData>
    <row r="1" spans="1:13" x14ac:dyDescent="0.2">
      <c r="A1" s="24" t="s">
        <v>15</v>
      </c>
      <c r="B1" s="24"/>
      <c r="C1" s="24"/>
      <c r="H1" s="24" t="s">
        <v>15</v>
      </c>
      <c r="I1" s="24"/>
      <c r="J1" s="24"/>
    </row>
    <row r="2" spans="1:13" x14ac:dyDescent="0.2">
      <c r="A2" s="2" t="s">
        <v>1</v>
      </c>
      <c r="B2" s="5">
        <v>41913</v>
      </c>
      <c r="C2" s="6"/>
      <c r="H2" s="2" t="s">
        <v>1</v>
      </c>
      <c r="I2" s="5">
        <v>41912</v>
      </c>
      <c r="J2" s="6"/>
    </row>
    <row r="3" spans="1:13" x14ac:dyDescent="0.2">
      <c r="A3" s="3" t="s">
        <v>0</v>
      </c>
      <c r="B3" s="7" t="s">
        <v>33</v>
      </c>
      <c r="C3" s="8"/>
      <c r="H3" s="3" t="s">
        <v>0</v>
      </c>
      <c r="I3" s="7" t="s">
        <v>30</v>
      </c>
      <c r="J3" s="8"/>
    </row>
    <row r="4" spans="1:13" x14ac:dyDescent="0.2">
      <c r="A4" s="3" t="s">
        <v>2</v>
      </c>
      <c r="B4" s="7" t="s">
        <v>31</v>
      </c>
      <c r="C4" s="8"/>
      <c r="H4" s="3" t="s">
        <v>2</v>
      </c>
      <c r="I4" s="7" t="s">
        <v>28</v>
      </c>
      <c r="J4" s="8"/>
    </row>
    <row r="5" spans="1:13" x14ac:dyDescent="0.2">
      <c r="A5" s="3" t="s">
        <v>3</v>
      </c>
      <c r="B5" s="7" t="s">
        <v>21</v>
      </c>
      <c r="C5" s="8"/>
      <c r="H5" s="3" t="s">
        <v>3</v>
      </c>
      <c r="I5" s="7" t="s">
        <v>21</v>
      </c>
      <c r="J5" s="8"/>
    </row>
    <row r="6" spans="1:13" x14ac:dyDescent="0.2">
      <c r="A6" s="3" t="s">
        <v>4</v>
      </c>
      <c r="B6" s="7" t="s">
        <v>8</v>
      </c>
      <c r="C6" s="8"/>
      <c r="H6" s="3" t="s">
        <v>4</v>
      </c>
      <c r="I6" s="7" t="s">
        <v>8</v>
      </c>
      <c r="J6" s="8"/>
    </row>
    <row r="7" spans="1:13" x14ac:dyDescent="0.2">
      <c r="A7" s="4" t="s">
        <v>16</v>
      </c>
      <c r="B7" s="9" t="s">
        <v>39</v>
      </c>
      <c r="C7" s="10"/>
      <c r="H7" s="4" t="s">
        <v>16</v>
      </c>
      <c r="I7" s="9" t="s">
        <v>39</v>
      </c>
      <c r="J7" s="10"/>
    </row>
    <row r="8" spans="1:13" x14ac:dyDescent="0.2">
      <c r="A8" s="1" t="s">
        <v>12</v>
      </c>
      <c r="B8" s="1" t="s">
        <v>11</v>
      </c>
      <c r="C8" s="1" t="s">
        <v>14</v>
      </c>
      <c r="D8" s="1" t="s">
        <v>13</v>
      </c>
      <c r="E8" s="1" t="s">
        <v>9</v>
      </c>
      <c r="F8" s="1" t="s">
        <v>10</v>
      </c>
      <c r="H8" s="1" t="s">
        <v>12</v>
      </c>
      <c r="I8" s="1" t="s">
        <v>11</v>
      </c>
      <c r="J8" s="1" t="s">
        <v>14</v>
      </c>
      <c r="K8" s="1" t="s">
        <v>13</v>
      </c>
      <c r="L8" s="1" t="s">
        <v>9</v>
      </c>
      <c r="M8" s="1" t="s">
        <v>50</v>
      </c>
    </row>
    <row r="9" spans="1:13" x14ac:dyDescent="0.2">
      <c r="A9" s="14">
        <v>14.55</v>
      </c>
      <c r="B9" s="14">
        <v>69.599999999999994</v>
      </c>
      <c r="C9" s="15">
        <f>B9*A9</f>
        <v>1012.68</v>
      </c>
      <c r="D9" s="14">
        <v>1009</v>
      </c>
      <c r="E9" s="14">
        <v>5880</v>
      </c>
      <c r="F9" s="14">
        <f>10*16+1</f>
        <v>161</v>
      </c>
      <c r="H9" s="14">
        <v>14.15</v>
      </c>
      <c r="I9" s="14">
        <v>55</v>
      </c>
      <c r="J9" s="15"/>
      <c r="K9" s="14">
        <v>778</v>
      </c>
      <c r="L9" s="14">
        <v>5490</v>
      </c>
      <c r="M9" s="14">
        <v>7.2</v>
      </c>
    </row>
    <row r="10" spans="1:13" x14ac:dyDescent="0.2">
      <c r="A10" s="14">
        <v>14.69</v>
      </c>
      <c r="B10" s="14">
        <v>57.15</v>
      </c>
      <c r="C10" s="15">
        <f t="shared" ref="C10:C14" si="0">B10*A10</f>
        <v>839.5335</v>
      </c>
      <c r="D10" s="14">
        <v>834</v>
      </c>
      <c r="E10" s="14">
        <v>5400</v>
      </c>
      <c r="F10" s="14">
        <f>9*16+5</f>
        <v>149</v>
      </c>
      <c r="H10" s="14">
        <v>14.4</v>
      </c>
      <c r="I10" s="14">
        <v>39.799999999999997</v>
      </c>
      <c r="J10" s="15"/>
      <c r="K10" s="14">
        <v>560</v>
      </c>
      <c r="L10" s="14">
        <v>4980</v>
      </c>
      <c r="M10" s="14">
        <v>5.9</v>
      </c>
    </row>
    <row r="11" spans="1:13" x14ac:dyDescent="0.2">
      <c r="A11" s="14">
        <v>14.89</v>
      </c>
      <c r="B11" s="14">
        <v>39.950000000000003</v>
      </c>
      <c r="C11" s="15">
        <f t="shared" si="0"/>
        <v>594.85550000000012</v>
      </c>
      <c r="D11" s="14">
        <v>491</v>
      </c>
      <c r="E11" s="14">
        <v>5010</v>
      </c>
      <c r="F11" s="14">
        <f>7*16+4</f>
        <v>116</v>
      </c>
      <c r="H11" s="14">
        <v>14.58</v>
      </c>
      <c r="I11" s="14">
        <v>27.9</v>
      </c>
      <c r="J11" s="15"/>
      <c r="K11" s="14">
        <v>395</v>
      </c>
      <c r="L11" s="14">
        <v>4500</v>
      </c>
      <c r="M11" s="14">
        <v>4.6500000000000004</v>
      </c>
    </row>
    <row r="12" spans="1:13" x14ac:dyDescent="0.2">
      <c r="A12" s="14">
        <v>15.1</v>
      </c>
      <c r="B12" s="14">
        <v>27.88</v>
      </c>
      <c r="C12" s="15">
        <f t="shared" si="0"/>
        <v>420.988</v>
      </c>
      <c r="D12" s="14">
        <v>420</v>
      </c>
      <c r="E12" s="14">
        <v>4500</v>
      </c>
      <c r="F12" s="14">
        <f>5*16+13</f>
        <v>93</v>
      </c>
      <c r="H12" s="14">
        <v>14.71</v>
      </c>
      <c r="I12" s="14">
        <v>18.45</v>
      </c>
      <c r="J12" s="15"/>
      <c r="K12" s="14">
        <v>270</v>
      </c>
      <c r="L12" s="14">
        <v>3960</v>
      </c>
      <c r="M12" s="14">
        <v>3.55</v>
      </c>
    </row>
    <row r="13" spans="1:13" x14ac:dyDescent="0.2">
      <c r="A13" s="14">
        <v>15.2</v>
      </c>
      <c r="B13" s="14">
        <v>19.95</v>
      </c>
      <c r="C13" s="14">
        <f t="shared" si="0"/>
        <v>303.23999999999995</v>
      </c>
      <c r="D13" s="14">
        <v>302</v>
      </c>
      <c r="E13" s="14">
        <v>4050</v>
      </c>
      <c r="F13" s="14">
        <f>4*16+11</f>
        <v>75</v>
      </c>
      <c r="H13" s="14">
        <v>14.8</v>
      </c>
      <c r="I13" s="14">
        <v>13.5</v>
      </c>
      <c r="J13" s="15"/>
      <c r="K13" s="14">
        <v>198</v>
      </c>
      <c r="L13" s="14">
        <v>3480</v>
      </c>
      <c r="M13" s="14">
        <v>3</v>
      </c>
    </row>
    <row r="14" spans="1:13" x14ac:dyDescent="0.2">
      <c r="A14" s="14">
        <v>15.31</v>
      </c>
      <c r="B14" s="14">
        <v>13.09</v>
      </c>
      <c r="C14" s="14">
        <f t="shared" si="0"/>
        <v>200.40790000000001</v>
      </c>
      <c r="D14" s="14">
        <v>208</v>
      </c>
      <c r="E14" s="14">
        <v>3450</v>
      </c>
      <c r="F14" s="14">
        <f>3*16+11</f>
        <v>59</v>
      </c>
    </row>
  </sheetData>
  <mergeCells count="2">
    <mergeCell ref="A1:C1"/>
    <mergeCell ref="H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H27" sqref="H27"/>
    </sheetView>
  </sheetViews>
  <sheetFormatPr defaultRowHeight="12" x14ac:dyDescent="0.2"/>
  <cols>
    <col min="1" max="1" width="12.5703125" style="13" bestFit="1" customWidth="1"/>
    <col min="2" max="2" width="11.42578125" style="13" customWidth="1"/>
    <col min="3" max="3" width="13.5703125" style="13" bestFit="1" customWidth="1"/>
    <col min="4" max="4" width="14.85546875" style="13" bestFit="1" customWidth="1"/>
    <col min="5" max="7" width="9.140625" style="13"/>
    <col min="8" max="8" width="11" style="13" bestFit="1" customWidth="1"/>
    <col min="9" max="9" width="20.7109375" style="13" bestFit="1" customWidth="1"/>
    <col min="10" max="10" width="12.85546875" style="13" bestFit="1" customWidth="1"/>
    <col min="11" max="11" width="14.140625" style="13" bestFit="1" customWidth="1"/>
    <col min="12" max="16384" width="9.140625" style="13"/>
  </cols>
  <sheetData>
    <row r="1" spans="1:13" x14ac:dyDescent="0.2">
      <c r="A1" s="24" t="s">
        <v>15</v>
      </c>
      <c r="B1" s="24"/>
      <c r="C1" s="24"/>
      <c r="H1" s="24" t="s">
        <v>15</v>
      </c>
      <c r="I1" s="24"/>
      <c r="J1" s="24"/>
    </row>
    <row r="2" spans="1:13" x14ac:dyDescent="0.2">
      <c r="A2" s="2" t="s">
        <v>1</v>
      </c>
      <c r="B2" s="5">
        <v>42018</v>
      </c>
      <c r="C2" s="6"/>
      <c r="H2" s="2" t="s">
        <v>1</v>
      </c>
      <c r="I2" s="5">
        <v>42018</v>
      </c>
      <c r="J2" s="6"/>
    </row>
    <row r="3" spans="1:13" x14ac:dyDescent="0.2">
      <c r="A3" s="3" t="s">
        <v>0</v>
      </c>
      <c r="B3" s="7" t="s">
        <v>59</v>
      </c>
      <c r="C3" s="8"/>
      <c r="H3" s="3" t="s">
        <v>0</v>
      </c>
      <c r="I3" s="7" t="s">
        <v>59</v>
      </c>
      <c r="J3" s="8"/>
    </row>
    <row r="4" spans="1:13" x14ac:dyDescent="0.2">
      <c r="A4" s="3" t="s">
        <v>2</v>
      </c>
      <c r="B4" s="7" t="s">
        <v>60</v>
      </c>
      <c r="C4" s="8"/>
      <c r="H4" s="3" t="s">
        <v>2</v>
      </c>
      <c r="I4" s="7" t="s">
        <v>60</v>
      </c>
      <c r="J4" s="8"/>
    </row>
    <row r="5" spans="1:13" x14ac:dyDescent="0.2">
      <c r="A5" s="3" t="s">
        <v>3</v>
      </c>
      <c r="B5" s="7" t="s">
        <v>58</v>
      </c>
      <c r="C5" s="8"/>
      <c r="H5" s="3" t="s">
        <v>3</v>
      </c>
      <c r="I5" s="7" t="s">
        <v>58</v>
      </c>
      <c r="J5" s="8"/>
    </row>
    <row r="6" spans="1:13" x14ac:dyDescent="0.2">
      <c r="A6" s="3" t="s">
        <v>4</v>
      </c>
      <c r="B6" s="7" t="s">
        <v>48</v>
      </c>
      <c r="C6" s="8"/>
      <c r="H6" s="3" t="s">
        <v>4</v>
      </c>
      <c r="I6" s="7" t="s">
        <v>48</v>
      </c>
      <c r="J6" s="8"/>
    </row>
    <row r="7" spans="1:13" x14ac:dyDescent="0.2">
      <c r="A7" s="4" t="s">
        <v>16</v>
      </c>
      <c r="B7" s="9" t="s">
        <v>39</v>
      </c>
      <c r="C7" s="10"/>
      <c r="H7" s="4" t="s">
        <v>16</v>
      </c>
      <c r="I7" s="9" t="s">
        <v>39</v>
      </c>
      <c r="J7" s="10"/>
    </row>
    <row r="8" spans="1:13" x14ac:dyDescent="0.2">
      <c r="A8" s="1" t="s">
        <v>12</v>
      </c>
      <c r="B8" s="1" t="s">
        <v>11</v>
      </c>
      <c r="C8" s="1" t="s">
        <v>14</v>
      </c>
      <c r="D8" s="1" t="s">
        <v>13</v>
      </c>
      <c r="E8" s="1" t="s">
        <v>9</v>
      </c>
      <c r="F8" s="1" t="s">
        <v>10</v>
      </c>
      <c r="H8" s="1" t="s">
        <v>12</v>
      </c>
      <c r="I8" s="1" t="s">
        <v>11</v>
      </c>
      <c r="J8" s="1" t="s">
        <v>14</v>
      </c>
      <c r="K8" s="1" t="s">
        <v>13</v>
      </c>
      <c r="L8" s="1" t="s">
        <v>9</v>
      </c>
      <c r="M8" s="1" t="s">
        <v>50</v>
      </c>
    </row>
    <row r="9" spans="1:13" x14ac:dyDescent="0.2">
      <c r="A9" s="14">
        <v>21.3</v>
      </c>
      <c r="B9" s="14">
        <v>43.9</v>
      </c>
      <c r="C9" s="15">
        <f>B9*A9</f>
        <v>935.07</v>
      </c>
      <c r="D9" s="14">
        <v>905</v>
      </c>
      <c r="E9" s="14">
        <v>5661</v>
      </c>
      <c r="F9" s="14">
        <f>10*16+7</f>
        <v>167</v>
      </c>
      <c r="H9" s="14">
        <v>21.9</v>
      </c>
      <c r="I9" s="14">
        <v>45.2</v>
      </c>
      <c r="J9" s="15">
        <f>H9*I9</f>
        <v>989.88</v>
      </c>
      <c r="K9" s="14">
        <v>976</v>
      </c>
      <c r="L9" s="14">
        <v>5802</v>
      </c>
      <c r="M9" s="14">
        <v>11.1</v>
      </c>
    </row>
    <row r="10" spans="1:13" x14ac:dyDescent="0.2">
      <c r="A10" s="14">
        <v>22</v>
      </c>
      <c r="B10" s="14">
        <v>30.3</v>
      </c>
      <c r="C10" s="15">
        <f t="shared" ref="C10:C13" si="0">B10*A10</f>
        <v>666.6</v>
      </c>
      <c r="D10" s="14">
        <v>666</v>
      </c>
      <c r="E10" s="14">
        <v>5010</v>
      </c>
      <c r="F10" s="14">
        <f>8*16+0</f>
        <v>128</v>
      </c>
      <c r="H10" s="14">
        <v>22.22</v>
      </c>
      <c r="I10" s="14">
        <v>30.6</v>
      </c>
      <c r="J10" s="15">
        <f t="shared" ref="J10:J13" si="1">H10*I10</f>
        <v>679.93200000000002</v>
      </c>
      <c r="K10" s="14">
        <v>670</v>
      </c>
      <c r="L10" s="14">
        <v>5050</v>
      </c>
      <c r="M10" s="14">
        <v>8.4</v>
      </c>
    </row>
    <row r="11" spans="1:13" x14ac:dyDescent="0.2">
      <c r="A11" s="14">
        <v>22.38</v>
      </c>
      <c r="B11" s="14">
        <v>21.7</v>
      </c>
      <c r="C11" s="15">
        <f t="shared" si="0"/>
        <v>485.64599999999996</v>
      </c>
      <c r="D11" s="14">
        <v>486</v>
      </c>
      <c r="E11" s="14">
        <v>4500</v>
      </c>
      <c r="F11" s="14">
        <f>6*16+6</f>
        <v>102</v>
      </c>
      <c r="H11" s="14">
        <v>22.34</v>
      </c>
      <c r="I11" s="14">
        <v>23</v>
      </c>
      <c r="J11" s="15">
        <f t="shared" si="1"/>
        <v>513.82000000000005</v>
      </c>
      <c r="K11" s="14">
        <v>514</v>
      </c>
      <c r="L11" s="14">
        <v>4580</v>
      </c>
      <c r="M11" s="14">
        <v>6.85</v>
      </c>
    </row>
    <row r="12" spans="1:13" x14ac:dyDescent="0.2">
      <c r="A12" s="14">
        <v>22.54</v>
      </c>
      <c r="B12" s="14">
        <v>16.3</v>
      </c>
      <c r="C12" s="15">
        <f t="shared" si="0"/>
        <v>367.40199999999999</v>
      </c>
      <c r="D12" s="14">
        <v>370</v>
      </c>
      <c r="E12" s="14">
        <v>4088</v>
      </c>
      <c r="F12" s="14">
        <f>5*16+5</f>
        <v>85</v>
      </c>
      <c r="H12" s="14">
        <v>22.52</v>
      </c>
      <c r="I12" s="14">
        <v>15.5</v>
      </c>
      <c r="J12" s="15">
        <f t="shared" si="1"/>
        <v>349.06</v>
      </c>
      <c r="K12" s="14">
        <v>348</v>
      </c>
      <c r="L12" s="14">
        <v>4024</v>
      </c>
      <c r="M12" s="14">
        <v>5.3</v>
      </c>
    </row>
    <row r="13" spans="1:13" x14ac:dyDescent="0.2">
      <c r="A13" s="14">
        <v>22.75</v>
      </c>
      <c r="B13" s="14">
        <v>10.75</v>
      </c>
      <c r="C13" s="15">
        <f t="shared" si="0"/>
        <v>244.5625</v>
      </c>
      <c r="D13" s="14">
        <v>243</v>
      </c>
      <c r="E13" s="14">
        <v>3514</v>
      </c>
      <c r="F13" s="14">
        <f>3*16+13</f>
        <v>61</v>
      </c>
      <c r="H13" s="14">
        <v>22.64</v>
      </c>
      <c r="I13" s="14">
        <v>11.2</v>
      </c>
      <c r="J13" s="15">
        <f t="shared" si="1"/>
        <v>253.56799999999998</v>
      </c>
      <c r="K13" s="14">
        <v>248</v>
      </c>
      <c r="L13" s="14">
        <v>3557</v>
      </c>
      <c r="M13" s="14">
        <v>4.0999999999999996</v>
      </c>
    </row>
    <row r="14" spans="1:13" x14ac:dyDescent="0.2">
      <c r="A14" s="14"/>
      <c r="B14" s="14"/>
      <c r="C14" s="14"/>
      <c r="D14" s="14"/>
      <c r="E14" s="14"/>
      <c r="F14" s="14"/>
    </row>
  </sheetData>
  <mergeCells count="2">
    <mergeCell ref="A1:C1"/>
    <mergeCell ref="H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B19" sqref="B19"/>
    </sheetView>
  </sheetViews>
  <sheetFormatPr defaultRowHeight="12" x14ac:dyDescent="0.2"/>
  <cols>
    <col min="1" max="1" width="12.5703125" style="13" bestFit="1" customWidth="1"/>
    <col min="2" max="2" width="11.42578125" style="13" customWidth="1"/>
    <col min="3" max="3" width="13.5703125" style="13" bestFit="1" customWidth="1"/>
    <col min="4" max="4" width="14.85546875" style="13" bestFit="1" customWidth="1"/>
    <col min="5" max="7" width="9.140625" style="13"/>
    <col min="8" max="8" width="11" style="13" bestFit="1" customWidth="1"/>
    <col min="9" max="9" width="20.7109375" style="13" bestFit="1" customWidth="1"/>
    <col min="10" max="10" width="12.85546875" style="13" bestFit="1" customWidth="1"/>
    <col min="11" max="11" width="14.140625" style="13" bestFit="1" customWidth="1"/>
    <col min="12" max="12" width="9.140625" style="13"/>
    <col min="13" max="13" width="8" style="13" bestFit="1" customWidth="1"/>
    <col min="14" max="16384" width="9.140625" style="13"/>
  </cols>
  <sheetData>
    <row r="1" spans="1:13" x14ac:dyDescent="0.2">
      <c r="A1" s="24" t="s">
        <v>15</v>
      </c>
      <c r="B1" s="24"/>
      <c r="C1" s="24"/>
      <c r="H1" s="24" t="s">
        <v>15</v>
      </c>
      <c r="I1" s="24"/>
      <c r="J1" s="24"/>
    </row>
    <row r="2" spans="1:13" x14ac:dyDescent="0.2">
      <c r="A2" s="2" t="s">
        <v>1</v>
      </c>
      <c r="B2" s="5">
        <v>41967</v>
      </c>
      <c r="C2" s="6"/>
      <c r="H2" s="2" t="s">
        <v>1</v>
      </c>
      <c r="I2" s="5">
        <v>41967</v>
      </c>
      <c r="J2" s="6"/>
    </row>
    <row r="3" spans="1:13" x14ac:dyDescent="0.2">
      <c r="A3" s="3" t="s">
        <v>0</v>
      </c>
      <c r="B3" s="7" t="s">
        <v>52</v>
      </c>
      <c r="C3" s="8"/>
      <c r="H3" s="3" t="s">
        <v>0</v>
      </c>
      <c r="I3" s="7" t="s">
        <v>52</v>
      </c>
      <c r="J3" s="8"/>
    </row>
    <row r="4" spans="1:13" x14ac:dyDescent="0.2">
      <c r="A4" s="3" t="s">
        <v>2</v>
      </c>
      <c r="B4" s="7" t="s">
        <v>47</v>
      </c>
      <c r="C4" s="8"/>
      <c r="H4" s="3" t="s">
        <v>2</v>
      </c>
      <c r="I4" s="7" t="s">
        <v>47</v>
      </c>
      <c r="J4" s="8"/>
    </row>
    <row r="5" spans="1:13" x14ac:dyDescent="0.2">
      <c r="A5" s="3" t="s">
        <v>3</v>
      </c>
      <c r="B5" s="7" t="s">
        <v>42</v>
      </c>
      <c r="C5" s="8"/>
      <c r="H5" s="3" t="s">
        <v>3</v>
      </c>
      <c r="I5" s="7" t="s">
        <v>42</v>
      </c>
      <c r="J5" s="8"/>
    </row>
    <row r="6" spans="1:13" x14ac:dyDescent="0.2">
      <c r="A6" s="3" t="s">
        <v>4</v>
      </c>
      <c r="B6" s="7" t="s">
        <v>48</v>
      </c>
      <c r="C6" s="8"/>
      <c r="H6" s="3" t="s">
        <v>4</v>
      </c>
      <c r="I6" s="7" t="s">
        <v>48</v>
      </c>
      <c r="J6" s="8"/>
    </row>
    <row r="7" spans="1:13" x14ac:dyDescent="0.2">
      <c r="A7" s="3" t="s">
        <v>16</v>
      </c>
      <c r="B7" s="7" t="s">
        <v>38</v>
      </c>
      <c r="C7" s="8"/>
      <c r="H7" s="3" t="s">
        <v>16</v>
      </c>
      <c r="I7" s="7" t="s">
        <v>38</v>
      </c>
      <c r="J7" s="8"/>
    </row>
    <row r="8" spans="1:13" x14ac:dyDescent="0.2">
      <c r="A8" s="20" t="s">
        <v>12</v>
      </c>
      <c r="B8" s="20" t="s">
        <v>11</v>
      </c>
      <c r="C8" s="20" t="s">
        <v>14</v>
      </c>
      <c r="D8" s="20" t="s">
        <v>13</v>
      </c>
      <c r="E8" s="20" t="s">
        <v>9</v>
      </c>
      <c r="F8" s="20" t="s">
        <v>10</v>
      </c>
      <c r="H8" s="20" t="s">
        <v>12</v>
      </c>
      <c r="I8" s="20" t="s">
        <v>11</v>
      </c>
      <c r="J8" s="20" t="s">
        <v>14</v>
      </c>
      <c r="K8" s="20" t="s">
        <v>13</v>
      </c>
      <c r="L8" s="20" t="s">
        <v>9</v>
      </c>
      <c r="M8" s="20" t="s">
        <v>50</v>
      </c>
    </row>
    <row r="9" spans="1:13" x14ac:dyDescent="0.2">
      <c r="A9" s="14">
        <v>21.4</v>
      </c>
      <c r="B9" s="14">
        <v>43.4</v>
      </c>
      <c r="C9" s="15"/>
      <c r="D9" s="14">
        <v>940</v>
      </c>
      <c r="E9" s="14">
        <v>5674</v>
      </c>
      <c r="F9" s="14">
        <f>10*16+4</f>
        <v>164</v>
      </c>
      <c r="H9" s="14"/>
      <c r="I9" s="14">
        <v>41.6</v>
      </c>
      <c r="J9" s="15"/>
      <c r="K9" s="14">
        <v>890</v>
      </c>
      <c r="L9" s="14">
        <v>5562</v>
      </c>
      <c r="M9" s="14">
        <v>9.1999999999999993</v>
      </c>
    </row>
    <row r="10" spans="1:13" x14ac:dyDescent="0.2">
      <c r="A10" s="14">
        <v>21.98</v>
      </c>
      <c r="B10" s="14">
        <v>30.6</v>
      </c>
      <c r="C10" s="15"/>
      <c r="D10" s="14">
        <v>665</v>
      </c>
      <c r="E10" s="14">
        <v>5060</v>
      </c>
      <c r="F10" s="14">
        <f>8*16+5</f>
        <v>133</v>
      </c>
      <c r="H10" s="14">
        <v>21.75</v>
      </c>
      <c r="I10" s="14">
        <v>29.5</v>
      </c>
      <c r="J10" s="15"/>
      <c r="K10" s="14">
        <v>640</v>
      </c>
      <c r="L10" s="14">
        <v>4980</v>
      </c>
      <c r="M10" s="14"/>
    </row>
    <row r="11" spans="1:13" x14ac:dyDescent="0.2">
      <c r="A11" s="14">
        <v>22.38</v>
      </c>
      <c r="B11" s="14">
        <v>20.9</v>
      </c>
      <c r="C11" s="15"/>
      <c r="D11" s="14">
        <v>464</v>
      </c>
      <c r="E11" s="14">
        <v>4490</v>
      </c>
      <c r="F11" s="14">
        <f>6*16+7</f>
        <v>103</v>
      </c>
      <c r="H11" s="14">
        <v>22.14</v>
      </c>
      <c r="I11" s="14">
        <v>21.09</v>
      </c>
      <c r="J11" s="15"/>
      <c r="K11" s="14">
        <v>472</v>
      </c>
      <c r="L11" s="14">
        <v>4485</v>
      </c>
      <c r="M11" s="14">
        <v>6</v>
      </c>
    </row>
    <row r="12" spans="1:13" x14ac:dyDescent="0.2">
      <c r="A12" s="14">
        <v>22.5</v>
      </c>
      <c r="B12" s="14">
        <v>15.1</v>
      </c>
      <c r="C12" s="15"/>
      <c r="D12" s="14">
        <v>337</v>
      </c>
      <c r="E12" s="14">
        <v>4020</v>
      </c>
      <c r="F12" s="14">
        <f>5*16</f>
        <v>80</v>
      </c>
      <c r="H12" s="14">
        <v>22.2</v>
      </c>
      <c r="I12" s="14">
        <v>15.59</v>
      </c>
      <c r="J12" s="15"/>
      <c r="K12" s="14">
        <v>350</v>
      </c>
      <c r="L12" s="14">
        <v>4060</v>
      </c>
      <c r="M12" s="14">
        <v>4.9000000000000004</v>
      </c>
    </row>
    <row r="13" spans="1:13" x14ac:dyDescent="0.2">
      <c r="H13" s="14">
        <v>22.5</v>
      </c>
      <c r="I13" s="14">
        <v>10.199999999999999</v>
      </c>
      <c r="J13" s="14"/>
      <c r="K13" s="14">
        <v>231</v>
      </c>
      <c r="L13" s="14">
        <v>3497</v>
      </c>
      <c r="M13" s="14">
        <v>3.6</v>
      </c>
    </row>
    <row r="24" spans="8:8" x14ac:dyDescent="0.2">
      <c r="H24" s="13" t="s">
        <v>53</v>
      </c>
    </row>
  </sheetData>
  <mergeCells count="2">
    <mergeCell ref="A1:C1"/>
    <mergeCell ref="H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F6" sqref="F6"/>
    </sheetView>
  </sheetViews>
  <sheetFormatPr defaultRowHeight="12" x14ac:dyDescent="0.2"/>
  <cols>
    <col min="1" max="1" width="12.5703125" style="13" bestFit="1" customWidth="1"/>
    <col min="2" max="2" width="11.42578125" style="13" customWidth="1"/>
    <col min="3" max="3" width="13.5703125" style="13" bestFit="1" customWidth="1"/>
    <col min="4" max="4" width="14.85546875" style="13" bestFit="1" customWidth="1"/>
    <col min="5" max="7" width="9.140625" style="13"/>
    <col min="8" max="8" width="11" style="13" bestFit="1" customWidth="1"/>
    <col min="9" max="9" width="20.7109375" style="13" bestFit="1" customWidth="1"/>
    <col min="10" max="10" width="12.85546875" style="13" bestFit="1" customWidth="1"/>
    <col min="11" max="11" width="14.140625" style="13" bestFit="1" customWidth="1"/>
    <col min="12" max="12" width="9.140625" style="13"/>
    <col min="13" max="13" width="8" style="13" bestFit="1" customWidth="1"/>
    <col min="14" max="16384" width="9.140625" style="13"/>
  </cols>
  <sheetData>
    <row r="1" spans="1:13" x14ac:dyDescent="0.2">
      <c r="A1" s="24" t="s">
        <v>15</v>
      </c>
      <c r="B1" s="24"/>
      <c r="C1" s="24"/>
      <c r="H1" s="24" t="s">
        <v>15</v>
      </c>
      <c r="I1" s="24"/>
      <c r="J1" s="24"/>
    </row>
    <row r="2" spans="1:13" x14ac:dyDescent="0.2">
      <c r="A2" s="2" t="s">
        <v>1</v>
      </c>
      <c r="B2" s="5">
        <v>41967</v>
      </c>
      <c r="C2" s="6"/>
      <c r="H2" s="2" t="s">
        <v>1</v>
      </c>
      <c r="I2" s="5">
        <v>41967</v>
      </c>
      <c r="J2" s="6"/>
    </row>
    <row r="3" spans="1:13" x14ac:dyDescent="0.2">
      <c r="A3" s="3" t="s">
        <v>0</v>
      </c>
      <c r="B3" s="7" t="s">
        <v>51</v>
      </c>
      <c r="C3" s="8"/>
      <c r="H3" s="3" t="s">
        <v>0</v>
      </c>
      <c r="I3" s="7" t="s">
        <v>51</v>
      </c>
      <c r="J3" s="8"/>
    </row>
    <row r="4" spans="1:13" x14ac:dyDescent="0.2">
      <c r="A4" s="3" t="s">
        <v>2</v>
      </c>
      <c r="B4" s="7" t="s">
        <v>47</v>
      </c>
      <c r="C4" s="8"/>
      <c r="H4" s="3" t="s">
        <v>2</v>
      </c>
      <c r="I4" s="7" t="s">
        <v>47</v>
      </c>
      <c r="J4" s="8"/>
    </row>
    <row r="5" spans="1:13" x14ac:dyDescent="0.2">
      <c r="A5" s="3" t="s">
        <v>3</v>
      </c>
      <c r="B5" s="7" t="s">
        <v>42</v>
      </c>
      <c r="C5" s="8"/>
      <c r="H5" s="3" t="s">
        <v>3</v>
      </c>
      <c r="I5" s="7" t="s">
        <v>42</v>
      </c>
      <c r="J5" s="8"/>
    </row>
    <row r="6" spans="1:13" x14ac:dyDescent="0.2">
      <c r="A6" s="3" t="s">
        <v>4</v>
      </c>
      <c r="B6" s="7" t="s">
        <v>48</v>
      </c>
      <c r="C6" s="8"/>
      <c r="H6" s="3" t="s">
        <v>4</v>
      </c>
      <c r="I6" s="7" t="s">
        <v>48</v>
      </c>
      <c r="J6" s="8"/>
    </row>
    <row r="7" spans="1:13" x14ac:dyDescent="0.2">
      <c r="A7" s="3" t="s">
        <v>16</v>
      </c>
      <c r="B7" s="7" t="s">
        <v>38</v>
      </c>
      <c r="C7" s="8"/>
      <c r="H7" s="3" t="s">
        <v>16</v>
      </c>
      <c r="I7" s="7" t="s">
        <v>38</v>
      </c>
      <c r="J7" s="8"/>
    </row>
    <row r="8" spans="1:13" x14ac:dyDescent="0.2">
      <c r="A8" s="20" t="s">
        <v>12</v>
      </c>
      <c r="B8" s="20" t="s">
        <v>11</v>
      </c>
      <c r="C8" s="20" t="s">
        <v>14</v>
      </c>
      <c r="D8" s="20" t="s">
        <v>13</v>
      </c>
      <c r="E8" s="20" t="s">
        <v>9</v>
      </c>
      <c r="F8" s="20" t="s">
        <v>10</v>
      </c>
      <c r="H8" s="20" t="s">
        <v>12</v>
      </c>
      <c r="I8" s="20" t="s">
        <v>11</v>
      </c>
      <c r="J8" s="20" t="s">
        <v>14</v>
      </c>
      <c r="K8" s="20" t="s">
        <v>13</v>
      </c>
      <c r="L8" s="20" t="s">
        <v>9</v>
      </c>
      <c r="M8" s="20" t="s">
        <v>50</v>
      </c>
    </row>
    <row r="9" spans="1:13" x14ac:dyDescent="0.2">
      <c r="A9" s="14">
        <v>21.5</v>
      </c>
      <c r="B9" s="14">
        <v>45</v>
      </c>
      <c r="C9" s="15"/>
      <c r="D9" s="14">
        <v>1000</v>
      </c>
      <c r="E9" s="14">
        <v>5800</v>
      </c>
      <c r="F9" s="14">
        <f>10*16+13</f>
        <v>173</v>
      </c>
      <c r="H9" s="14">
        <v>21.4</v>
      </c>
      <c r="I9" s="14">
        <v>44.5</v>
      </c>
      <c r="J9" s="15">
        <f>I9*H9</f>
        <v>952.3</v>
      </c>
      <c r="K9" s="14">
        <v>950</v>
      </c>
      <c r="L9" s="14">
        <v>5670</v>
      </c>
      <c r="M9" s="14">
        <v>10.1</v>
      </c>
    </row>
    <row r="10" spans="1:13" x14ac:dyDescent="0.2">
      <c r="A10" s="14">
        <v>21.6</v>
      </c>
      <c r="B10" s="14">
        <v>43.8</v>
      </c>
      <c r="C10" s="15"/>
      <c r="D10" s="14">
        <v>950</v>
      </c>
      <c r="E10" s="14">
        <v>5700</v>
      </c>
      <c r="F10" s="14">
        <f>10*16+8</f>
        <v>168</v>
      </c>
      <c r="H10" s="14">
        <v>22.1</v>
      </c>
      <c r="I10" s="14">
        <v>30</v>
      </c>
      <c r="J10" s="15">
        <f t="shared" ref="J10:J12" si="0">I10*H10</f>
        <v>663</v>
      </c>
      <c r="K10" s="14">
        <v>657</v>
      </c>
      <c r="L10" s="14">
        <v>4984</v>
      </c>
      <c r="M10" s="14">
        <v>7.7</v>
      </c>
    </row>
    <row r="11" spans="1:13" x14ac:dyDescent="0.2">
      <c r="A11" s="14">
        <v>22.05</v>
      </c>
      <c r="B11" s="14">
        <v>30.9</v>
      </c>
      <c r="C11" s="15"/>
      <c r="D11" s="14">
        <v>689</v>
      </c>
      <c r="E11" s="14">
        <v>5050</v>
      </c>
      <c r="F11" s="14">
        <f>8*16+9</f>
        <v>137</v>
      </c>
      <c r="H11" s="14">
        <v>22.46</v>
      </c>
      <c r="I11" s="14">
        <v>20.8</v>
      </c>
      <c r="J11" s="15">
        <f t="shared" si="0"/>
        <v>467.16800000000001</v>
      </c>
      <c r="K11" s="14">
        <v>464</v>
      </c>
      <c r="L11" s="14">
        <v>4450</v>
      </c>
      <c r="M11" s="14">
        <v>6.1</v>
      </c>
    </row>
    <row r="12" spans="1:13" x14ac:dyDescent="0.2">
      <c r="A12" s="14">
        <v>22.3</v>
      </c>
      <c r="B12" s="14">
        <v>21.6</v>
      </c>
      <c r="C12" s="15"/>
      <c r="D12" s="14">
        <v>480</v>
      </c>
      <c r="E12" s="14">
        <v>4590</v>
      </c>
      <c r="F12" s="14">
        <f>6*16+9</f>
        <v>105</v>
      </c>
      <c r="H12" s="14">
        <v>22.7</v>
      </c>
      <c r="I12" s="14">
        <v>14.7</v>
      </c>
      <c r="J12" s="15">
        <f t="shared" si="0"/>
        <v>333.69</v>
      </c>
      <c r="K12" s="14">
        <v>330</v>
      </c>
      <c r="L12" s="14">
        <v>3950</v>
      </c>
      <c r="M12" s="14">
        <v>4.8</v>
      </c>
    </row>
    <row r="13" spans="1:13" x14ac:dyDescent="0.2">
      <c r="A13" s="14">
        <v>22.5</v>
      </c>
      <c r="B13" s="14">
        <v>14.5</v>
      </c>
      <c r="C13" s="15"/>
      <c r="D13" s="14">
        <v>330</v>
      </c>
      <c r="E13" s="14">
        <v>3960</v>
      </c>
      <c r="F13" s="14">
        <f>5*16</f>
        <v>80</v>
      </c>
    </row>
  </sheetData>
  <mergeCells count="2">
    <mergeCell ref="A1:C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APC 16x8E</vt:lpstr>
      <vt:lpstr>APC 17x7E</vt:lpstr>
      <vt:lpstr>APC 17x10E</vt:lpstr>
      <vt:lpstr>APC 18x8E</vt:lpstr>
      <vt:lpstr>XOAR 18x8</vt:lpstr>
      <vt:lpstr>APC 18x10E</vt:lpstr>
      <vt:lpstr>APC 18x10E_mod</vt:lpstr>
      <vt:lpstr>APC 18.25x10E</vt:lpstr>
      <vt:lpstr>APC 18.5x10E</vt:lpstr>
      <vt:lpstr>APC 18.75x10E</vt:lpstr>
      <vt:lpstr>APC 19x8E</vt:lpstr>
      <vt:lpstr>APC 19x10E</vt:lpstr>
      <vt:lpstr>APC 19x10E_A</vt:lpstr>
      <vt:lpstr>APC 19x10E_B</vt:lpstr>
      <vt:lpstr>APC 20x8E</vt:lpstr>
      <vt:lpstr>XOAR 22x6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Wyborski</dc:creator>
  <cp:lastModifiedBy>Matt Wyborski</cp:lastModifiedBy>
  <dcterms:created xsi:type="dcterms:W3CDTF">2014-09-26T17:52:43Z</dcterms:created>
  <dcterms:modified xsi:type="dcterms:W3CDTF">2015-01-15T21:53:58Z</dcterms:modified>
</cp:coreProperties>
</file>