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12"/>
  <workbookPr/>
  <xr:revisionPtr revIDLastSave="0" documentId="11_003F036766FF6E38C42F8D58D9F4DD4E9062C433" xr6:coauthVersionLast="47" xr6:coauthVersionMax="47" xr10:uidLastSave="{00000000-0000-0000-0000-000000000000}"/>
  <bookViews>
    <workbookView xWindow="0" yWindow="0" windowWidth="28260" windowHeight="127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6" i="1" l="1"/>
  <c r="Y36" i="1"/>
  <c r="X36" i="1"/>
  <c r="W36" i="1"/>
  <c r="V36" i="1"/>
  <c r="F36" i="1"/>
  <c r="E36" i="1"/>
  <c r="D36" i="1"/>
  <c r="C36" i="1"/>
  <c r="B36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1" i="1"/>
  <c r="Y31" i="1"/>
  <c r="X31" i="1"/>
  <c r="W31" i="1"/>
  <c r="V31" i="1"/>
  <c r="U31" i="1"/>
  <c r="T31" i="1"/>
  <c r="Z29" i="1"/>
  <c r="Y29" i="1"/>
  <c r="X29" i="1"/>
  <c r="W29" i="1"/>
  <c r="V29" i="1"/>
  <c r="Z27" i="1"/>
  <c r="Y27" i="1"/>
  <c r="X27" i="1"/>
  <c r="W27" i="1"/>
  <c r="V27" i="1"/>
  <c r="T27" i="1"/>
  <c r="Z25" i="1"/>
  <c r="Y25" i="1"/>
  <c r="X25" i="1"/>
  <c r="W25" i="1"/>
  <c r="V25" i="1"/>
  <c r="U25" i="1"/>
  <c r="T25" i="1"/>
  <c r="Z23" i="1"/>
  <c r="Y23" i="1"/>
  <c r="X23" i="1"/>
  <c r="W23" i="1"/>
  <c r="V23" i="1"/>
  <c r="U23" i="1"/>
  <c r="T23" i="1"/>
  <c r="Z22" i="1"/>
  <c r="Y22" i="1"/>
  <c r="X22" i="1"/>
  <c r="W22" i="1"/>
  <c r="V22" i="1"/>
  <c r="U22" i="1"/>
  <c r="T22" i="1"/>
  <c r="Z21" i="1"/>
  <c r="Y21" i="1"/>
  <c r="X21" i="1"/>
  <c r="W21" i="1"/>
  <c r="V21" i="1"/>
  <c r="U21" i="1"/>
  <c r="T21" i="1"/>
  <c r="Z20" i="1"/>
  <c r="Y20" i="1"/>
  <c r="X20" i="1"/>
  <c r="W20" i="1"/>
  <c r="V20" i="1"/>
  <c r="T20" i="1"/>
  <c r="Z19" i="1"/>
  <c r="Y19" i="1"/>
  <c r="X19" i="1"/>
  <c r="W19" i="1"/>
  <c r="V19" i="1"/>
  <c r="U19" i="1"/>
  <c r="T19" i="1"/>
  <c r="Z18" i="1"/>
  <c r="Y18" i="1"/>
  <c r="X18" i="1"/>
  <c r="W18" i="1"/>
  <c r="V18" i="1"/>
  <c r="U18" i="1"/>
  <c r="T18" i="1"/>
  <c r="Z17" i="1"/>
  <c r="Y17" i="1"/>
  <c r="X17" i="1"/>
  <c r="W17" i="1"/>
  <c r="V17" i="1"/>
  <c r="U17" i="1"/>
  <c r="T17" i="1"/>
  <c r="Z16" i="1"/>
  <c r="Y16" i="1"/>
  <c r="X16" i="1"/>
  <c r="W16" i="1"/>
  <c r="V16" i="1"/>
  <c r="U16" i="1"/>
  <c r="T16" i="1"/>
  <c r="Z13" i="1"/>
  <c r="Y13" i="1"/>
  <c r="U13" i="1"/>
  <c r="T13" i="1"/>
  <c r="Z12" i="1"/>
  <c r="Y12" i="1"/>
  <c r="X12" i="1"/>
  <c r="W12" i="1"/>
  <c r="V12" i="1"/>
  <c r="U12" i="1"/>
  <c r="T12" i="1"/>
  <c r="Z11" i="1"/>
  <c r="Y11" i="1"/>
  <c r="X11" i="1"/>
  <c r="W11" i="1"/>
  <c r="V11" i="1"/>
  <c r="U11" i="1"/>
  <c r="T11" i="1"/>
  <c r="Z10" i="1"/>
  <c r="Y10" i="1"/>
  <c r="X10" i="1"/>
  <c r="W10" i="1"/>
  <c r="V10" i="1"/>
  <c r="U10" i="1"/>
  <c r="T10" i="1"/>
  <c r="Z9" i="1"/>
  <c r="Y9" i="1"/>
  <c r="X9" i="1"/>
  <c r="W9" i="1"/>
  <c r="V9" i="1"/>
  <c r="U9" i="1"/>
  <c r="T9" i="1"/>
  <c r="Z8" i="1"/>
  <c r="Y8" i="1"/>
  <c r="X8" i="1"/>
  <c r="W8" i="1"/>
  <c r="V8" i="1"/>
  <c r="U8" i="1"/>
  <c r="T8" i="1"/>
  <c r="Z7" i="1"/>
  <c r="Y7" i="1"/>
  <c r="X7" i="1"/>
  <c r="W7" i="1"/>
  <c r="V7" i="1"/>
  <c r="U7" i="1"/>
  <c r="T7" i="1"/>
  <c r="Z6" i="1"/>
  <c r="Y6" i="1"/>
  <c r="X6" i="1"/>
  <c r="W6" i="1"/>
  <c r="V6" i="1"/>
  <c r="U6" i="1"/>
  <c r="T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ANTONIADES PETER</author>
  </authors>
  <commentList>
    <comment ref="N17" authorId="0" shapeId="0" xr:uid="{00000000-0006-0000-0000-000001000000}">
      <text>
        <r>
          <rPr>
            <sz val="9"/>
            <rFont val="Tahoma"/>
            <charset val="134"/>
          </rPr>
          <t xml:space="preserve">Includes £93k restricted funds, 'Invest to Save'
</t>
        </r>
      </text>
    </comment>
    <comment ref="N23" authorId="0" shapeId="0" xr:uid="{00000000-0006-0000-0000-000002000000}">
      <text>
        <r>
          <rPr>
            <sz val="9"/>
            <rFont val="Tahoma"/>
            <charset val="134"/>
          </rPr>
          <t>The revenue GIA figure is the figure in English Heritage's allocation letter, and ties to the PEOWPS / RAB figures.</t>
        </r>
      </text>
    </comment>
  </commentList>
</comments>
</file>

<file path=xl/sharedStrings.xml><?xml version="1.0" encoding="utf-8"?>
<sst xmlns="http://schemas.openxmlformats.org/spreadsheetml/2006/main" count="145" uniqueCount="76">
  <si>
    <t>Total amount of charitable giving to DCMS-funded cultural institutions, and as a ratio to DCMS grant-in-aid received.</t>
  </si>
  <si>
    <t xml:space="preserve"> </t>
  </si>
  <si>
    <r>
      <rPr>
        <b/>
        <sz val="11"/>
        <color theme="1"/>
        <rFont val="宋体"/>
        <charset val="134"/>
        <scheme val="minor"/>
      </rPr>
      <t>Total Fundraising/Contributed Income</t>
    </r>
    <r>
      <rPr>
        <b/>
        <vertAlign val="superscript"/>
        <sz val="11"/>
        <color indexed="8"/>
        <rFont val="Calibri"/>
        <charset val="134"/>
      </rPr>
      <t>27</t>
    </r>
  </si>
  <si>
    <t>of which donated objects</t>
  </si>
  <si>
    <r>
      <rPr>
        <b/>
        <sz val="11"/>
        <color theme="1"/>
        <rFont val="宋体"/>
        <charset val="134"/>
        <scheme val="minor"/>
      </rPr>
      <t>Total DCMS Grant-in-Aid</t>
    </r>
    <r>
      <rPr>
        <b/>
        <vertAlign val="superscript"/>
        <sz val="11"/>
        <color indexed="8"/>
        <rFont val="Calibri"/>
        <charset val="134"/>
      </rPr>
      <t>28</t>
    </r>
  </si>
  <si>
    <t>Total Income</t>
  </si>
  <si>
    <t>Percent of Fundraising to Grant-in-Aid</t>
  </si>
  <si>
    <t>£(000)</t>
  </si>
  <si>
    <t>2008/09</t>
  </si>
  <si>
    <t>2009/10</t>
  </si>
  <si>
    <t>2010/11</t>
  </si>
  <si>
    <t>2011/12</t>
  </si>
  <si>
    <t>2012/13</t>
  </si>
  <si>
    <t>British Museum</t>
  </si>
  <si>
    <r>
      <rPr>
        <sz val="12"/>
        <color theme="8" tint="-0.499984740745262"/>
        <rFont val="宋体"/>
        <charset val="134"/>
        <scheme val="minor"/>
      </rPr>
      <t>Geffrye Museum</t>
    </r>
    <r>
      <rPr>
        <vertAlign val="superscript"/>
        <sz val="12"/>
        <color indexed="21"/>
        <rFont val="Calibri"/>
        <charset val="134"/>
      </rPr>
      <t>1</t>
    </r>
  </si>
  <si>
    <t>Horniman Museum</t>
  </si>
  <si>
    <r>
      <rPr>
        <sz val="12"/>
        <color theme="8" tint="-0.499984740745262"/>
        <rFont val="宋体"/>
        <charset val="134"/>
        <scheme val="minor"/>
      </rPr>
      <t xml:space="preserve">Imperial War Museum </t>
    </r>
    <r>
      <rPr>
        <vertAlign val="superscript"/>
        <sz val="12"/>
        <color indexed="21"/>
        <rFont val="Calibri"/>
        <charset val="134"/>
      </rPr>
      <t>2 3 4</t>
    </r>
  </si>
  <si>
    <r>
      <rPr>
        <sz val="12"/>
        <color theme="8" tint="-0.499984740745262"/>
        <rFont val="宋体"/>
        <charset val="134"/>
        <scheme val="minor"/>
      </rPr>
      <t xml:space="preserve">National Gallery </t>
    </r>
    <r>
      <rPr>
        <vertAlign val="superscript"/>
        <sz val="12"/>
        <color indexed="21"/>
        <rFont val="Calibri"/>
        <charset val="134"/>
      </rPr>
      <t>5 6 7</t>
    </r>
  </si>
  <si>
    <r>
      <rPr>
        <sz val="12"/>
        <color theme="8" tint="-0.499984740745262"/>
        <rFont val="宋体"/>
        <charset val="134"/>
        <scheme val="minor"/>
      </rPr>
      <t>National Maritime Museum</t>
    </r>
    <r>
      <rPr>
        <vertAlign val="superscript"/>
        <sz val="12"/>
        <color indexed="21"/>
        <rFont val="Calibri"/>
        <charset val="134"/>
      </rPr>
      <t xml:space="preserve"> 8 9</t>
    </r>
  </si>
  <si>
    <r>
      <rPr>
        <sz val="12"/>
        <color theme="8" tint="-0.499984740745262"/>
        <rFont val="宋体"/>
        <charset val="134"/>
        <scheme val="minor"/>
      </rPr>
      <t xml:space="preserve">National Museums Liverpool </t>
    </r>
    <r>
      <rPr>
        <vertAlign val="superscript"/>
        <sz val="12"/>
        <color indexed="21"/>
        <rFont val="Calibri"/>
        <charset val="134"/>
      </rPr>
      <t>10</t>
    </r>
  </si>
  <si>
    <r>
      <rPr>
        <sz val="12"/>
        <color theme="8" tint="-0.499984740745262"/>
        <rFont val="宋体"/>
        <charset val="134"/>
        <scheme val="minor"/>
      </rPr>
      <t xml:space="preserve">Science Museum Group </t>
    </r>
    <r>
      <rPr>
        <vertAlign val="superscript"/>
        <sz val="12"/>
        <color indexed="21"/>
        <rFont val="Calibri"/>
        <charset val="134"/>
      </rPr>
      <t>11</t>
    </r>
  </si>
  <si>
    <t>-</t>
  </si>
  <si>
    <t>&gt;&gt;&gt; National Museum of Science and Industry</t>
  </si>
  <si>
    <r>
      <rPr>
        <sz val="12"/>
        <color theme="8" tint="-0.499984740745262"/>
        <rFont val="宋体"/>
        <charset val="134"/>
        <scheme val="minor"/>
      </rPr>
      <t xml:space="preserve">&gt;&gt;&gt; Museum of Science and Industry Manchester </t>
    </r>
    <r>
      <rPr>
        <vertAlign val="superscript"/>
        <sz val="12"/>
        <color indexed="21"/>
        <rFont val="Calibri"/>
        <charset val="134"/>
      </rPr>
      <t>12</t>
    </r>
  </si>
  <si>
    <t>N/A</t>
  </si>
  <si>
    <t>National Portrait Gallery</t>
  </si>
  <si>
    <t>Natural History Museum</t>
  </si>
  <si>
    <t>Royal Armouries</t>
  </si>
  <si>
    <t>Sir John Soane's Museum</t>
  </si>
  <si>
    <r>
      <rPr>
        <sz val="12"/>
        <color theme="8" tint="-0.499984740745262"/>
        <rFont val="宋体"/>
        <charset val="134"/>
        <scheme val="minor"/>
      </rPr>
      <t>Tate Gallery</t>
    </r>
    <r>
      <rPr>
        <vertAlign val="superscript"/>
        <sz val="12"/>
        <color indexed="21"/>
        <rFont val="Calibri"/>
        <charset val="134"/>
      </rPr>
      <t>13 14</t>
    </r>
  </si>
  <si>
    <r>
      <rPr>
        <sz val="12"/>
        <color theme="8" tint="-0.499984740745262"/>
        <rFont val="宋体"/>
        <charset val="134"/>
        <scheme val="minor"/>
      </rPr>
      <t>Victoria and Albert Museum</t>
    </r>
    <r>
      <rPr>
        <vertAlign val="superscript"/>
        <sz val="12"/>
        <color indexed="21"/>
        <rFont val="Calibri"/>
        <charset val="134"/>
      </rPr>
      <t xml:space="preserve"> </t>
    </r>
  </si>
  <si>
    <t>Wallace Collection</t>
  </si>
  <si>
    <r>
      <rPr>
        <sz val="12"/>
        <color theme="8" tint="-0.499984740745262"/>
        <rFont val="宋体"/>
        <charset val="134"/>
        <scheme val="minor"/>
      </rPr>
      <t>English Heritage</t>
    </r>
    <r>
      <rPr>
        <vertAlign val="superscript"/>
        <sz val="12"/>
        <color indexed="21"/>
        <rFont val="Calibri"/>
        <charset val="134"/>
      </rPr>
      <t xml:space="preserve"> 15 16 17 18</t>
    </r>
  </si>
  <si>
    <r>
      <rPr>
        <sz val="12"/>
        <color theme="8" tint="-0.499984740745262"/>
        <rFont val="宋体"/>
        <charset val="134"/>
        <scheme val="minor"/>
      </rPr>
      <t xml:space="preserve">British Library </t>
    </r>
    <r>
      <rPr>
        <vertAlign val="superscript"/>
        <sz val="12"/>
        <color indexed="21"/>
        <rFont val="Calibri"/>
        <charset val="134"/>
      </rPr>
      <t>19 20</t>
    </r>
  </si>
  <si>
    <r>
      <rPr>
        <sz val="12"/>
        <color theme="8" tint="-0.499984740745262"/>
        <rFont val="宋体"/>
        <charset val="134"/>
        <scheme val="minor"/>
      </rPr>
      <t xml:space="preserve">Arts Council England Regularly Funded Organisations </t>
    </r>
    <r>
      <rPr>
        <vertAlign val="superscript"/>
        <sz val="12"/>
        <color indexed="21"/>
        <rFont val="Calibri"/>
        <charset val="134"/>
      </rPr>
      <t>21 22</t>
    </r>
  </si>
  <si>
    <r>
      <rPr>
        <sz val="12"/>
        <color theme="8" tint="-0.499984740745262"/>
        <rFont val="宋体"/>
        <charset val="134"/>
        <scheme val="minor"/>
      </rPr>
      <t xml:space="preserve">Arts Council England </t>
    </r>
    <r>
      <rPr>
        <vertAlign val="superscript"/>
        <sz val="12"/>
        <color indexed="21"/>
        <rFont val="Calibri"/>
        <charset val="134"/>
      </rPr>
      <t>23 24</t>
    </r>
  </si>
  <si>
    <r>
      <rPr>
        <sz val="12"/>
        <color theme="8" tint="-0.499984740745262"/>
        <rFont val="宋体"/>
        <charset val="134"/>
        <scheme val="minor"/>
      </rPr>
      <t xml:space="preserve">British Film Institute </t>
    </r>
    <r>
      <rPr>
        <vertAlign val="superscript"/>
        <sz val="12"/>
        <color indexed="21"/>
        <rFont val="Calibri"/>
        <charset val="134"/>
      </rPr>
      <t>25 26</t>
    </r>
  </si>
  <si>
    <t>Grand Total</t>
  </si>
  <si>
    <t>Grand Total (Excluding donated objects)</t>
  </si>
  <si>
    <t>Notes</t>
  </si>
  <si>
    <t>Sources</t>
  </si>
  <si>
    <t>1 Donated objects were immaterial for the Geffrye Museum in 2008/09, 2009/10 and 2010/11.</t>
  </si>
  <si>
    <t>Museum Annual Statutory Accounts</t>
  </si>
  <si>
    <t>2 The increase in contributed income between 2008/09 and 2009/10 reflects the impact of a major philanthropic donation of £5m from Lord Ashcroft, KCMG.</t>
  </si>
  <si>
    <t>English Heritage Annual Report and Accounts</t>
  </si>
  <si>
    <t>3 The Museum has launched a major capital campaign to support the redevelopment of its flagship branch, IWM London, and this will seek to build levels of philanthropic support during 2011/12 and beyond.</t>
  </si>
  <si>
    <t>British Library Annual Report and Accounts</t>
  </si>
  <si>
    <t xml:space="preserve">4 Fundrasing income was reduced in 2011-12 reflecting the masterplan, in particular the Transforming IWM London project, which focuses on funding and cashflow in 2012/13 and 2013/14 </t>
  </si>
  <si>
    <t xml:space="preserve">DCMS Annual Report and Accounts </t>
  </si>
  <si>
    <t>5 The National Gallery Fundraising total includes sponsorship, although this is recorded as trading income in their statutory accounts.</t>
  </si>
  <si>
    <t xml:space="preserve">Submission from funded bodies </t>
  </si>
  <si>
    <t>6 The National Gallery does not have a membership scheme for individuals, but their fundraising total does include income from their corporate membership scheme.</t>
  </si>
  <si>
    <t>7 The National Gallery acquired the Titian's Diana &amp; Callisto in 2011/12 resulting in a gift-in-kind of £68,500k</t>
  </si>
  <si>
    <t>8 National Maritime Museum contributed income includes £14,577k from the Sammy Ofer Foundation used to fund the development of the Sammy Ofer Wing (opened July 2011).</t>
  </si>
  <si>
    <t>9 National Maritime Museum Grant-in-Aid and Total Income excludes funding of £249k for National Historic Ships Committee. (*Revision. Total income now excludes £257k from NHSC in 2008/09 and 2009/10).</t>
  </si>
  <si>
    <t xml:space="preserve">10 National Museums Liverpool assumes that ERDF is a public body </t>
  </si>
  <si>
    <t>11 National Museum of Sciene and Industry has changed its name to Science Museum Group. Museum of Science &amp; Industry in Manchester became part of Science Museum Group on 1 February 2012.</t>
  </si>
  <si>
    <t>12 The MOSI collection is considered to be inalienable, no past valuation is attempted whether for purchased or donated objects and no amount is included for collections acquired.</t>
  </si>
  <si>
    <t xml:space="preserve">13 Grant in Aid received by Tate during 2009/10 amounted to £61,385,000, whereas only £53,954,000 has been recognised in Tate’s accounts. National Galleries of Scotland </t>
  </si>
  <si>
    <t>benefited to the amount of £6,480,000 as the total consideration paid for ARTIST ROOMS resulted in a 50% share being owned by both Tate and National Galleries of Scotland.</t>
  </si>
  <si>
    <t>14 In 2012/13, Tate received, from the Eric and Louise Franck collection, its largest ever donation of photography. Also in 2012/13, Tate received a major donation of twentieth century British art from Ian and Mercedes Stoutzker.</t>
  </si>
  <si>
    <t>15 EU funding has been excluded for English Heritage, and no grants from connected charities have been included either.</t>
  </si>
  <si>
    <t>16  English Heritage other non-government non-capital grants are included within "Contributed Income" total.</t>
  </si>
  <si>
    <t>17 The 2009/10 figure for English Heritage DCMS Grant in Aid included nil (2009: £500,000), for relocation costs deriving from the surrender of the lease on the previous London Headquarters building.</t>
  </si>
  <si>
    <t>18 English Hertiage 2011/12 GIA includes £1m carried forward from 10/11, £5m restructuring funding and £0.5m additional funding</t>
  </si>
  <si>
    <t xml:space="preserve">19 Significant increase in donations for the British Library a result of the successful and short-term campaign to safeguard the St. Cuthbert Gospel. </t>
  </si>
  <si>
    <t xml:space="preserve">20 Creation of an Independent Trust assist the British Library's activities </t>
  </si>
  <si>
    <t>21 The RFO Annual Submission figures are from the full samples in 2008/09, 2009/10, 2010/11 and 2011/12. Any changes between years could be as a result of changes to the number of RFOs or the number of RFOs reporting their figures.</t>
  </si>
  <si>
    <t>22 Regularly Funded Organisations do not easily identify donations which were donated objects, but these have been included within their total fundraising amount.</t>
  </si>
  <si>
    <t>23 Arts Council England statutory account record donated objects as a movement on the donated asset reserve.</t>
  </si>
  <si>
    <t>24 Arts Council England's GiA includes £1m consolidation adjustment for ARTCO (a 100% owned subsidiary of the Arts Council).</t>
  </si>
  <si>
    <t>25 The BFI attempts no past valuation for purchased or donated objects and no amount is included for donated memorabilia acquired in the balance sheet.</t>
  </si>
  <si>
    <t>26 2008/09 and 2009/10 fundraising totals have been revised to include freely-given donations and membership income.</t>
  </si>
  <si>
    <t>27 The definition for "Total Fundraising/Contributed Income" can be found in the technical annex in the report.</t>
  </si>
  <si>
    <t>28 The DCMS Grant-in-Aid figure is taken from the DCMS internal accounting system which reports the actual Grant-in-Aid sponsored bodies received.  This excludes other public funding.</t>
  </si>
  <si>
    <t>N/A =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</si>
</sst>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"/>
    <numFmt numFmtId="165" formatCode="#,##0.0000"/>
    <numFmt numFmtId="166" formatCode="#,##0.000"/>
    <numFmt numFmtId="167" formatCode="0.0%"/>
  </numFmts>
  <fonts count="16">
    <font>
      <sz val="11"/>
      <color theme="1"/>
      <name val="Arial"/>
      <charset val="134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8" tint="-0.499984740745262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u/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Calibri"/>
      <charset val="134"/>
    </font>
    <font>
      <sz val="10"/>
      <name val="Arial"/>
      <charset val="134"/>
    </font>
    <font>
      <vertAlign val="superscript"/>
      <sz val="12"/>
      <color indexed="21"/>
      <name val="Calibri"/>
      <charset val="134"/>
    </font>
    <font>
      <b/>
      <vertAlign val="superscript"/>
      <sz val="11"/>
      <color indexed="8"/>
      <name val="Calibri"/>
      <charset val="134"/>
    </font>
    <font>
      <sz val="9"/>
      <name val="Tahoma"/>
      <charset val="134"/>
    </font>
    <font>
      <sz val="11"/>
      <color theme="1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511703848384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5" fillId="0" borderId="0" applyFont="0" applyFill="0" applyBorder="0" applyAlignment="0" applyProtection="0"/>
    <xf numFmtId="0" fontId="10" fillId="0" borderId="0"/>
    <xf numFmtId="0" fontId="11" fillId="0" borderId="0"/>
  </cellStyleXfs>
  <cellXfs count="7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/>
    <xf numFmtId="0" fontId="3" fillId="0" borderId="3" xfId="0" applyFont="1" applyBorder="1"/>
    <xf numFmtId="0" fontId="3" fillId="0" borderId="2" xfId="0" applyFont="1" applyBorder="1"/>
    <xf numFmtId="0" fontId="5" fillId="2" borderId="0" xfId="0" applyFont="1" applyFill="1"/>
    <xf numFmtId="164" fontId="5" fillId="2" borderId="1" xfId="0" applyNumberFormat="1" applyFont="1" applyFill="1" applyBorder="1"/>
    <xf numFmtId="164" fontId="5" fillId="2" borderId="0" xfId="0" applyNumberFormat="1" applyFont="1" applyFill="1"/>
    <xf numFmtId="164" fontId="2" fillId="0" borderId="1" xfId="0" applyNumberFormat="1" applyFont="1" applyBorder="1"/>
    <xf numFmtId="164" fontId="2" fillId="0" borderId="0" xfId="0" applyNumberFormat="1" applyFont="1"/>
    <xf numFmtId="0" fontId="6" fillId="0" borderId="0" xfId="0" applyFont="1"/>
    <xf numFmtId="0" fontId="7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wrapText="1"/>
    </xf>
    <xf numFmtId="164" fontId="0" fillId="0" borderId="0" xfId="0" applyNumberFormat="1"/>
    <xf numFmtId="3" fontId="0" fillId="0" borderId="0" xfId="0" applyNumberFormat="1" applyAlignment="1">
      <alignment horizontal="center"/>
    </xf>
    <xf numFmtId="1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7" fontId="5" fillId="2" borderId="1" xfId="1" applyNumberFormat="1" applyFont="1" applyFill="1" applyBorder="1"/>
    <xf numFmtId="167" fontId="5" fillId="2" borderId="0" xfId="1" applyNumberFormat="1" applyFont="1" applyFill="1" applyBorder="1"/>
    <xf numFmtId="0" fontId="2" fillId="0" borderId="1" xfId="0" applyFont="1" applyBorder="1"/>
    <xf numFmtId="3" fontId="4" fillId="4" borderId="0" xfId="2" applyNumberFormat="1" applyFont="1" applyFill="1" applyAlignment="1">
      <alignment wrapText="1"/>
    </xf>
    <xf numFmtId="164" fontId="4" fillId="4" borderId="1" xfId="2" applyNumberFormat="1" applyFont="1" applyFill="1" applyBorder="1" applyAlignment="1">
      <alignment wrapText="1"/>
    </xf>
    <xf numFmtId="164" fontId="4" fillId="4" borderId="0" xfId="2" applyNumberFormat="1" applyFont="1" applyFill="1" applyAlignment="1">
      <alignment wrapText="1"/>
    </xf>
    <xf numFmtId="167" fontId="9" fillId="4" borderId="1" xfId="1" applyNumberFormat="1" applyFont="1" applyFill="1" applyBorder="1"/>
    <xf numFmtId="167" fontId="9" fillId="4" borderId="0" xfId="1" applyNumberFormat="1" applyFont="1" applyFill="1" applyBorder="1"/>
    <xf numFmtId="167" fontId="9" fillId="4" borderId="5" xfId="1" applyNumberFormat="1" applyFont="1" applyFill="1" applyBorder="1"/>
    <xf numFmtId="3" fontId="4" fillId="3" borderId="0" xfId="2" applyNumberFormat="1" applyFont="1" applyFill="1" applyAlignment="1">
      <alignment wrapText="1"/>
    </xf>
    <xf numFmtId="164" fontId="4" fillId="3" borderId="1" xfId="2" applyNumberFormat="1" applyFont="1" applyFill="1" applyBorder="1" applyAlignment="1">
      <alignment horizontal="right" wrapText="1"/>
    </xf>
    <xf numFmtId="164" fontId="4" fillId="3" borderId="0" xfId="2" applyNumberFormat="1" applyFont="1" applyFill="1" applyAlignment="1">
      <alignment horizontal="right" wrapText="1"/>
    </xf>
    <xf numFmtId="0" fontId="4" fillId="3" borderId="1" xfId="2" applyFont="1" applyFill="1" applyBorder="1" applyAlignment="1">
      <alignment horizontal="right" wrapText="1"/>
    </xf>
    <xf numFmtId="0" fontId="4" fillId="3" borderId="0" xfId="2" applyFont="1" applyFill="1" applyAlignment="1">
      <alignment horizontal="right" wrapText="1"/>
    </xf>
    <xf numFmtId="167" fontId="9" fillId="3" borderId="1" xfId="1" applyNumberFormat="1" applyFont="1" applyFill="1" applyBorder="1"/>
    <xf numFmtId="167" fontId="9" fillId="3" borderId="0" xfId="1" applyNumberFormat="1" applyFont="1" applyFill="1" applyBorder="1"/>
    <xf numFmtId="164" fontId="4" fillId="4" borderId="1" xfId="2" applyNumberFormat="1" applyFont="1" applyFill="1" applyBorder="1" applyAlignment="1">
      <alignment horizontal="right" wrapText="1"/>
    </xf>
    <xf numFmtId="164" fontId="4" fillId="4" borderId="0" xfId="2" applyNumberFormat="1" applyFont="1" applyFill="1" applyAlignment="1">
      <alignment horizontal="right" wrapText="1"/>
    </xf>
    <xf numFmtId="0" fontId="4" fillId="4" borderId="0" xfId="2" applyFont="1" applyFill="1" applyAlignment="1">
      <alignment horizontal="right" wrapText="1"/>
    </xf>
    <xf numFmtId="164" fontId="4" fillId="3" borderId="1" xfId="2" applyNumberFormat="1" applyFont="1" applyFill="1" applyBorder="1" applyAlignment="1">
      <alignment wrapText="1"/>
    </xf>
    <xf numFmtId="164" fontId="4" fillId="3" borderId="0" xfId="2" applyNumberFormat="1" applyFont="1" applyFill="1" applyAlignment="1">
      <alignment wrapText="1"/>
    </xf>
    <xf numFmtId="164" fontId="4" fillId="3" borderId="1" xfId="2" applyNumberFormat="1" applyFont="1" applyFill="1" applyBorder="1" applyAlignment="1">
      <alignment horizontal="center" vertical="center" wrapText="1"/>
    </xf>
    <xf numFmtId="164" fontId="4" fillId="3" borderId="0" xfId="2" applyNumberFormat="1" applyFont="1" applyFill="1" applyAlignment="1">
      <alignment horizontal="center" vertical="center" wrapText="1"/>
    </xf>
    <xf numFmtId="167" fontId="9" fillId="3" borderId="1" xfId="1" applyNumberFormat="1" applyFont="1" applyFill="1" applyBorder="1" applyAlignment="1">
      <alignment horizontal="center" vertical="center"/>
    </xf>
    <xf numFmtId="167" fontId="9" fillId="3" borderId="0" xfId="1" applyNumberFormat="1" applyFont="1" applyFill="1" applyBorder="1" applyAlignment="1">
      <alignment horizontal="center" vertical="center"/>
    </xf>
    <xf numFmtId="164" fontId="4" fillId="3" borderId="0" xfId="2" applyNumberFormat="1" applyFont="1" applyFill="1" applyAlignment="1">
      <alignment horizontal="center" wrapText="1"/>
    </xf>
    <xf numFmtId="164" fontId="4" fillId="3" borderId="4" xfId="2" applyNumberFormat="1" applyFont="1" applyFill="1" applyBorder="1" applyAlignment="1">
      <alignment wrapText="1"/>
    </xf>
    <xf numFmtId="164" fontId="4" fillId="4" borderId="4" xfId="2" applyNumberFormat="1" applyFont="1" applyFill="1" applyBorder="1" applyAlignment="1">
      <alignment horizontal="right" wrapText="1"/>
    </xf>
    <xf numFmtId="0" fontId="4" fillId="4" borderId="1" xfId="2" applyFont="1" applyFill="1" applyBorder="1" applyAlignment="1">
      <alignment horizontal="right" wrapText="1"/>
    </xf>
    <xf numFmtId="164" fontId="4" fillId="3" borderId="4" xfId="2" applyNumberFormat="1" applyFont="1" applyFill="1" applyBorder="1" applyAlignment="1">
      <alignment horizontal="right" wrapText="1"/>
    </xf>
    <xf numFmtId="0" fontId="0" fillId="4" borderId="0" xfId="0" applyFill="1"/>
    <xf numFmtId="167" fontId="9" fillId="4" borderId="4" xfId="1" applyNumberFormat="1" applyFont="1" applyFill="1" applyBorder="1"/>
    <xf numFmtId="164" fontId="2" fillId="4" borderId="1" xfId="0" applyNumberFormat="1" applyFont="1" applyFill="1" applyBorder="1"/>
    <xf numFmtId="164" fontId="2" fillId="4" borderId="0" xfId="0" applyNumberFormat="1" applyFont="1" applyFill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1" xfId="0" quotePrefix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0" borderId="0" xfId="0" applyFont="1" applyAlignment="1"/>
  </cellXfs>
  <cellStyles count="4">
    <cellStyle name="Normal" xfId="0" builtinId="0"/>
    <cellStyle name="Normal 2" xfId="2" xr:uid="{00000000-0005-0000-0000-000031000000}"/>
    <cellStyle name="Normal 3" xfId="3" xr:uid="{00000000-0005-0000-0000-000032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69"/>
  <sheetViews>
    <sheetView tabSelected="1" zoomScale="114" zoomScaleNormal="114" workbookViewId="0">
      <pane xSplit="1" ySplit="1" topLeftCell="B2" activePane="bottomRight" state="frozen"/>
      <selection pane="bottomRight"/>
      <selection pane="bottomLeft"/>
      <selection pane="topRight"/>
    </sheetView>
  </sheetViews>
  <sheetFormatPr defaultColWidth="9" defaultRowHeight="16.899999999999999"/>
  <cols>
    <col min="1" max="1" width="51" customWidth="1"/>
    <col min="2" max="9" width="11.375" customWidth="1"/>
    <col min="10" max="10" width="11.875" customWidth="1"/>
    <col min="11" max="26" width="11.375" customWidth="1"/>
  </cols>
  <sheetData>
    <row r="1" spans="1:26" ht="2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9"/>
      <c r="R1" s="2"/>
      <c r="S1" s="2"/>
      <c r="T1" s="2"/>
      <c r="U1" s="2"/>
    </row>
    <row r="2" spans="1:26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6" ht="17.100000000000001">
      <c r="A3" s="2"/>
      <c r="B3" s="64" t="s">
        <v>2</v>
      </c>
      <c r="C3" s="62"/>
      <c r="D3" s="62"/>
      <c r="E3" s="62"/>
      <c r="F3" s="63"/>
      <c r="G3" s="65" t="s">
        <v>3</v>
      </c>
      <c r="H3" s="66"/>
      <c r="I3" s="66"/>
      <c r="J3" s="66"/>
      <c r="K3" s="67"/>
      <c r="L3" s="64" t="s">
        <v>4</v>
      </c>
      <c r="M3" s="62"/>
      <c r="N3" s="62"/>
      <c r="O3" s="62"/>
      <c r="P3" s="63"/>
      <c r="Q3" s="64" t="s">
        <v>5</v>
      </c>
      <c r="R3" s="62"/>
      <c r="S3" s="62"/>
      <c r="T3" s="62"/>
      <c r="U3" s="63"/>
      <c r="V3" s="64" t="s">
        <v>6</v>
      </c>
      <c r="W3" s="62"/>
      <c r="X3" s="62"/>
      <c r="Y3" s="62"/>
      <c r="Z3" s="62"/>
    </row>
    <row r="4" spans="1:26">
      <c r="A4" s="2"/>
      <c r="B4" s="61" t="s">
        <v>7</v>
      </c>
      <c r="C4" s="62"/>
      <c r="D4" s="62"/>
      <c r="E4" s="62"/>
      <c r="F4" s="63"/>
      <c r="G4" s="61" t="s">
        <v>7</v>
      </c>
      <c r="H4" s="62"/>
      <c r="I4" s="62"/>
      <c r="J4" s="62"/>
      <c r="K4" s="63"/>
      <c r="L4" s="61" t="s">
        <v>7</v>
      </c>
      <c r="M4" s="62"/>
      <c r="N4" s="62"/>
      <c r="O4" s="62"/>
      <c r="P4" s="63"/>
      <c r="Q4" s="61" t="s">
        <v>7</v>
      </c>
      <c r="R4" s="62"/>
      <c r="S4" s="62"/>
      <c r="T4" s="62"/>
      <c r="U4" s="63"/>
      <c r="V4" s="68"/>
      <c r="W4" s="69"/>
    </row>
    <row r="5" spans="1:26">
      <c r="A5" s="3"/>
      <c r="B5" s="4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4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4" t="s">
        <v>8</v>
      </c>
      <c r="M5" s="5" t="s">
        <v>9</v>
      </c>
      <c r="N5" s="5" t="s">
        <v>10</v>
      </c>
      <c r="O5" s="5" t="s">
        <v>11</v>
      </c>
      <c r="P5" s="5" t="s">
        <v>12</v>
      </c>
      <c r="Q5" s="4" t="s">
        <v>8</v>
      </c>
      <c r="R5" s="5" t="s">
        <v>9</v>
      </c>
      <c r="S5" s="5" t="s">
        <v>10</v>
      </c>
      <c r="T5" s="5" t="s">
        <v>11</v>
      </c>
      <c r="U5" s="5" t="s">
        <v>12</v>
      </c>
      <c r="V5" s="22" t="s">
        <v>8</v>
      </c>
      <c r="W5" s="23" t="s">
        <v>9</v>
      </c>
      <c r="X5" s="23" t="s">
        <v>10</v>
      </c>
      <c r="Y5" s="23" t="s">
        <v>11</v>
      </c>
      <c r="Z5" s="5" t="s">
        <v>12</v>
      </c>
    </row>
    <row r="6" spans="1:26" ht="20.100000000000001" customHeight="1">
      <c r="A6" s="27" t="s">
        <v>13</v>
      </c>
      <c r="B6" s="28">
        <v>8955000</v>
      </c>
      <c r="C6" s="29">
        <v>13555000</v>
      </c>
      <c r="D6" s="29">
        <v>14703000</v>
      </c>
      <c r="E6" s="29">
        <v>15366000</v>
      </c>
      <c r="F6" s="29">
        <v>30832000</v>
      </c>
      <c r="G6" s="28">
        <v>1285000</v>
      </c>
      <c r="H6" s="29">
        <v>2218000</v>
      </c>
      <c r="I6" s="29">
        <v>3987000</v>
      </c>
      <c r="J6" s="29">
        <v>1858000</v>
      </c>
      <c r="K6" s="29">
        <v>6943000</v>
      </c>
      <c r="L6" s="28">
        <v>50943000</v>
      </c>
      <c r="M6" s="29">
        <v>48348000</v>
      </c>
      <c r="N6" s="29">
        <v>46343000</v>
      </c>
      <c r="O6" s="29">
        <v>56051000</v>
      </c>
      <c r="P6" s="29">
        <v>45378000</v>
      </c>
      <c r="Q6" s="28">
        <v>84465000</v>
      </c>
      <c r="R6" s="29">
        <v>85575000</v>
      </c>
      <c r="S6" s="29">
        <v>95091000</v>
      </c>
      <c r="T6" s="29">
        <f>50360000+O6</f>
        <v>106411000</v>
      </c>
      <c r="U6" s="29">
        <f>75413000+P6</f>
        <v>120791000</v>
      </c>
      <c r="V6" s="30">
        <f t="shared" ref="V6:V23" si="0">B6/L6</f>
        <v>0.17578470054767101</v>
      </c>
      <c r="W6" s="31">
        <f t="shared" ref="W6:W23" si="1">C6/M6</f>
        <v>0.28036320013237398</v>
      </c>
      <c r="X6" s="31">
        <f t="shared" ref="X6:Z12" si="2">D6/N6</f>
        <v>0.317264743326932</v>
      </c>
      <c r="Y6" s="32">
        <f t="shared" si="2"/>
        <v>0.27414319102246199</v>
      </c>
      <c r="Z6" s="32">
        <f t="shared" si="2"/>
        <v>0.67944819075322804</v>
      </c>
    </row>
    <row r="7" spans="1:26" ht="20.100000000000001" customHeight="1">
      <c r="A7" s="33" t="s">
        <v>14</v>
      </c>
      <c r="B7" s="34">
        <v>22532</v>
      </c>
      <c r="C7" s="35">
        <v>37104</v>
      </c>
      <c r="D7" s="35">
        <v>23020</v>
      </c>
      <c r="E7" s="35">
        <v>144140</v>
      </c>
      <c r="F7" s="35">
        <v>146352</v>
      </c>
      <c r="G7" s="36">
        <v>0</v>
      </c>
      <c r="H7" s="37">
        <v>0</v>
      </c>
      <c r="I7" s="37">
        <v>0</v>
      </c>
      <c r="J7" s="37">
        <v>0</v>
      </c>
      <c r="K7" s="35">
        <v>1500</v>
      </c>
      <c r="L7" s="34">
        <v>1748000</v>
      </c>
      <c r="M7" s="35">
        <v>1791000</v>
      </c>
      <c r="N7" s="35">
        <v>1773000</v>
      </c>
      <c r="O7" s="35">
        <v>1674000</v>
      </c>
      <c r="P7" s="35">
        <v>1645000</v>
      </c>
      <c r="Q7" s="34">
        <v>2955194</v>
      </c>
      <c r="R7" s="35">
        <v>2832232</v>
      </c>
      <c r="S7" s="35">
        <v>3161661</v>
      </c>
      <c r="T7" s="35">
        <f>1780230+O7</f>
        <v>3454230</v>
      </c>
      <c r="U7" s="35">
        <f>1313535+P7</f>
        <v>2958535</v>
      </c>
      <c r="V7" s="38">
        <f t="shared" si="0"/>
        <v>1.28901601830664E-2</v>
      </c>
      <c r="W7" s="39">
        <f t="shared" si="1"/>
        <v>2.0716917922948101E-2</v>
      </c>
      <c r="X7" s="39">
        <f t="shared" si="2"/>
        <v>1.29836435420192E-2</v>
      </c>
      <c r="Y7" s="39">
        <f t="shared" si="2"/>
        <v>8.6105137395459996E-2</v>
      </c>
      <c r="Z7" s="39">
        <f t="shared" si="2"/>
        <v>8.8967781155015205E-2</v>
      </c>
    </row>
    <row r="8" spans="1:26" ht="20.100000000000001" customHeight="1">
      <c r="A8" s="27" t="s">
        <v>15</v>
      </c>
      <c r="B8" s="28">
        <v>377098</v>
      </c>
      <c r="C8" s="29">
        <v>198539</v>
      </c>
      <c r="D8" s="29">
        <v>290952</v>
      </c>
      <c r="E8" s="29">
        <v>457000</v>
      </c>
      <c r="F8" s="29">
        <v>179000</v>
      </c>
      <c r="G8" s="28">
        <v>8000</v>
      </c>
      <c r="H8" s="29">
        <v>13500</v>
      </c>
      <c r="I8" s="29">
        <v>2215</v>
      </c>
      <c r="J8" s="29">
        <v>11000</v>
      </c>
      <c r="K8" s="29">
        <v>32000</v>
      </c>
      <c r="L8" s="28">
        <v>4757000</v>
      </c>
      <c r="M8" s="29">
        <v>4566000</v>
      </c>
      <c r="N8" s="29">
        <v>4518000</v>
      </c>
      <c r="O8" s="29">
        <v>4385000</v>
      </c>
      <c r="P8" s="29">
        <v>4199000</v>
      </c>
      <c r="Q8" s="28">
        <v>6173697</v>
      </c>
      <c r="R8" s="29">
        <v>5917706</v>
      </c>
      <c r="S8" s="29">
        <v>6503141</v>
      </c>
      <c r="T8" s="29">
        <f>2437000+O8</f>
        <v>6822000</v>
      </c>
      <c r="U8" s="29">
        <f>2155000+P8</f>
        <v>6354000</v>
      </c>
      <c r="V8" s="30">
        <f t="shared" si="0"/>
        <v>7.9272230397309199E-2</v>
      </c>
      <c r="W8" s="31">
        <f t="shared" si="1"/>
        <v>4.3482041173894002E-2</v>
      </c>
      <c r="X8" s="31">
        <f t="shared" si="2"/>
        <v>6.4398406374502004E-2</v>
      </c>
      <c r="Y8" s="31">
        <f t="shared" si="2"/>
        <v>0.10421892816419601</v>
      </c>
      <c r="Z8" s="31">
        <f t="shared" si="2"/>
        <v>4.2629197427959002E-2</v>
      </c>
    </row>
    <row r="9" spans="1:26" ht="20.100000000000001" customHeight="1">
      <c r="A9" s="33" t="s">
        <v>16</v>
      </c>
      <c r="B9" s="34">
        <v>2545000</v>
      </c>
      <c r="C9" s="35">
        <v>5881000</v>
      </c>
      <c r="D9" s="35">
        <v>5734397.2800000003</v>
      </c>
      <c r="E9" s="35">
        <v>2478000</v>
      </c>
      <c r="F9" s="35">
        <v>3432000</v>
      </c>
      <c r="G9" s="34">
        <v>134000</v>
      </c>
      <c r="H9" s="35">
        <v>441000</v>
      </c>
      <c r="I9" s="35">
        <v>410560.26</v>
      </c>
      <c r="J9" s="37">
        <v>0</v>
      </c>
      <c r="K9" s="35">
        <v>55000</v>
      </c>
      <c r="L9" s="34">
        <v>23888000</v>
      </c>
      <c r="M9" s="35">
        <v>24163000</v>
      </c>
      <c r="N9" s="35">
        <v>23910000</v>
      </c>
      <c r="O9" s="35">
        <v>21961000</v>
      </c>
      <c r="P9" s="35">
        <v>31186000</v>
      </c>
      <c r="Q9" s="34">
        <v>42342000</v>
      </c>
      <c r="R9" s="35">
        <v>46407000</v>
      </c>
      <c r="S9" s="35">
        <v>46346000</v>
      </c>
      <c r="T9" s="35">
        <f>18178000+O9</f>
        <v>40139000</v>
      </c>
      <c r="U9" s="35">
        <f>18930000+P9</f>
        <v>50116000</v>
      </c>
      <c r="V9" s="38">
        <f t="shared" si="0"/>
        <v>0.106538847957133</v>
      </c>
      <c r="W9" s="39">
        <f t="shared" si="1"/>
        <v>0.24338865207134899</v>
      </c>
      <c r="X9" s="39">
        <f t="shared" si="2"/>
        <v>0.23983259222082801</v>
      </c>
      <c r="Y9" s="39">
        <f t="shared" si="2"/>
        <v>0.112836391785438</v>
      </c>
      <c r="Z9" s="39">
        <f t="shared" si="2"/>
        <v>0.11004938113255899</v>
      </c>
    </row>
    <row r="10" spans="1:26" ht="20.100000000000001" customHeight="1">
      <c r="A10" s="27" t="s">
        <v>17</v>
      </c>
      <c r="B10" s="40">
        <v>35358000</v>
      </c>
      <c r="C10" s="41">
        <v>5205000</v>
      </c>
      <c r="D10" s="41">
        <v>3625000</v>
      </c>
      <c r="E10" s="41">
        <v>97750000</v>
      </c>
      <c r="F10" s="41">
        <v>28398000</v>
      </c>
      <c r="G10" s="40">
        <v>31931000</v>
      </c>
      <c r="H10" s="42">
        <v>0</v>
      </c>
      <c r="I10" s="41">
        <v>35000</v>
      </c>
      <c r="J10" s="41">
        <v>71271000</v>
      </c>
      <c r="K10" s="41">
        <v>23261000</v>
      </c>
      <c r="L10" s="40">
        <v>26369000</v>
      </c>
      <c r="M10" s="41">
        <v>27287000</v>
      </c>
      <c r="N10" s="41">
        <v>28201000</v>
      </c>
      <c r="O10" s="41">
        <v>26744000</v>
      </c>
      <c r="P10" s="41">
        <v>26320000</v>
      </c>
      <c r="Q10" s="40">
        <v>67143000</v>
      </c>
      <c r="R10" s="41">
        <v>38112000</v>
      </c>
      <c r="S10" s="41">
        <v>37098000</v>
      </c>
      <c r="T10" s="41">
        <f>107394000+O10</f>
        <v>134138000</v>
      </c>
      <c r="U10" s="41">
        <f>31063000+P10</f>
        <v>57383000</v>
      </c>
      <c r="V10" s="30">
        <f t="shared" si="0"/>
        <v>1.34089271493041</v>
      </c>
      <c r="W10" s="31">
        <f t="shared" si="1"/>
        <v>0.19075017407556699</v>
      </c>
      <c r="X10" s="31">
        <f t="shared" si="2"/>
        <v>0.12854154108010399</v>
      </c>
      <c r="Y10" s="31">
        <f t="shared" si="2"/>
        <v>3.6550254262638302</v>
      </c>
      <c r="Z10" s="31">
        <f t="shared" si="2"/>
        <v>1.07895136778116</v>
      </c>
    </row>
    <row r="11" spans="1:26" ht="20.100000000000001" customHeight="1">
      <c r="A11" s="33" t="s">
        <v>18</v>
      </c>
      <c r="B11" s="43">
        <v>2089000</v>
      </c>
      <c r="C11" s="44">
        <v>3923000</v>
      </c>
      <c r="D11" s="44">
        <v>16137000</v>
      </c>
      <c r="E11" s="44">
        <v>9016000</v>
      </c>
      <c r="F11" s="44">
        <v>3021000</v>
      </c>
      <c r="G11" s="43">
        <v>112000</v>
      </c>
      <c r="H11" s="44">
        <v>291000</v>
      </c>
      <c r="I11" s="44">
        <v>243000</v>
      </c>
      <c r="J11" s="44">
        <v>3901000</v>
      </c>
      <c r="K11" s="44">
        <v>525000</v>
      </c>
      <c r="L11" s="43">
        <v>19313000</v>
      </c>
      <c r="M11" s="44">
        <v>18983000</v>
      </c>
      <c r="N11" s="44">
        <v>18753000</v>
      </c>
      <c r="O11" s="44">
        <v>17258000</v>
      </c>
      <c r="P11" s="44">
        <v>16848000</v>
      </c>
      <c r="Q11" s="43">
        <v>25607000</v>
      </c>
      <c r="R11" s="44">
        <v>27529000</v>
      </c>
      <c r="S11" s="44">
        <v>41817000</v>
      </c>
      <c r="T11" s="44">
        <f>15029000+O11</f>
        <v>32287000</v>
      </c>
      <c r="U11" s="44">
        <f>11127000+P11</f>
        <v>27975000</v>
      </c>
      <c r="V11" s="38">
        <f t="shared" si="0"/>
        <v>0.10816548438875399</v>
      </c>
      <c r="W11" s="39">
        <f t="shared" si="1"/>
        <v>0.20665858926407801</v>
      </c>
      <c r="X11" s="39">
        <f t="shared" si="2"/>
        <v>0.86050231962885904</v>
      </c>
      <c r="Y11" s="39">
        <f t="shared" si="2"/>
        <v>0.52242438289488902</v>
      </c>
      <c r="Z11" s="39">
        <f t="shared" si="2"/>
        <v>0.17930911680911699</v>
      </c>
    </row>
    <row r="12" spans="1:26" ht="20.100000000000001" customHeight="1">
      <c r="A12" s="27" t="s">
        <v>19</v>
      </c>
      <c r="B12" s="40">
        <v>1831000</v>
      </c>
      <c r="C12" s="41">
        <v>3525000</v>
      </c>
      <c r="D12" s="41">
        <v>2001000</v>
      </c>
      <c r="E12" s="41">
        <v>821000</v>
      </c>
      <c r="F12" s="41">
        <v>1483000</v>
      </c>
      <c r="G12" s="40">
        <v>50000</v>
      </c>
      <c r="H12" s="41">
        <v>463000</v>
      </c>
      <c r="I12" s="41">
        <v>322000</v>
      </c>
      <c r="J12" s="41">
        <v>308000</v>
      </c>
      <c r="K12" s="41">
        <v>733000</v>
      </c>
      <c r="L12" s="40">
        <v>22488000</v>
      </c>
      <c r="M12" s="41">
        <v>23463000</v>
      </c>
      <c r="N12" s="41">
        <v>23712000</v>
      </c>
      <c r="O12" s="41">
        <v>21875000</v>
      </c>
      <c r="P12" s="41">
        <v>22061000</v>
      </c>
      <c r="Q12" s="40">
        <v>48060000</v>
      </c>
      <c r="R12" s="41">
        <v>36442000</v>
      </c>
      <c r="S12" s="41">
        <v>34730000</v>
      </c>
      <c r="T12" s="41">
        <f>5336000+O12</f>
        <v>27211000</v>
      </c>
      <c r="U12" s="41">
        <f>6149000+P12</f>
        <v>28210000</v>
      </c>
      <c r="V12" s="30">
        <f t="shared" si="0"/>
        <v>8.1421202419067903E-2</v>
      </c>
      <c r="W12" s="31">
        <f t="shared" si="1"/>
        <v>0.15023654264160599</v>
      </c>
      <c r="X12" s="31">
        <f t="shared" si="2"/>
        <v>8.4387651821862295E-2</v>
      </c>
      <c r="Y12" s="31">
        <f t="shared" si="2"/>
        <v>3.7531428571428598E-2</v>
      </c>
      <c r="Z12" s="31">
        <f t="shared" si="2"/>
        <v>6.7222700693531603E-2</v>
      </c>
    </row>
    <row r="13" spans="1:26" ht="20.100000000000001" customHeight="1">
      <c r="A13" s="33" t="s">
        <v>20</v>
      </c>
      <c r="B13" s="45" t="s">
        <v>21</v>
      </c>
      <c r="C13" s="46" t="s">
        <v>21</v>
      </c>
      <c r="D13" s="46" t="s">
        <v>21</v>
      </c>
      <c r="E13" s="44">
        <v>7492430</v>
      </c>
      <c r="F13" s="44">
        <v>9800000</v>
      </c>
      <c r="G13" s="45" t="s">
        <v>21</v>
      </c>
      <c r="H13" s="46" t="s">
        <v>21</v>
      </c>
      <c r="I13" s="46" t="s">
        <v>21</v>
      </c>
      <c r="J13" s="44">
        <v>19800</v>
      </c>
      <c r="K13" s="44">
        <v>2800000</v>
      </c>
      <c r="L13" s="45" t="s">
        <v>21</v>
      </c>
      <c r="M13" s="46" t="s">
        <v>21</v>
      </c>
      <c r="N13" s="46" t="s">
        <v>21</v>
      </c>
      <c r="O13" s="44">
        <v>41586000</v>
      </c>
      <c r="P13" s="44">
        <v>41003000</v>
      </c>
      <c r="Q13" s="45" t="s">
        <v>21</v>
      </c>
      <c r="R13" s="46" t="s">
        <v>21</v>
      </c>
      <c r="S13" s="46" t="s">
        <v>21</v>
      </c>
      <c r="T13" s="44">
        <f>24790433+O13</f>
        <v>66376433</v>
      </c>
      <c r="U13" s="44">
        <f>29100000+P13</f>
        <v>70103000</v>
      </c>
      <c r="V13" s="47" t="s">
        <v>21</v>
      </c>
      <c r="W13" s="48" t="s">
        <v>21</v>
      </c>
      <c r="X13" s="48" t="s">
        <v>21</v>
      </c>
      <c r="Y13" s="39">
        <f>E13/O13</f>
        <v>0.18016712355119499</v>
      </c>
      <c r="Z13" s="39">
        <f>F13/P13</f>
        <v>0.23900690193400501</v>
      </c>
    </row>
    <row r="14" spans="1:26" ht="20.100000000000001" customHeight="1">
      <c r="A14" s="33" t="s">
        <v>22</v>
      </c>
      <c r="B14" s="43">
        <v>2430000</v>
      </c>
      <c r="C14" s="44">
        <v>5341000</v>
      </c>
      <c r="D14" s="44">
        <v>6160000</v>
      </c>
      <c r="E14" s="46" t="s">
        <v>21</v>
      </c>
      <c r="F14" s="46" t="s">
        <v>21</v>
      </c>
      <c r="G14" s="43">
        <v>260000</v>
      </c>
      <c r="H14" s="44">
        <v>554000</v>
      </c>
      <c r="I14" s="44">
        <v>36000</v>
      </c>
      <c r="J14" s="46" t="s">
        <v>21</v>
      </c>
      <c r="K14" s="46" t="s">
        <v>21</v>
      </c>
      <c r="L14" s="43">
        <v>39158000</v>
      </c>
      <c r="M14" s="44">
        <v>40608000</v>
      </c>
      <c r="N14" s="44">
        <v>40153000</v>
      </c>
      <c r="O14" s="46" t="s">
        <v>21</v>
      </c>
      <c r="P14" s="49" t="s">
        <v>21</v>
      </c>
      <c r="Q14" s="43">
        <v>58354000</v>
      </c>
      <c r="R14" s="44">
        <v>65496000</v>
      </c>
      <c r="S14" s="44">
        <v>63354000</v>
      </c>
      <c r="T14" s="46" t="s">
        <v>21</v>
      </c>
      <c r="U14" s="46" t="s">
        <v>21</v>
      </c>
      <c r="V14" s="38">
        <v>6.2056284794933303E-2</v>
      </c>
      <c r="W14" s="39">
        <v>0.13152580772261599</v>
      </c>
      <c r="X14" s="39">
        <v>0.15341319453091901</v>
      </c>
      <c r="Y14" s="48" t="s">
        <v>21</v>
      </c>
      <c r="Z14" s="48" t="s">
        <v>21</v>
      </c>
    </row>
    <row r="15" spans="1:26" ht="20.100000000000001" customHeight="1">
      <c r="A15" s="33" t="s">
        <v>23</v>
      </c>
      <c r="B15" s="43">
        <v>81347</v>
      </c>
      <c r="C15" s="44">
        <v>2354505</v>
      </c>
      <c r="D15" s="44">
        <v>3800852</v>
      </c>
      <c r="E15" s="46" t="s">
        <v>21</v>
      </c>
      <c r="F15" s="46" t="s">
        <v>21</v>
      </c>
      <c r="G15" s="34" t="s">
        <v>24</v>
      </c>
      <c r="H15" s="35" t="s">
        <v>24</v>
      </c>
      <c r="I15" s="35" t="s">
        <v>24</v>
      </c>
      <c r="J15" s="46" t="s">
        <v>21</v>
      </c>
      <c r="K15" s="46" t="s">
        <v>21</v>
      </c>
      <c r="L15" s="43">
        <v>4788000</v>
      </c>
      <c r="M15" s="44">
        <v>4987000</v>
      </c>
      <c r="N15" s="44">
        <v>4882000</v>
      </c>
      <c r="O15" s="46" t="s">
        <v>21</v>
      </c>
      <c r="P15" s="49" t="s">
        <v>21</v>
      </c>
      <c r="Q15" s="43">
        <v>7535022</v>
      </c>
      <c r="R15" s="44">
        <v>8680899</v>
      </c>
      <c r="S15" s="44">
        <v>9787439</v>
      </c>
      <c r="T15" s="46" t="s">
        <v>21</v>
      </c>
      <c r="U15" s="46" t="s">
        <v>21</v>
      </c>
      <c r="V15" s="38">
        <v>1.6989766081871301E-2</v>
      </c>
      <c r="W15" s="39">
        <v>0.472128534188891</v>
      </c>
      <c r="X15" s="39">
        <v>0.77854403932814398</v>
      </c>
      <c r="Y15" s="48" t="s">
        <v>21</v>
      </c>
      <c r="Z15" s="48" t="s">
        <v>21</v>
      </c>
    </row>
    <row r="16" spans="1:26" ht="20.100000000000001" customHeight="1">
      <c r="A16" s="27" t="s">
        <v>25</v>
      </c>
      <c r="B16" s="40">
        <v>5497000</v>
      </c>
      <c r="C16" s="41">
        <v>4710000</v>
      </c>
      <c r="D16" s="41">
        <v>2409800</v>
      </c>
      <c r="E16" s="41">
        <v>2631000</v>
      </c>
      <c r="F16" s="41">
        <v>2988000</v>
      </c>
      <c r="G16" s="40">
        <v>113000</v>
      </c>
      <c r="H16" s="41">
        <v>714000</v>
      </c>
      <c r="I16" s="41">
        <v>368000</v>
      </c>
      <c r="J16" s="41">
        <v>173000</v>
      </c>
      <c r="K16" s="41">
        <v>264000</v>
      </c>
      <c r="L16" s="40">
        <v>7693000</v>
      </c>
      <c r="M16" s="41">
        <v>7744000</v>
      </c>
      <c r="N16" s="41">
        <v>7577000</v>
      </c>
      <c r="O16" s="41">
        <v>7398000</v>
      </c>
      <c r="P16" s="41">
        <v>7277000</v>
      </c>
      <c r="Q16" s="40">
        <v>19916000</v>
      </c>
      <c r="R16" s="41">
        <v>17944000</v>
      </c>
      <c r="S16" s="41">
        <v>14292000</v>
      </c>
      <c r="T16" s="41">
        <f>9399000+O16</f>
        <v>16797000</v>
      </c>
      <c r="U16" s="41">
        <f>10112000+P16</f>
        <v>17389000</v>
      </c>
      <c r="V16" s="30">
        <f t="shared" si="0"/>
        <v>0.71454569088782005</v>
      </c>
      <c r="W16" s="31">
        <f t="shared" si="1"/>
        <v>0.60821280991735505</v>
      </c>
      <c r="X16" s="31">
        <f t="shared" ref="X16:X27" si="3">D16/N16</f>
        <v>0.31804144120364303</v>
      </c>
      <c r="Y16" s="31">
        <f t="shared" ref="Y16:Z27" si="4">E16/O16</f>
        <v>0.355636658556367</v>
      </c>
      <c r="Z16" s="31">
        <f t="shared" si="4"/>
        <v>0.410608767349182</v>
      </c>
    </row>
    <row r="17" spans="1:26" ht="20.100000000000001" customHeight="1">
      <c r="A17" s="33" t="s">
        <v>26</v>
      </c>
      <c r="B17" s="43">
        <v>2379434</v>
      </c>
      <c r="C17" s="44">
        <v>2686814</v>
      </c>
      <c r="D17" s="44">
        <v>3428169</v>
      </c>
      <c r="E17" s="44">
        <v>2225767</v>
      </c>
      <c r="F17" s="44">
        <v>2150755</v>
      </c>
      <c r="G17" s="36">
        <v>0</v>
      </c>
      <c r="H17" s="37">
        <v>0</v>
      </c>
      <c r="I17" s="37">
        <v>0</v>
      </c>
      <c r="J17" s="37">
        <v>0</v>
      </c>
      <c r="K17" s="35">
        <v>71000</v>
      </c>
      <c r="L17" s="34">
        <v>52887000</v>
      </c>
      <c r="M17" s="35">
        <v>51186000</v>
      </c>
      <c r="N17" s="35">
        <v>48679000</v>
      </c>
      <c r="O17" s="35">
        <v>46480000</v>
      </c>
      <c r="P17" s="35">
        <v>45760000</v>
      </c>
      <c r="Q17" s="43">
        <v>79967000</v>
      </c>
      <c r="R17" s="44">
        <v>77766000</v>
      </c>
      <c r="S17" s="44">
        <v>77115000</v>
      </c>
      <c r="T17" s="44">
        <f>29195000+O17</f>
        <v>75675000</v>
      </c>
      <c r="U17" s="44">
        <f>28671000+P17</f>
        <v>74431000</v>
      </c>
      <c r="V17" s="38">
        <f t="shared" si="0"/>
        <v>4.4990905137368399E-2</v>
      </c>
      <c r="W17" s="39">
        <f t="shared" si="1"/>
        <v>5.24911889969914E-2</v>
      </c>
      <c r="X17" s="39">
        <f t="shared" si="3"/>
        <v>7.0423981593705706E-2</v>
      </c>
      <c r="Y17" s="39">
        <f t="shared" si="4"/>
        <v>4.7886553356282301E-2</v>
      </c>
      <c r="Z17" s="39">
        <f t="shared" si="4"/>
        <v>4.7000764860139897E-2</v>
      </c>
    </row>
    <row r="18" spans="1:26" ht="20.100000000000001" customHeight="1">
      <c r="A18" s="27" t="s">
        <v>27</v>
      </c>
      <c r="B18" s="40">
        <v>792000</v>
      </c>
      <c r="C18" s="41">
        <v>547000</v>
      </c>
      <c r="D18" s="41">
        <v>475000</v>
      </c>
      <c r="E18" s="41">
        <v>1357000</v>
      </c>
      <c r="F18" s="41">
        <v>126000</v>
      </c>
      <c r="G18" s="40">
        <v>160000</v>
      </c>
      <c r="H18" s="41">
        <v>23000</v>
      </c>
      <c r="I18" s="41">
        <v>9000</v>
      </c>
      <c r="J18" s="41">
        <v>104000</v>
      </c>
      <c r="K18" s="42">
        <v>0</v>
      </c>
      <c r="L18" s="40">
        <v>8264000</v>
      </c>
      <c r="M18" s="41">
        <v>8474000</v>
      </c>
      <c r="N18" s="41">
        <v>8389000</v>
      </c>
      <c r="O18" s="41">
        <v>7901000</v>
      </c>
      <c r="P18" s="41">
        <v>8773000</v>
      </c>
      <c r="Q18" s="40">
        <v>10310000</v>
      </c>
      <c r="R18" s="41">
        <v>10271000</v>
      </c>
      <c r="S18" s="41">
        <v>11510000</v>
      </c>
      <c r="T18" s="41">
        <f>2226000+O18</f>
        <v>10127000</v>
      </c>
      <c r="U18" s="41">
        <f>1365000+P18</f>
        <v>10138000</v>
      </c>
      <c r="V18" s="30">
        <f t="shared" si="0"/>
        <v>9.5837366892546003E-2</v>
      </c>
      <c r="W18" s="31">
        <f t="shared" si="1"/>
        <v>6.4550389426481003E-2</v>
      </c>
      <c r="X18" s="31">
        <f t="shared" si="3"/>
        <v>5.6621766599117898E-2</v>
      </c>
      <c r="Y18" s="31">
        <f t="shared" si="4"/>
        <v>0.171750411340337</v>
      </c>
      <c r="Z18" s="31">
        <f t="shared" si="4"/>
        <v>1.4362247805767701E-2</v>
      </c>
    </row>
    <row r="19" spans="1:26" ht="20.100000000000001" customHeight="1">
      <c r="A19" s="33" t="s">
        <v>28</v>
      </c>
      <c r="B19" s="43">
        <v>361053</v>
      </c>
      <c r="C19" s="44">
        <v>768655</v>
      </c>
      <c r="D19" s="44">
        <v>2499188</v>
      </c>
      <c r="E19" s="44">
        <v>1744772</v>
      </c>
      <c r="F19" s="44">
        <v>770081</v>
      </c>
      <c r="G19" s="36">
        <v>0</v>
      </c>
      <c r="H19" s="37">
        <v>0</v>
      </c>
      <c r="I19" s="37">
        <v>0</v>
      </c>
      <c r="J19" s="37">
        <v>0</v>
      </c>
      <c r="K19" s="37">
        <v>0</v>
      </c>
      <c r="L19" s="34">
        <v>1339000</v>
      </c>
      <c r="M19" s="35">
        <v>1181000</v>
      </c>
      <c r="N19" s="35">
        <v>1169000</v>
      </c>
      <c r="O19" s="35">
        <v>1130000</v>
      </c>
      <c r="P19" s="35">
        <v>1111000</v>
      </c>
      <c r="Q19" s="43">
        <v>2102924</v>
      </c>
      <c r="R19" s="44">
        <v>2430063</v>
      </c>
      <c r="S19" s="44">
        <v>4171888</v>
      </c>
      <c r="T19" s="44">
        <f>2298616+O19</f>
        <v>3428616</v>
      </c>
      <c r="U19" s="50">
        <f>1350238+P19</f>
        <v>2461238</v>
      </c>
      <c r="V19" s="39">
        <f t="shared" si="0"/>
        <v>0.26964376400298701</v>
      </c>
      <c r="W19" s="39">
        <f t="shared" si="1"/>
        <v>0.65085097375105805</v>
      </c>
      <c r="X19" s="39">
        <f t="shared" si="3"/>
        <v>2.1378853721129198</v>
      </c>
      <c r="Y19" s="39">
        <f t="shared" si="4"/>
        <v>1.54404601769912</v>
      </c>
      <c r="Z19" s="39">
        <f t="shared" si="4"/>
        <v>0.69314221422142197</v>
      </c>
    </row>
    <row r="20" spans="1:26" ht="20.100000000000001" customHeight="1">
      <c r="A20" s="27" t="s">
        <v>29</v>
      </c>
      <c r="B20" s="40">
        <v>87396000</v>
      </c>
      <c r="C20" s="41">
        <v>29553000</v>
      </c>
      <c r="D20" s="41">
        <v>25865000</v>
      </c>
      <c r="E20" s="41">
        <v>28507000</v>
      </c>
      <c r="F20" s="41">
        <v>50931072</v>
      </c>
      <c r="G20" s="40">
        <v>64017000</v>
      </c>
      <c r="H20" s="41">
        <v>9620000</v>
      </c>
      <c r="I20" s="41">
        <v>4332000</v>
      </c>
      <c r="J20" s="41">
        <v>3300000</v>
      </c>
      <c r="K20" s="41">
        <v>18493200</v>
      </c>
      <c r="L20" s="40">
        <v>61385000</v>
      </c>
      <c r="M20" s="41">
        <v>55987000</v>
      </c>
      <c r="N20" s="41">
        <v>54729000</v>
      </c>
      <c r="O20" s="41">
        <v>45105000</v>
      </c>
      <c r="P20" s="41">
        <v>34912000</v>
      </c>
      <c r="Q20" s="40">
        <v>200239000</v>
      </c>
      <c r="R20" s="41">
        <v>126111000</v>
      </c>
      <c r="S20" s="41">
        <v>122609000</v>
      </c>
      <c r="T20" s="41">
        <f>67943000+O20</f>
        <v>113048000</v>
      </c>
      <c r="U20" s="51">
        <v>122909000</v>
      </c>
      <c r="V20" s="31">
        <f t="shared" si="0"/>
        <v>1.42373544025413</v>
      </c>
      <c r="W20" s="31">
        <f t="shared" si="1"/>
        <v>0.52785468055084195</v>
      </c>
      <c r="X20" s="31">
        <f t="shared" si="3"/>
        <v>0.47260136307990303</v>
      </c>
      <c r="Y20" s="31">
        <f t="shared" si="4"/>
        <v>0.63201418911428897</v>
      </c>
      <c r="Z20" s="31">
        <f t="shared" si="4"/>
        <v>1.4588414298808401</v>
      </c>
    </row>
    <row r="21" spans="1:26" ht="20.100000000000001" customHeight="1">
      <c r="A21" s="33" t="s">
        <v>30</v>
      </c>
      <c r="B21" s="43">
        <v>16329000</v>
      </c>
      <c r="C21" s="44">
        <v>14128000</v>
      </c>
      <c r="D21" s="44">
        <v>12517000</v>
      </c>
      <c r="E21" s="44">
        <v>12589000</v>
      </c>
      <c r="F21" s="44">
        <v>12378000</v>
      </c>
      <c r="G21" s="43">
        <v>1648000</v>
      </c>
      <c r="H21" s="44">
        <v>3205000</v>
      </c>
      <c r="I21" s="44">
        <v>4965000</v>
      </c>
      <c r="J21" s="44">
        <v>1260000</v>
      </c>
      <c r="K21" s="44">
        <v>1214000</v>
      </c>
      <c r="L21" s="43">
        <v>44860315</v>
      </c>
      <c r="M21" s="44">
        <v>44761000</v>
      </c>
      <c r="N21" s="44">
        <v>44318000</v>
      </c>
      <c r="O21" s="44">
        <v>41355000</v>
      </c>
      <c r="P21" s="44">
        <v>48205000</v>
      </c>
      <c r="Q21" s="43">
        <v>79702000</v>
      </c>
      <c r="R21" s="44">
        <v>78154000</v>
      </c>
      <c r="S21" s="44">
        <v>75748000</v>
      </c>
      <c r="T21" s="44">
        <f>32406000+O21</f>
        <v>73761000</v>
      </c>
      <c r="U21" s="50">
        <f>33725000+P21</f>
        <v>81930000</v>
      </c>
      <c r="V21" s="39">
        <f t="shared" si="0"/>
        <v>0.36399655240940698</v>
      </c>
      <c r="W21" s="39">
        <f t="shared" si="1"/>
        <v>0.31563191170885402</v>
      </c>
      <c r="X21" s="39">
        <f t="shared" si="3"/>
        <v>0.282436030506792</v>
      </c>
      <c r="Y21" s="39">
        <f t="shared" si="4"/>
        <v>0.304413009309636</v>
      </c>
      <c r="Z21" s="39">
        <f t="shared" si="4"/>
        <v>0.256778342495592</v>
      </c>
    </row>
    <row r="22" spans="1:26" ht="20.100000000000001" customHeight="1">
      <c r="A22" s="27" t="s">
        <v>31</v>
      </c>
      <c r="B22" s="40">
        <v>1173000</v>
      </c>
      <c r="C22" s="41">
        <v>2132000</v>
      </c>
      <c r="D22" s="41">
        <v>911000</v>
      </c>
      <c r="E22" s="41">
        <v>2023000</v>
      </c>
      <c r="F22" s="41">
        <v>2052000</v>
      </c>
      <c r="G22" s="52">
        <v>0</v>
      </c>
      <c r="H22" s="42">
        <v>0</v>
      </c>
      <c r="I22" s="42">
        <v>0</v>
      </c>
      <c r="J22" s="42">
        <v>0</v>
      </c>
      <c r="K22" s="42">
        <v>0</v>
      </c>
      <c r="L22" s="40">
        <v>4228000</v>
      </c>
      <c r="M22" s="41">
        <v>4301000</v>
      </c>
      <c r="N22" s="41">
        <v>4212000</v>
      </c>
      <c r="O22" s="41">
        <v>2983000</v>
      </c>
      <c r="P22" s="41">
        <v>2946000</v>
      </c>
      <c r="Q22" s="40">
        <v>7096000</v>
      </c>
      <c r="R22" s="41">
        <v>7939000</v>
      </c>
      <c r="S22" s="41">
        <v>6761000</v>
      </c>
      <c r="T22" s="41">
        <f>3675000+O22</f>
        <v>6658000</v>
      </c>
      <c r="U22" s="51">
        <f>3581000+P22</f>
        <v>6527000</v>
      </c>
      <c r="V22" s="31">
        <f t="shared" si="0"/>
        <v>0.27743614001892097</v>
      </c>
      <c r="W22" s="31">
        <f t="shared" si="1"/>
        <v>0.49569867472680801</v>
      </c>
      <c r="X22" s="31">
        <f t="shared" si="3"/>
        <v>0.216286799620133</v>
      </c>
      <c r="Y22" s="31">
        <f t="shared" si="4"/>
        <v>0.67817633255112297</v>
      </c>
      <c r="Z22" s="31">
        <f t="shared" si="4"/>
        <v>0.69653767820773904</v>
      </c>
    </row>
    <row r="23" spans="1:26" ht="20.100000000000001" customHeight="1">
      <c r="A23" s="33" t="s">
        <v>32</v>
      </c>
      <c r="B23" s="34">
        <v>18777183</v>
      </c>
      <c r="C23" s="35">
        <v>22144459</v>
      </c>
      <c r="D23" s="35">
        <v>22033986.440000001</v>
      </c>
      <c r="E23" s="35">
        <v>21528676</v>
      </c>
      <c r="F23" s="35">
        <v>27520500</v>
      </c>
      <c r="G23" s="36">
        <v>0</v>
      </c>
      <c r="H23" s="37">
        <v>0</v>
      </c>
      <c r="I23" s="37">
        <v>0</v>
      </c>
      <c r="J23" s="35">
        <v>12950</v>
      </c>
      <c r="K23" s="35">
        <v>15136</v>
      </c>
      <c r="L23" s="43">
        <v>129358000</v>
      </c>
      <c r="M23" s="44">
        <v>130922000</v>
      </c>
      <c r="N23" s="44">
        <v>125799000</v>
      </c>
      <c r="O23" s="44">
        <v>121193000</v>
      </c>
      <c r="P23" s="44">
        <v>101437000</v>
      </c>
      <c r="Q23" s="34">
        <v>177443000</v>
      </c>
      <c r="R23" s="35">
        <v>185354000</v>
      </c>
      <c r="S23" s="35">
        <v>182583000</v>
      </c>
      <c r="T23" s="35">
        <f>54593208+O23</f>
        <v>175786208</v>
      </c>
      <c r="U23" s="53">
        <f>55000000+P23</f>
        <v>156437000</v>
      </c>
      <c r="V23" s="39">
        <f t="shared" si="0"/>
        <v>0.14515672011008199</v>
      </c>
      <c r="W23" s="39">
        <f t="shared" si="1"/>
        <v>0.169142382487282</v>
      </c>
      <c r="X23" s="39">
        <f t="shared" si="3"/>
        <v>0.17515231790395799</v>
      </c>
      <c r="Y23" s="39">
        <f t="shared" si="4"/>
        <v>0.177639599646844</v>
      </c>
      <c r="Z23" s="39">
        <f t="shared" si="4"/>
        <v>0.27130632806569599</v>
      </c>
    </row>
    <row r="24" spans="1:26" ht="18" customHeight="1">
      <c r="A24" s="27"/>
      <c r="B24" s="40"/>
      <c r="C24" s="41"/>
      <c r="D24" s="41"/>
      <c r="E24" s="41"/>
      <c r="F24" s="41"/>
      <c r="G24" s="52"/>
      <c r="H24" s="42"/>
      <c r="I24" s="42"/>
      <c r="J24" s="41"/>
      <c r="K24" s="41"/>
      <c r="L24" s="28"/>
      <c r="M24" s="29"/>
      <c r="N24" s="29"/>
      <c r="O24" s="29"/>
      <c r="P24" s="29"/>
      <c r="Q24" s="40"/>
      <c r="R24" s="41"/>
      <c r="S24" s="41"/>
      <c r="T24" s="41"/>
      <c r="U24" s="41"/>
      <c r="V24" s="31"/>
      <c r="W24" s="31"/>
      <c r="X24" s="31"/>
      <c r="Y24" s="31"/>
      <c r="Z24" s="31"/>
    </row>
    <row r="25" spans="1:26" ht="20.100000000000001" customHeight="1">
      <c r="A25" s="33" t="s">
        <v>33</v>
      </c>
      <c r="B25" s="34">
        <v>4204000</v>
      </c>
      <c r="C25" s="35">
        <v>4759000</v>
      </c>
      <c r="D25" s="35">
        <v>3880000</v>
      </c>
      <c r="E25" s="35">
        <v>6786000</v>
      </c>
      <c r="F25" s="35">
        <v>5738972</v>
      </c>
      <c r="G25" s="34">
        <v>619000</v>
      </c>
      <c r="H25" s="35">
        <v>423000</v>
      </c>
      <c r="I25" s="35">
        <v>647000</v>
      </c>
      <c r="J25" s="35">
        <v>284000</v>
      </c>
      <c r="K25" s="35">
        <v>100000</v>
      </c>
      <c r="L25" s="43">
        <v>106947000</v>
      </c>
      <c r="M25" s="44">
        <v>109464000</v>
      </c>
      <c r="N25" s="44">
        <v>105847000</v>
      </c>
      <c r="O25" s="44">
        <v>101873000</v>
      </c>
      <c r="P25" s="44">
        <v>103868000</v>
      </c>
      <c r="Q25" s="34">
        <v>140462000</v>
      </c>
      <c r="R25" s="35">
        <v>142172000</v>
      </c>
      <c r="S25" s="35">
        <v>137942000</v>
      </c>
      <c r="T25" s="35">
        <f>7070000+O25</f>
        <v>108943000</v>
      </c>
      <c r="U25" s="35">
        <f>22234000+P25</f>
        <v>126102000</v>
      </c>
      <c r="V25" s="38">
        <f>B25/L25</f>
        <v>3.9309190533628802E-2</v>
      </c>
      <c r="W25" s="39">
        <f>C25/M25</f>
        <v>4.3475480523277099E-2</v>
      </c>
      <c r="X25" s="39">
        <f>D25/N25</f>
        <v>3.66566837038367E-2</v>
      </c>
      <c r="Y25" s="39">
        <f>E25/O25</f>
        <v>6.6612350671914997E-2</v>
      </c>
      <c r="Z25" s="39">
        <f>F25/P25</f>
        <v>5.5252551315130703E-2</v>
      </c>
    </row>
    <row r="26" spans="1:26" ht="6.75" customHeight="1">
      <c r="A26" s="27"/>
      <c r="B26" s="40"/>
      <c r="C26" s="41"/>
      <c r="D26" s="41"/>
      <c r="E26" s="41"/>
      <c r="F26" s="41"/>
      <c r="G26" s="40"/>
      <c r="H26" s="41"/>
      <c r="I26" s="41"/>
      <c r="J26" s="41"/>
      <c r="K26" s="41"/>
      <c r="L26" s="28"/>
      <c r="M26" s="29"/>
      <c r="N26" s="29"/>
      <c r="O26" s="29"/>
      <c r="P26" s="29"/>
      <c r="Q26" s="40"/>
      <c r="R26" s="41"/>
      <c r="S26" s="41"/>
      <c r="T26" s="41"/>
      <c r="U26" s="41"/>
      <c r="V26" s="30"/>
      <c r="W26" s="31"/>
      <c r="X26" s="31"/>
      <c r="Y26" s="31"/>
      <c r="Z26" s="31"/>
    </row>
    <row r="27" spans="1:26" ht="20.100000000000001" customHeight="1">
      <c r="A27" s="33" t="s">
        <v>34</v>
      </c>
      <c r="B27" s="34">
        <v>108955000</v>
      </c>
      <c r="C27" s="35">
        <v>109749000</v>
      </c>
      <c r="D27" s="35">
        <v>117389000</v>
      </c>
      <c r="E27" s="35">
        <v>136544867</v>
      </c>
      <c r="F27" s="35">
        <v>158720516</v>
      </c>
      <c r="G27" s="34" t="s">
        <v>24</v>
      </c>
      <c r="H27" s="35" t="s">
        <v>24</v>
      </c>
      <c r="I27" s="35" t="s">
        <v>24</v>
      </c>
      <c r="J27" s="35" t="s">
        <v>24</v>
      </c>
      <c r="K27" s="35" t="s">
        <v>24</v>
      </c>
      <c r="L27" s="43">
        <v>332779000</v>
      </c>
      <c r="M27" s="44">
        <v>344365000</v>
      </c>
      <c r="N27" s="44">
        <v>350710000</v>
      </c>
      <c r="O27" s="35">
        <v>324592000</v>
      </c>
      <c r="P27" s="35">
        <v>310371000</v>
      </c>
      <c r="Q27" s="34">
        <v>1156386000</v>
      </c>
      <c r="R27" s="35">
        <v>1211173000</v>
      </c>
      <c r="S27" s="35">
        <v>1260547000</v>
      </c>
      <c r="T27" s="35">
        <f>921500684+O27</f>
        <v>1246092684</v>
      </c>
      <c r="U27" s="35">
        <v>1348570364</v>
      </c>
      <c r="V27" s="38">
        <f>B27/L27</f>
        <v>0.32740948196851399</v>
      </c>
      <c r="W27" s="39">
        <f>C27/M27</f>
        <v>0.31869963556110498</v>
      </c>
      <c r="X27" s="39">
        <f t="shared" si="3"/>
        <v>0.33471814319523302</v>
      </c>
      <c r="Y27" s="39">
        <f t="shared" si="4"/>
        <v>0.42066615012076702</v>
      </c>
      <c r="Z27" s="39">
        <f t="shared" si="4"/>
        <v>0.51138964658424901</v>
      </c>
    </row>
    <row r="28" spans="1:26" ht="9" customHeight="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26" ht="20.100000000000001" customHeight="1">
      <c r="A29" s="33" t="s">
        <v>35</v>
      </c>
      <c r="B29" s="34">
        <v>50750</v>
      </c>
      <c r="C29" s="35">
        <v>107500</v>
      </c>
      <c r="D29" s="35">
        <v>1531217</v>
      </c>
      <c r="E29" s="35">
        <v>80105</v>
      </c>
      <c r="F29" s="35">
        <v>371000</v>
      </c>
      <c r="G29" s="34">
        <v>10750</v>
      </c>
      <c r="H29" s="35">
        <v>75000</v>
      </c>
      <c r="I29" s="35">
        <v>1428200</v>
      </c>
      <c r="J29" s="35">
        <v>68000</v>
      </c>
      <c r="K29" s="35">
        <v>336000</v>
      </c>
      <c r="L29" s="43">
        <v>104852000</v>
      </c>
      <c r="M29" s="44">
        <v>108599000</v>
      </c>
      <c r="N29" s="44">
        <v>87813000</v>
      </c>
      <c r="O29" s="35">
        <v>69010000</v>
      </c>
      <c r="P29" s="35">
        <v>158856000</v>
      </c>
      <c r="Q29" s="34">
        <v>261384000</v>
      </c>
      <c r="R29" s="35">
        <v>259839000</v>
      </c>
      <c r="S29" s="35">
        <v>276886000</v>
      </c>
      <c r="T29" s="35">
        <v>288767000</v>
      </c>
      <c r="U29" s="35">
        <v>436054000</v>
      </c>
      <c r="V29" s="38">
        <f>B29/L29</f>
        <v>4.8401556479609397E-4</v>
      </c>
      <c r="W29" s="39">
        <f>C29/M29</f>
        <v>9.8988020147515194E-4</v>
      </c>
      <c r="X29" s="39">
        <f>D29/N29</f>
        <v>1.74372473323995E-2</v>
      </c>
      <c r="Y29" s="39">
        <f>E29/O29</f>
        <v>1.16077380089842E-3</v>
      </c>
      <c r="Z29" s="39">
        <f>F29/P29</f>
        <v>2.3354484564637201E-3</v>
      </c>
    </row>
    <row r="30" spans="1:26" ht="9" customHeight="1">
      <c r="A30" s="27"/>
      <c r="B30" s="40"/>
      <c r="C30" s="41"/>
      <c r="D30" s="41"/>
      <c r="E30" s="41"/>
      <c r="F30" s="41"/>
      <c r="G30" s="40"/>
      <c r="H30" s="41"/>
      <c r="I30" s="41"/>
      <c r="J30" s="41"/>
      <c r="K30" s="41"/>
      <c r="L30" s="28"/>
      <c r="M30" s="29"/>
      <c r="N30" s="29"/>
      <c r="O30" s="41"/>
      <c r="P30" s="41"/>
      <c r="Q30" s="40"/>
      <c r="R30" s="41"/>
      <c r="S30" s="41"/>
      <c r="T30" s="41"/>
      <c r="U30" s="41"/>
      <c r="V30" s="30"/>
      <c r="W30" s="31"/>
      <c r="X30" s="31"/>
      <c r="Y30" s="31"/>
      <c r="Z30" s="31"/>
    </row>
    <row r="31" spans="1:26" ht="20.100000000000001" customHeight="1">
      <c r="A31" s="33" t="s">
        <v>36</v>
      </c>
      <c r="B31" s="34">
        <v>4385807</v>
      </c>
      <c r="C31" s="35">
        <v>4280282</v>
      </c>
      <c r="D31" s="35">
        <v>4959180</v>
      </c>
      <c r="E31" s="35">
        <v>6978000</v>
      </c>
      <c r="F31" s="35">
        <v>6684000</v>
      </c>
      <c r="G31" s="34" t="s">
        <v>24</v>
      </c>
      <c r="H31" s="35" t="s">
        <v>24</v>
      </c>
      <c r="I31" s="35" t="s">
        <v>24</v>
      </c>
      <c r="J31" s="35" t="s">
        <v>24</v>
      </c>
      <c r="K31" s="35" t="s">
        <v>24</v>
      </c>
      <c r="L31" s="43">
        <v>16000000</v>
      </c>
      <c r="M31" s="44">
        <v>16000000</v>
      </c>
      <c r="N31" s="44">
        <v>16000000</v>
      </c>
      <c r="O31" s="44">
        <v>33589000</v>
      </c>
      <c r="P31" s="44">
        <v>20164000</v>
      </c>
      <c r="Q31" s="34">
        <v>39612000</v>
      </c>
      <c r="R31" s="35">
        <v>43263000</v>
      </c>
      <c r="S31" s="35">
        <v>48453000</v>
      </c>
      <c r="T31" s="35">
        <f>22415000+O31</f>
        <v>56004000</v>
      </c>
      <c r="U31" s="35">
        <f>21951000+P31</f>
        <v>42115000</v>
      </c>
      <c r="V31" s="38">
        <f>B31/L31</f>
        <v>0.27411293749999999</v>
      </c>
      <c r="W31" s="39">
        <f>C31/M31</f>
        <v>0.26751762499999998</v>
      </c>
      <c r="X31" s="39">
        <f>D31/N31</f>
        <v>0.30994875</v>
      </c>
      <c r="Y31" s="39">
        <f>E31/O31</f>
        <v>0.20774658370299801</v>
      </c>
      <c r="Z31" s="39">
        <f>F31/P31</f>
        <v>0.33148184883951598</v>
      </c>
    </row>
    <row r="32" spans="1:26" ht="20.100000000000001" customHeight="1">
      <c r="A32" s="27"/>
      <c r="B32" s="40"/>
      <c r="C32" s="41"/>
      <c r="D32" s="41"/>
      <c r="E32" s="41"/>
      <c r="F32" s="41"/>
      <c r="G32" s="40"/>
      <c r="H32" s="41"/>
      <c r="I32" s="41"/>
      <c r="J32" s="41"/>
      <c r="K32" s="41"/>
      <c r="L32" s="28"/>
      <c r="M32" s="29"/>
      <c r="N32" s="29"/>
      <c r="O32" s="41"/>
      <c r="P32" s="41"/>
      <c r="Q32" s="40"/>
      <c r="R32" s="41"/>
      <c r="S32" s="41"/>
      <c r="T32" s="41"/>
      <c r="U32" s="41"/>
      <c r="V32" s="30"/>
      <c r="W32" s="31"/>
      <c r="X32" s="31"/>
      <c r="Y32" s="31"/>
      <c r="Z32" s="55"/>
    </row>
    <row r="33" spans="1:26" ht="18" customHeight="1">
      <c r="A33" s="27"/>
      <c r="B33" s="28"/>
      <c r="C33" s="29"/>
      <c r="D33" s="29"/>
      <c r="E33" s="29"/>
      <c r="F33" s="29"/>
      <c r="G33" s="56"/>
      <c r="H33" s="57"/>
      <c r="I33" s="57"/>
      <c r="J33" s="57"/>
      <c r="K33" s="57"/>
      <c r="L33" s="56"/>
      <c r="M33" s="57"/>
      <c r="N33" s="57"/>
      <c r="O33" s="57"/>
      <c r="P33" s="57"/>
      <c r="Q33" s="28"/>
      <c r="R33" s="29"/>
      <c r="S33" s="29"/>
      <c r="T33" s="29"/>
      <c r="U33" s="29"/>
      <c r="V33" s="30"/>
      <c r="W33" s="31"/>
      <c r="X33" s="31"/>
      <c r="Y33" s="31"/>
      <c r="Z33" s="55"/>
    </row>
    <row r="34" spans="1:26" ht="17.649999999999999">
      <c r="A34" s="6" t="s">
        <v>37</v>
      </c>
      <c r="B34" s="7">
        <f t="shared" ref="B34:U34" si="5">SUM(B6:B33)</f>
        <v>303989204</v>
      </c>
      <c r="C34" s="8">
        <f t="shared" si="5"/>
        <v>235585858</v>
      </c>
      <c r="D34" s="8">
        <f t="shared" si="5"/>
        <v>250373761.72</v>
      </c>
      <c r="E34" s="8">
        <f t="shared" si="5"/>
        <v>356519757</v>
      </c>
      <c r="F34" s="8">
        <f t="shared" si="5"/>
        <v>347722248</v>
      </c>
      <c r="G34" s="7">
        <f t="shared" si="5"/>
        <v>100347750</v>
      </c>
      <c r="H34" s="8">
        <f t="shared" si="5"/>
        <v>18040500</v>
      </c>
      <c r="I34" s="8">
        <f t="shared" si="5"/>
        <v>16784975.260000002</v>
      </c>
      <c r="J34" s="8">
        <f t="shared" si="5"/>
        <v>82570750</v>
      </c>
      <c r="K34" s="8">
        <f t="shared" si="5"/>
        <v>54843836</v>
      </c>
      <c r="L34" s="7">
        <f t="shared" si="5"/>
        <v>1064044315</v>
      </c>
      <c r="M34" s="8">
        <f t="shared" si="5"/>
        <v>1077180000</v>
      </c>
      <c r="N34" s="8">
        <f t="shared" si="5"/>
        <v>1047487000</v>
      </c>
      <c r="O34" s="8">
        <f t="shared" si="5"/>
        <v>994143000</v>
      </c>
      <c r="P34" s="8">
        <f t="shared" si="5"/>
        <v>1032320000</v>
      </c>
      <c r="Q34" s="7">
        <f t="shared" si="5"/>
        <v>2517254837</v>
      </c>
      <c r="R34" s="8">
        <f t="shared" si="5"/>
        <v>2479407900</v>
      </c>
      <c r="S34" s="8">
        <f t="shared" si="5"/>
        <v>2556506129</v>
      </c>
      <c r="T34" s="8">
        <f t="shared" si="5"/>
        <v>2591926171</v>
      </c>
      <c r="U34" s="8">
        <f t="shared" si="5"/>
        <v>2788954137</v>
      </c>
      <c r="V34" s="24">
        <f>B34/L34</f>
        <v>0.28569224017704598</v>
      </c>
      <c r="W34" s="25">
        <f>C34/M34</f>
        <v>0.21870611968287601</v>
      </c>
      <c r="X34" s="25">
        <f>D34/N34</f>
        <v>0.23902326398322801</v>
      </c>
      <c r="Y34" s="25">
        <f>E34/O34</f>
        <v>0.358620195484955</v>
      </c>
      <c r="Z34" s="25">
        <f>F34/P34</f>
        <v>0.33683571760694397</v>
      </c>
    </row>
    <row r="35" spans="1:26" ht="6" customHeight="1">
      <c r="A35" s="2"/>
      <c r="B35" s="9"/>
      <c r="C35" s="10"/>
      <c r="D35" s="10"/>
      <c r="E35" s="10"/>
      <c r="F35" s="10"/>
      <c r="G35" s="9"/>
      <c r="H35" s="10"/>
      <c r="I35" s="10"/>
      <c r="J35" s="10"/>
      <c r="K35" s="10"/>
      <c r="L35" s="9"/>
      <c r="M35" s="10"/>
      <c r="N35" s="10"/>
      <c r="O35" s="10"/>
      <c r="P35" s="10"/>
      <c r="Q35" s="9"/>
      <c r="R35" s="10"/>
      <c r="S35" s="10"/>
      <c r="T35" s="10"/>
      <c r="U35" s="10"/>
      <c r="V35" s="26"/>
      <c r="W35" s="2"/>
      <c r="X35" s="2"/>
      <c r="Y35" s="2"/>
      <c r="Z35" s="2"/>
    </row>
    <row r="36" spans="1:26" ht="17.649999999999999">
      <c r="A36" s="6" t="s">
        <v>38</v>
      </c>
      <c r="B36" s="7">
        <f>B34-G34</f>
        <v>203641454</v>
      </c>
      <c r="C36" s="8">
        <f>C34-H34</f>
        <v>217545358</v>
      </c>
      <c r="D36" s="8">
        <f>D34-I34</f>
        <v>233588786.46000001</v>
      </c>
      <c r="E36" s="8">
        <f>E34-J34</f>
        <v>273949007</v>
      </c>
      <c r="F36" s="8">
        <f>F34-K34</f>
        <v>292878412</v>
      </c>
      <c r="G36" s="7"/>
      <c r="H36" s="8"/>
      <c r="I36" s="8"/>
      <c r="J36" s="8"/>
      <c r="K36" s="8"/>
      <c r="L36" s="7"/>
      <c r="M36" s="8"/>
      <c r="N36" s="8"/>
      <c r="O36" s="8"/>
      <c r="P36" s="8"/>
      <c r="Q36" s="7"/>
      <c r="R36" s="8"/>
      <c r="S36" s="8"/>
      <c r="T36" s="8"/>
      <c r="U36" s="8"/>
      <c r="V36" s="24">
        <f>B36/L34</f>
        <v>0.19138437293375299</v>
      </c>
      <c r="W36" s="25">
        <f>C36/M34</f>
        <v>0.201958222395514</v>
      </c>
      <c r="X36" s="25">
        <f>D36/N34</f>
        <v>0.222999222386531</v>
      </c>
      <c r="Y36" s="25">
        <f>E36/O34</f>
        <v>0.27556297937017099</v>
      </c>
      <c r="Z36" s="25">
        <f>F36/P34</f>
        <v>0.28370893908865502</v>
      </c>
    </row>
    <row r="38" spans="1:26">
      <c r="E38" s="17"/>
      <c r="F38" s="17"/>
      <c r="Q38" s="20"/>
    </row>
    <row r="39" spans="1:26" ht="17.649999999999999">
      <c r="A39" s="11" t="s">
        <v>39</v>
      </c>
      <c r="O39" s="18"/>
      <c r="P39" s="18"/>
      <c r="R39" s="21"/>
      <c r="S39" s="17"/>
      <c r="T39" s="17"/>
      <c r="U39" s="17"/>
      <c r="V39" s="11" t="s">
        <v>40</v>
      </c>
    </row>
    <row r="40" spans="1:26">
      <c r="A40" s="58" t="s">
        <v>41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70"/>
      <c r="R40" s="10"/>
      <c r="V40" s="14" t="s">
        <v>42</v>
      </c>
    </row>
    <row r="41" spans="1:26">
      <c r="A41" s="58" t="s">
        <v>43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70"/>
      <c r="R41" s="2"/>
      <c r="V41" s="14" t="s">
        <v>44</v>
      </c>
    </row>
    <row r="42" spans="1:26">
      <c r="A42" s="58" t="s">
        <v>45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16"/>
      <c r="T42" s="16"/>
      <c r="U42" s="16"/>
      <c r="V42" s="14" t="s">
        <v>46</v>
      </c>
    </row>
    <row r="43" spans="1:26">
      <c r="A43" s="14" t="s">
        <v>47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6"/>
      <c r="T43" s="16"/>
      <c r="U43" s="16"/>
      <c r="V43" s="14" t="s">
        <v>48</v>
      </c>
    </row>
    <row r="44" spans="1:26">
      <c r="A44" s="58" t="s">
        <v>49</v>
      </c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16"/>
      <c r="T44" s="16"/>
      <c r="U44" s="16"/>
      <c r="V44" s="14" t="s">
        <v>50</v>
      </c>
    </row>
    <row r="45" spans="1:26">
      <c r="A45" s="58" t="s">
        <v>51</v>
      </c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16"/>
      <c r="T45" s="16"/>
      <c r="U45" s="16"/>
      <c r="V45" s="14"/>
    </row>
    <row r="46" spans="1:26">
      <c r="A46" s="15" t="s">
        <v>52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6"/>
      <c r="T46" s="16"/>
      <c r="U46" s="16"/>
      <c r="V46" s="14"/>
    </row>
    <row r="47" spans="1:26">
      <c r="A47" s="58" t="s">
        <v>53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16"/>
      <c r="T47" s="16"/>
      <c r="U47" s="16"/>
      <c r="V47" s="14"/>
    </row>
    <row r="48" spans="1:26">
      <c r="A48" s="58" t="s">
        <v>54</v>
      </c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16"/>
      <c r="T48" s="16"/>
      <c r="U48" s="16"/>
      <c r="V48" s="14"/>
    </row>
    <row r="49" spans="1:22">
      <c r="A49" s="12" t="s">
        <v>55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6"/>
      <c r="T49" s="16"/>
      <c r="U49" s="16"/>
      <c r="V49" s="14"/>
    </row>
    <row r="50" spans="1:22" ht="14.25" customHeight="1">
      <c r="A50" s="14" t="s">
        <v>56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V50" s="14"/>
    </row>
    <row r="51" spans="1:22">
      <c r="A51" s="58" t="s">
        <v>57</v>
      </c>
      <c r="B51" s="58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12"/>
      <c r="S51" s="12"/>
      <c r="T51" s="12"/>
      <c r="U51" s="12"/>
      <c r="V51" s="14"/>
    </row>
    <row r="52" spans="1:22">
      <c r="A52" s="14" t="s">
        <v>58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4"/>
    </row>
    <row r="53" spans="1:22">
      <c r="A53" s="14" t="s">
        <v>59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4"/>
    </row>
    <row r="54" spans="1:22">
      <c r="A54" s="58" t="s">
        <v>60</v>
      </c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12"/>
      <c r="O54" s="12"/>
      <c r="P54" s="12"/>
      <c r="Q54" s="12"/>
      <c r="R54" s="12"/>
      <c r="S54" s="16"/>
      <c r="T54" s="16"/>
      <c r="U54" s="16"/>
      <c r="V54" s="14"/>
    </row>
    <row r="55" spans="1:22" ht="14.25" customHeight="1">
      <c r="A55" s="58" t="s">
        <v>61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12"/>
      <c r="T55" s="12"/>
      <c r="U55" s="12"/>
    </row>
    <row r="56" spans="1:22" ht="14.25" customHeight="1">
      <c r="A56" s="58" t="s">
        <v>62</v>
      </c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12"/>
      <c r="T56" s="12"/>
      <c r="U56" s="12"/>
    </row>
    <row r="57" spans="1:22">
      <c r="A57" s="14" t="s">
        <v>63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22">
      <c r="A58" s="14" t="s">
        <v>64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22">
      <c r="A59" s="14" t="s">
        <v>65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22">
      <c r="A60" s="14" t="s">
        <v>66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22">
      <c r="A61" s="14" t="s">
        <v>67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22">
      <c r="A62" s="14" t="s">
        <v>68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22">
      <c r="A63" s="14" t="s">
        <v>69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22">
      <c r="A64" s="14" t="s">
        <v>70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>
      <c r="A65" s="14" t="s">
        <v>71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>
      <c r="A66" s="14" t="s">
        <v>72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5.75" customHeight="1">
      <c r="A67" s="14" t="s">
        <v>73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>
      <c r="A68" s="14" t="s">
        <v>74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>
      <c r="A69" s="14" t="s">
        <v>75</v>
      </c>
    </row>
  </sheetData>
  <mergeCells count="21">
    <mergeCell ref="B3:F3"/>
    <mergeCell ref="G3:K3"/>
    <mergeCell ref="L3:P3"/>
    <mergeCell ref="Q3:U3"/>
    <mergeCell ref="V3:Z3"/>
    <mergeCell ref="B4:F4"/>
    <mergeCell ref="G4:K4"/>
    <mergeCell ref="L4:P4"/>
    <mergeCell ref="Q4:U4"/>
    <mergeCell ref="V4:W4"/>
    <mergeCell ref="A40:Q40"/>
    <mergeCell ref="A41:Q41"/>
    <mergeCell ref="A42:R42"/>
    <mergeCell ref="A44:R44"/>
    <mergeCell ref="A45:R45"/>
    <mergeCell ref="A56:R56"/>
    <mergeCell ref="A47:R47"/>
    <mergeCell ref="A48:R48"/>
    <mergeCell ref="A51:Q51"/>
    <mergeCell ref="A54:M54"/>
    <mergeCell ref="A55:R55"/>
  </mergeCells>
  <pageMargins left="0.25" right="0.25" top="0.75" bottom="0.75" header="0.3" footer="0.3"/>
  <pageSetup paperSize="8" scale="56" orientation="landscape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1e9eaaa1-f2d3-4638-8a07-9b378b365bf7">
      <Terms xmlns="http://schemas.microsoft.com/office/infopath/2007/PartnerControls"/>
    </lcf76f155ced4ddcb4097134ff3c332f>
    <TaxCatchAll xmlns="cda295b6-96a7-4b57-8839-4a60319e0d9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31C601A3A5534C8045636B287F3CDD" ma:contentTypeVersion="12" ma:contentTypeDescription="Create a new document." ma:contentTypeScope="" ma:versionID="751a2a1e304638ee350b1bc095a9b86e">
  <xsd:schema xmlns:xsd="http://www.w3.org/2001/XMLSchema" xmlns:xs="http://www.w3.org/2001/XMLSchema" xmlns:p="http://schemas.microsoft.com/office/2006/metadata/properties" xmlns:ns1="http://schemas.microsoft.com/sharepoint/v3" xmlns:ns2="1e9eaaa1-f2d3-4638-8a07-9b378b365bf7" xmlns:ns3="cda295b6-96a7-4b57-8839-4a60319e0d99" targetNamespace="http://schemas.microsoft.com/office/2006/metadata/properties" ma:root="true" ma:fieldsID="6ac366bfc2972d3e07b6bd36443b0872" ns1:_="" ns2:_="" ns3:_="">
    <xsd:import namespace="http://schemas.microsoft.com/sharepoint/v3"/>
    <xsd:import namespace="1e9eaaa1-f2d3-4638-8a07-9b378b365bf7"/>
    <xsd:import namespace="cda295b6-96a7-4b57-8839-4a60319e0d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eaaa1-f2d3-4638-8a07-9b378b365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a295b6-96a7-4b57-8839-4a60319e0d9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d7e1d407-50da-402e-8bfd-df8402b290ed}" ma:internalName="TaxCatchAll" ma:showField="CatchAllData" ma:web="cda295b6-96a7-4b57-8839-4a60319e0d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56E2D9-BFF2-4889-86C6-710C7AE44440}"/>
</file>

<file path=customXml/itemProps2.xml><?xml version="1.0" encoding="utf-8"?>
<ds:datastoreItem xmlns:ds="http://schemas.openxmlformats.org/officeDocument/2006/customXml" ds:itemID="{7FFD692E-52FF-405D-9AF6-C936A3AD9A49}"/>
</file>

<file path=customXml/itemProps3.xml><?xml version="1.0" encoding="utf-8"?>
<ds:datastoreItem xmlns:ds="http://schemas.openxmlformats.org/officeDocument/2006/customXml" ds:itemID="{4587A46B-B4F7-43B6-AE91-D35521CAFA0F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Manager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description/>
  <cp:revision/>
  <dcterms:created xsi:type="dcterms:W3CDTF">2011-07-12T19:59:00Z</dcterms:created>
  <dcterms:modified xsi:type="dcterms:W3CDTF">2025-06-19T14:24:37Z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AEE00F85EC38216D43276C679B844DF9_43</vt:lpwstr>
  </property>
  <property fmtid="{D5CDD505-2E9C-101B-9397-08002B2CF9AE}" pid="3" name="KSOProductBuildVer">
    <vt:lpwstr>2052-6.11.0.8885</vt:lpwstr>
  </property>
  <property fmtid="{D5CDD505-2E9C-101B-9397-08002B2CF9AE}" pid="4" name="ContentTypeId">
    <vt:lpwstr>0x0101001431C601A3A5534C8045636B287F3CDD</vt:lpwstr>
  </property>
  <property fmtid="{D5CDD505-2E9C-101B-9397-08002B2CF9AE}" pid="5" name="MediaServiceImageTags">
    <vt:lpwstr/>
  </property>
</Properties>
</file>