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3"/>
  <workbookPr/>
  <mc:AlternateContent xmlns:mc="http://schemas.openxmlformats.org/markup-compatibility/2006">
    <mc:Choice Requires="x15">
      <x15ac:absPath xmlns:x15ac="http://schemas.microsoft.com/office/spreadsheetml/2010/11/ac" url="https://microsoft.sharepoint-df.com/teams/ExcelOPAI/Shared Documents/General/Architecture/Data files/"/>
    </mc:Choice>
  </mc:AlternateContent>
  <xr:revisionPtr revIDLastSave="0" documentId="8_{BACA2212-9AC4-478C-B6A5-3AB1B7B08647}" xr6:coauthVersionLast="47" xr6:coauthVersionMax="47" xr10:uidLastSave="{00000000-0000-0000-0000-000000000000}"/>
  <bookViews>
    <workbookView xWindow="-120" yWindow="-120" windowWidth="29040" windowHeight="15720" xr2:uid="{00000000-000D-0000-FFFF-FFFF00000000}"/>
  </bookViews>
  <sheets>
    <sheet name="2024 BUDGET" sheetId="1" r:id="rId1"/>
    <sheet name="2024 Cash flow" sheetId="11" r:id="rId2"/>
    <sheet name="FOOD SUPPORT" sheetId="16" r:id="rId3"/>
  </sheets>
  <definedNames>
    <definedName name="LastCol">COUNTA('2024 BUDGET'!$4:$4)+1</definedName>
    <definedName name="PrintArea_SET">OFFSET('2024 BUDGET'!$B$2,,,MATCH(REPT("z",255),'2024 BUDGET'!$B:$B),LastCol)</definedName>
    <definedName name="Start_Date" localSheetId="1">'2024 Cash flow'!$F$4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5" i="1" l="1"/>
  <c r="O24" i="1"/>
  <c r="O9" i="1"/>
  <c r="O8" i="1"/>
  <c r="O11" i="1"/>
  <c r="O12" i="1"/>
  <c r="O10" i="1"/>
  <c r="O21" i="1"/>
  <c r="O22" i="1"/>
  <c r="O20" i="1"/>
  <c r="O19" i="1"/>
  <c r="O28" i="1"/>
  <c r="C21" i="11"/>
  <c r="D21" i="11"/>
  <c r="E21" i="11"/>
  <c r="F21" i="11"/>
  <c r="G21" i="11"/>
  <c r="H21" i="11"/>
  <c r="I21" i="11"/>
  <c r="J21" i="11"/>
  <c r="K21" i="11"/>
  <c r="L21" i="11"/>
  <c r="M21" i="11"/>
  <c r="N21" i="11"/>
  <c r="O33" i="11"/>
  <c r="O34" i="11"/>
  <c r="O35" i="11"/>
  <c r="O36" i="11"/>
  <c r="O43" i="11"/>
  <c r="O42" i="11"/>
  <c r="O41" i="11"/>
  <c r="O40" i="11"/>
  <c r="O39" i="11"/>
  <c r="N37" i="11"/>
  <c r="N44" i="11"/>
  <c r="M37" i="11"/>
  <c r="M44" i="11"/>
  <c r="L37" i="11"/>
  <c r="L44" i="11"/>
  <c r="K37" i="11"/>
  <c r="K44" i="11"/>
  <c r="J37" i="11"/>
  <c r="O37" i="11" s="1"/>
  <c r="O44" i="11" s="1"/>
  <c r="J44" i="11"/>
  <c r="J45" i="11" s="1"/>
  <c r="K8" i="11" s="1"/>
  <c r="K20" i="11" s="1"/>
  <c r="K45" i="11" s="1"/>
  <c r="L8" i="11" s="1"/>
  <c r="L20" i="11" s="1"/>
  <c r="L45" i="11" s="1"/>
  <c r="M8" i="11" s="1"/>
  <c r="I37" i="11"/>
  <c r="I44" i="11"/>
  <c r="H37" i="11"/>
  <c r="H44" i="11"/>
  <c r="G37" i="11"/>
  <c r="G44" i="11"/>
  <c r="F37" i="11"/>
  <c r="F44" i="11"/>
  <c r="E37" i="11"/>
  <c r="E44" i="11"/>
  <c r="D37" i="11"/>
  <c r="D44" i="11"/>
  <c r="C37" i="11"/>
  <c r="O32" i="11"/>
  <c r="O31" i="11"/>
  <c r="O30" i="11"/>
  <c r="O29" i="11"/>
  <c r="O28" i="11"/>
  <c r="O27" i="11"/>
  <c r="O26" i="11"/>
  <c r="O25" i="11"/>
  <c r="O24" i="11"/>
  <c r="M19" i="11"/>
  <c r="L19" i="11"/>
  <c r="K19" i="11"/>
  <c r="J19" i="11"/>
  <c r="I19" i="11"/>
  <c r="H19" i="11"/>
  <c r="G19" i="11"/>
  <c r="F19" i="11"/>
  <c r="E19" i="11"/>
  <c r="D19" i="11"/>
  <c r="C19" i="11"/>
  <c r="O18" i="11"/>
  <c r="O17" i="11"/>
  <c r="O16" i="11"/>
  <c r="O15" i="11"/>
  <c r="O14" i="11"/>
  <c r="O13" i="11"/>
  <c r="O12" i="11"/>
  <c r="C8" i="11"/>
  <c r="C20" i="11"/>
  <c r="C7" i="11"/>
  <c r="D7" i="11"/>
  <c r="E7" i="11"/>
  <c r="F7" i="11"/>
  <c r="G7" i="11"/>
  <c r="H7" i="11"/>
  <c r="I7" i="11"/>
  <c r="J7" i="11"/>
  <c r="K7" i="11"/>
  <c r="L7" i="11"/>
  <c r="M7" i="11"/>
  <c r="N7" i="11"/>
  <c r="O89" i="1"/>
  <c r="O64" i="1"/>
  <c r="O63" i="1"/>
  <c r="C67" i="1"/>
  <c r="D67" i="1"/>
  <c r="E67" i="1"/>
  <c r="F67" i="1"/>
  <c r="G67" i="1"/>
  <c r="H67" i="1"/>
  <c r="I67" i="1"/>
  <c r="J67" i="1"/>
  <c r="K67" i="1"/>
  <c r="L67" i="1"/>
  <c r="M67" i="1"/>
  <c r="N67" i="1"/>
  <c r="O51" i="1"/>
  <c r="O52" i="1"/>
  <c r="O53" i="1"/>
  <c r="O54" i="1"/>
  <c r="O55" i="1"/>
  <c r="O35" i="1"/>
  <c r="O36" i="1"/>
  <c r="O34" i="1"/>
  <c r="O33" i="1"/>
  <c r="O32" i="1"/>
  <c r="O31" i="1"/>
  <c r="O37" i="1"/>
  <c r="O38" i="1"/>
  <c r="O39" i="1"/>
  <c r="C47" i="1"/>
  <c r="D47" i="1"/>
  <c r="E47" i="1"/>
  <c r="F47" i="1"/>
  <c r="G47" i="1"/>
  <c r="H47" i="1"/>
  <c r="I47" i="1"/>
  <c r="J47" i="1"/>
  <c r="K47" i="1"/>
  <c r="L47" i="1"/>
  <c r="M47" i="1"/>
  <c r="N47" i="1"/>
  <c r="O42" i="1"/>
  <c r="O41" i="1"/>
  <c r="O40" i="1"/>
  <c r="O30" i="1"/>
  <c r="O29" i="1"/>
  <c r="O27" i="1"/>
  <c r="O26" i="1"/>
  <c r="O6" i="1"/>
  <c r="O7" i="1"/>
  <c r="O13" i="1"/>
  <c r="O14" i="1"/>
  <c r="O15" i="1"/>
  <c r="O16" i="1"/>
  <c r="O17" i="1"/>
  <c r="O18" i="1"/>
  <c r="O23" i="1"/>
  <c r="O43" i="1"/>
  <c r="O44" i="1"/>
  <c r="O45" i="1"/>
  <c r="O46" i="1"/>
  <c r="C56" i="1"/>
  <c r="D56" i="1"/>
  <c r="E56" i="1"/>
  <c r="F56" i="1"/>
  <c r="G56" i="1"/>
  <c r="H56" i="1"/>
  <c r="I56" i="1"/>
  <c r="J56" i="1"/>
  <c r="K56" i="1"/>
  <c r="L56" i="1"/>
  <c r="M56" i="1"/>
  <c r="N56" i="1"/>
  <c r="O56" i="1"/>
  <c r="O59" i="1"/>
  <c r="O60" i="1"/>
  <c r="O61" i="1"/>
  <c r="O103" i="1"/>
  <c r="O108" i="1"/>
  <c r="O110" i="1"/>
  <c r="O81" i="1"/>
  <c r="O80" i="1"/>
  <c r="C44" i="11"/>
  <c r="C45" i="11"/>
  <c r="D8" i="11"/>
  <c r="D20" i="11"/>
  <c r="D45" i="11"/>
  <c r="E8" i="11"/>
  <c r="E20" i="11"/>
  <c r="E45" i="11"/>
  <c r="F8" i="11"/>
  <c r="F20" i="11"/>
  <c r="F45" i="11"/>
  <c r="G8" i="11"/>
  <c r="G20" i="11"/>
  <c r="G45" i="11"/>
  <c r="H8" i="11"/>
  <c r="H20" i="11"/>
  <c r="H45" i="11"/>
  <c r="I8" i="11"/>
  <c r="I20" i="11"/>
  <c r="I45" i="11"/>
  <c r="J8" i="11"/>
  <c r="J20" i="11"/>
  <c r="D141" i="1"/>
  <c r="E141" i="1"/>
  <c r="F141" i="1"/>
  <c r="G141" i="1"/>
  <c r="H141" i="1"/>
  <c r="I141" i="1"/>
  <c r="J141" i="1"/>
  <c r="K141" i="1"/>
  <c r="L141" i="1"/>
  <c r="M141" i="1"/>
  <c r="N141" i="1"/>
  <c r="C141" i="1"/>
  <c r="D133" i="1"/>
  <c r="E133" i="1"/>
  <c r="F133" i="1"/>
  <c r="G133" i="1"/>
  <c r="H133" i="1"/>
  <c r="I133" i="1"/>
  <c r="J133" i="1"/>
  <c r="K133" i="1"/>
  <c r="L133" i="1"/>
  <c r="M133" i="1"/>
  <c r="N133" i="1"/>
  <c r="C133" i="1"/>
  <c r="D125" i="1"/>
  <c r="E125" i="1"/>
  <c r="F125" i="1"/>
  <c r="G125" i="1"/>
  <c r="H125" i="1"/>
  <c r="I125" i="1"/>
  <c r="J125" i="1"/>
  <c r="K125" i="1"/>
  <c r="L125" i="1"/>
  <c r="M125" i="1"/>
  <c r="N125" i="1"/>
  <c r="C125" i="1"/>
  <c r="D117" i="1"/>
  <c r="E117" i="1"/>
  <c r="F117" i="1"/>
  <c r="G117" i="1"/>
  <c r="H117" i="1"/>
  <c r="I117" i="1"/>
  <c r="J117" i="1"/>
  <c r="K117" i="1"/>
  <c r="L117" i="1"/>
  <c r="M117" i="1"/>
  <c r="N117" i="1"/>
  <c r="C117" i="1"/>
  <c r="D111" i="1"/>
  <c r="E111" i="1"/>
  <c r="F111" i="1"/>
  <c r="G111" i="1"/>
  <c r="H111" i="1"/>
  <c r="I111" i="1"/>
  <c r="J111" i="1"/>
  <c r="K111" i="1"/>
  <c r="L111" i="1"/>
  <c r="M111" i="1"/>
  <c r="N111" i="1"/>
  <c r="C111" i="1"/>
  <c r="D99" i="1"/>
  <c r="E99" i="1"/>
  <c r="F99" i="1"/>
  <c r="G99" i="1"/>
  <c r="H99" i="1"/>
  <c r="I99" i="1"/>
  <c r="J99" i="1"/>
  <c r="K99" i="1"/>
  <c r="L99" i="1"/>
  <c r="M99" i="1"/>
  <c r="N99" i="1"/>
  <c r="C99" i="1"/>
  <c r="D90" i="1"/>
  <c r="E90" i="1"/>
  <c r="F90" i="1"/>
  <c r="G90" i="1"/>
  <c r="H90" i="1"/>
  <c r="I90" i="1"/>
  <c r="J90" i="1"/>
  <c r="K90" i="1"/>
  <c r="L90" i="1"/>
  <c r="M90" i="1"/>
  <c r="N90" i="1"/>
  <c r="C90" i="1"/>
  <c r="O137" i="1"/>
  <c r="O138" i="1"/>
  <c r="O139" i="1"/>
  <c r="O140" i="1"/>
  <c r="O136" i="1"/>
  <c r="O129" i="1"/>
  <c r="O130" i="1"/>
  <c r="O131" i="1"/>
  <c r="O132" i="1"/>
  <c r="O128" i="1"/>
  <c r="O121" i="1"/>
  <c r="O122" i="1"/>
  <c r="O123" i="1"/>
  <c r="O124" i="1"/>
  <c r="O120" i="1"/>
  <c r="O115" i="1"/>
  <c r="O116" i="1"/>
  <c r="O114" i="1"/>
  <c r="O104" i="1"/>
  <c r="O105" i="1"/>
  <c r="O109" i="1"/>
  <c r="O102" i="1"/>
  <c r="O94" i="1"/>
  <c r="O95" i="1"/>
  <c r="O96" i="1"/>
  <c r="O97" i="1"/>
  <c r="O98" i="1"/>
  <c r="O93" i="1"/>
  <c r="O99" i="1" s="1"/>
  <c r="O86" i="1"/>
  <c r="O87" i="1"/>
  <c r="O88" i="1"/>
  <c r="O85" i="1"/>
  <c r="O90" i="1" s="1"/>
  <c r="D82" i="1"/>
  <c r="E82" i="1"/>
  <c r="F82" i="1"/>
  <c r="G82" i="1"/>
  <c r="H82" i="1"/>
  <c r="I82" i="1"/>
  <c r="J82" i="1"/>
  <c r="K82" i="1"/>
  <c r="L82" i="1"/>
  <c r="M82" i="1"/>
  <c r="N82" i="1"/>
  <c r="C82" i="1"/>
  <c r="O77" i="1"/>
  <c r="O78" i="1"/>
  <c r="O79" i="1"/>
  <c r="O76" i="1"/>
  <c r="D73" i="1"/>
  <c r="E73" i="1"/>
  <c r="F73" i="1"/>
  <c r="G73" i="1"/>
  <c r="H73" i="1"/>
  <c r="I73" i="1"/>
  <c r="J73" i="1"/>
  <c r="K73" i="1"/>
  <c r="L73" i="1"/>
  <c r="M73" i="1"/>
  <c r="N73" i="1"/>
  <c r="C73" i="1"/>
  <c r="O71" i="1"/>
  <c r="O72" i="1"/>
  <c r="O70" i="1"/>
  <c r="O73" i="1" s="1"/>
  <c r="O62" i="1"/>
  <c r="O65" i="1"/>
  <c r="O66" i="1"/>
  <c r="O82" i="1"/>
  <c r="O133" i="1"/>
  <c r="O125" i="1"/>
  <c r="O117" i="1"/>
  <c r="O111" i="1"/>
  <c r="O67" i="1"/>
  <c r="J144" i="1"/>
  <c r="I144" i="1"/>
  <c r="H144" i="1"/>
  <c r="C144" i="1"/>
  <c r="G144" i="1"/>
  <c r="N144" i="1"/>
  <c r="N145" i="1" s="1"/>
  <c r="M144" i="1"/>
  <c r="L144" i="1"/>
  <c r="L145" i="1" s="1"/>
  <c r="D144" i="1"/>
  <c r="F144" i="1"/>
  <c r="F145" i="1" s="1"/>
  <c r="E144" i="1"/>
  <c r="E145" i="1" s="1"/>
  <c r="O141" i="1"/>
  <c r="C145" i="1"/>
  <c r="I145" i="1"/>
  <c r="H145" i="1"/>
  <c r="G145" i="1"/>
  <c r="J145" i="1"/>
  <c r="D145" i="1"/>
  <c r="M20" i="11" l="1"/>
  <c r="M45" i="11" s="1"/>
  <c r="N8" i="11" s="1"/>
  <c r="N20" i="11" s="1"/>
  <c r="N45" i="11" s="1"/>
  <c r="O19" i="11"/>
  <c r="K144" i="1"/>
  <c r="K145" i="1" s="1"/>
  <c r="M145" i="1"/>
  <c r="O144" i="1"/>
  <c r="O47" i="1"/>
  <c r="O145" i="1" l="1"/>
</calcChain>
</file>

<file path=xl/sharedStrings.xml><?xml version="1.0" encoding="utf-8"?>
<sst xmlns="http://schemas.openxmlformats.org/spreadsheetml/2006/main" count="696" uniqueCount="209">
  <si>
    <t xml:space="preserve"> </t>
  </si>
  <si>
    <t>REVENUE</t>
  </si>
  <si>
    <t>INCOME</t>
  </si>
  <si>
    <t>JAN</t>
  </si>
  <si>
    <t>FEB</t>
  </si>
  <si>
    <t>MAR</t>
  </si>
  <si>
    <t>APR</t>
  </si>
  <si>
    <t>MAY</t>
  </si>
  <si>
    <t>JUN</t>
  </si>
  <si>
    <t>JUL</t>
  </si>
  <si>
    <t>AUG</t>
  </si>
  <si>
    <t>SEP</t>
  </si>
  <si>
    <t>OCT</t>
  </si>
  <si>
    <t>NOV</t>
  </si>
  <si>
    <t>DEC</t>
  </si>
  <si>
    <t>YEAR</t>
  </si>
  <si>
    <t>SPARKLINE</t>
  </si>
  <si>
    <t>MONTHLY DONATIONS</t>
  </si>
  <si>
    <t>ONE TIME DONATION</t>
  </si>
  <si>
    <t>CHECK</t>
  </si>
  <si>
    <t>FORMER DONOR</t>
  </si>
  <si>
    <t>DONOR</t>
  </si>
  <si>
    <t>APPAREL/CRAFT SALES</t>
  </si>
  <si>
    <t>CHRISTMAS EVENT</t>
  </si>
  <si>
    <t>Miscellaneous</t>
  </si>
  <si>
    <t>Total</t>
  </si>
  <si>
    <t>EXPENSES</t>
  </si>
  <si>
    <t>ADMINISTRATION</t>
  </si>
  <si>
    <t>TRIP EXPENSE</t>
  </si>
  <si>
    <t>OTHER</t>
  </si>
  <si>
    <t>HAVEN SCHOOL (125 STUDENTS)</t>
  </si>
  <si>
    <t>SCHOOL SCHOLARSHIP (96 STUDENTS)</t>
  </si>
  <si>
    <t>SCHOLARSHIPS QUARTERLY 23.075M</t>
  </si>
  <si>
    <t>FOOD SUPPORT</t>
  </si>
  <si>
    <t>HEALTH AND MEDICAL</t>
  </si>
  <si>
    <t>HOSPITAL BILL</t>
  </si>
  <si>
    <t>EMERGENCY</t>
  </si>
  <si>
    <t>MOBILE CLINIC</t>
  </si>
  <si>
    <t>SPECIAL SUPPORT</t>
  </si>
  <si>
    <t>BUSINESS DEVELOPMENT</t>
  </si>
  <si>
    <t>COODINATOR</t>
  </si>
  <si>
    <t>MODEL FARM</t>
  </si>
  <si>
    <t>COFFEE FARM</t>
  </si>
  <si>
    <t>CHICKENS</t>
  </si>
  <si>
    <t>\]</t>
  </si>
  <si>
    <t/>
  </si>
  <si>
    <t>BEADS</t>
  </si>
  <si>
    <t>BASKETS</t>
  </si>
  <si>
    <t>LAND</t>
  </si>
  <si>
    <t>CLEAN WATER</t>
  </si>
  <si>
    <t>Column1</t>
  </si>
  <si>
    <t>MISC PAYMENTS</t>
  </si>
  <si>
    <t xml:space="preserve">   Other</t>
  </si>
  <si>
    <t>TOTALS</t>
  </si>
  <si>
    <t>Total expenses</t>
  </si>
  <si>
    <t>Cash short/extra</t>
  </si>
  <si>
    <t>Cash flow forecast</t>
  </si>
  <si>
    <t>Starting cash on hand</t>
  </si>
  <si>
    <t>Starting date</t>
  </si>
  <si>
    <t>Cash minimum balance alert</t>
  </si>
  <si>
    <t>Cash on hand (beginning of month)</t>
  </si>
  <si>
    <t>Cash receipts</t>
  </si>
  <si>
    <t>MONTHLY DONATION</t>
  </si>
  <si>
    <t>LEAVE BLANK</t>
  </si>
  <si>
    <t>FUNDRAISER</t>
  </si>
  <si>
    <t>MERCH SALE</t>
  </si>
  <si>
    <t>MICRO REPAYMENT</t>
  </si>
  <si>
    <t>Other receipts</t>
  </si>
  <si>
    <t>Total cash receipts</t>
  </si>
  <si>
    <t>Total cash available</t>
  </si>
  <si>
    <t>Cash paid out</t>
  </si>
  <si>
    <t>HAVEN SCHOOL</t>
  </si>
  <si>
    <t>SHOOL SHOLARSHIP</t>
  </si>
  <si>
    <t>Other expenses</t>
  </si>
  <si>
    <t>Subtotal</t>
  </si>
  <si>
    <t>Loan principal payment</t>
  </si>
  <si>
    <t>T Capital purchases</t>
  </si>
  <si>
    <t>T Other startup costs</t>
  </si>
  <si>
    <t>T To reserve and/or escrow</t>
  </si>
  <si>
    <t>T Owners' withdrawal</t>
  </si>
  <si>
    <t>Total cash paid out</t>
  </si>
  <si>
    <t>Cash on hand (end of month)</t>
  </si>
  <si>
    <t>Other operating data</t>
  </si>
  <si>
    <t>FUNDS REMAINING IN U.S.</t>
  </si>
  <si>
    <t>T Inventory on hand</t>
  </si>
  <si>
    <t>T Accounts payable balance</t>
  </si>
  <si>
    <t>T Depreciation</t>
  </si>
  <si>
    <t>TERM END REQ</t>
  </si>
  <si>
    <t>GRADUATION TOP CLASS</t>
  </si>
  <si>
    <t>PIGGERY</t>
  </si>
  <si>
    <t>NAME</t>
  </si>
  <si>
    <t>HAVEN FAMILY FOOD SUPPORT</t>
  </si>
  <si>
    <t>QTNY</t>
  </si>
  <si>
    <t>AMOUNT</t>
  </si>
  <si>
    <t>POSHO</t>
  </si>
  <si>
    <t>25KgS</t>
  </si>
  <si>
    <t>RICE</t>
  </si>
  <si>
    <t>10kgs</t>
  </si>
  <si>
    <t>BEANS</t>
  </si>
  <si>
    <t>SUGAR</t>
  </si>
  <si>
    <t>SOAP</t>
  </si>
  <si>
    <t>3PCS</t>
  </si>
  <si>
    <t>COOKING OIL</t>
  </si>
  <si>
    <t>1.5ltrs</t>
  </si>
  <si>
    <t>VASCILINE</t>
  </si>
  <si>
    <t>1 tin</t>
  </si>
  <si>
    <t>SALT</t>
  </si>
  <si>
    <t>total</t>
  </si>
  <si>
    <t>25KGS</t>
  </si>
  <si>
    <t>10KGS</t>
  </si>
  <si>
    <t>1.5LTRS</t>
  </si>
  <si>
    <t>VASCLINE</t>
  </si>
  <si>
    <t>1TIN</t>
  </si>
  <si>
    <t>8KGS</t>
  </si>
  <si>
    <t>1LT</t>
  </si>
  <si>
    <t>2PCS</t>
  </si>
  <si>
    <t>VASELINE</t>
  </si>
  <si>
    <t>1LTR</t>
  </si>
  <si>
    <t>COOKIND OIL</t>
  </si>
  <si>
    <t>COOKING</t>
  </si>
  <si>
    <t>VASELIN</t>
  </si>
  <si>
    <t>TOTAL AMOUNT SPENT ON HAVEN FAMILIES</t>
  </si>
  <si>
    <t xml:space="preserve"> POSHO</t>
  </si>
  <si>
    <t>50KGS</t>
  </si>
  <si>
    <t>5LTR</t>
  </si>
  <si>
    <t>10PCS</t>
  </si>
  <si>
    <t>G.NUTS</t>
  </si>
  <si>
    <t>3KGS</t>
  </si>
  <si>
    <t>1 TIN</t>
  </si>
  <si>
    <t>FIREWOOD</t>
  </si>
  <si>
    <t>PAMPER</t>
  </si>
  <si>
    <t>VEGETABLES</t>
  </si>
  <si>
    <t>MILK (FOR BABY)</t>
  </si>
  <si>
    <t>1 MONTH</t>
  </si>
  <si>
    <t>TOILET PAPER</t>
  </si>
  <si>
    <t>DETERGENT</t>
  </si>
  <si>
    <t>BREAD</t>
  </si>
  <si>
    <t>4PCS</t>
  </si>
  <si>
    <t>HOUSE HELPER</t>
  </si>
  <si>
    <t>GUARD</t>
  </si>
  <si>
    <t>FOR  FEW OTHER NEEDS+TRANSPORT</t>
  </si>
  <si>
    <t>BALANCE</t>
  </si>
  <si>
    <t>SENT TO HER PHONE</t>
  </si>
  <si>
    <t>5LTRS</t>
  </si>
  <si>
    <t>SOYA FLOUR</t>
  </si>
  <si>
    <t>5PCS</t>
  </si>
  <si>
    <t>CANDLES</t>
  </si>
  <si>
    <t>2PCKS</t>
  </si>
  <si>
    <t>M.BOX</t>
  </si>
  <si>
    <t>1BOX</t>
  </si>
  <si>
    <t>TRANSPORT</t>
  </si>
  <si>
    <t>SPICES AND BEAF FOR KIDS</t>
  </si>
  <si>
    <t>TOTAL ON THE SPECIAL FAMILIES</t>
  </si>
  <si>
    <t>GRACIA, CHRISTOPHER AND AVERY</t>
  </si>
  <si>
    <t>ANA, ISABEL AND BRIANNA</t>
  </si>
  <si>
    <t>BROOKS, JORDAN AND GRACE</t>
  </si>
  <si>
    <t>WAGNER, ROWAN AND VICTORIA</t>
  </si>
  <si>
    <t>BURKE, MALIK AND ASHLEY</t>
  </si>
  <si>
    <t>HARRIS, QUINN AND MICHELLE</t>
  </si>
  <si>
    <t>NYUYEN, JAMIE AND AVERY</t>
  </si>
  <si>
    <t>NYUYEN, HENRY AND HAYDEN</t>
  </si>
  <si>
    <t>ROGERS, MARIO AND NICOLE</t>
  </si>
  <si>
    <t>KIRBY, WILLIAM AND LIBBY</t>
  </si>
  <si>
    <t xml:space="preserve">DIRECTOR AND ADMIN SALARY </t>
  </si>
  <si>
    <t xml:space="preserve">CAR/FUEL </t>
  </si>
  <si>
    <t xml:space="preserve"> HOME OFFICE RENT</t>
  </si>
  <si>
    <t xml:space="preserve">RENT QUARTERLY </t>
  </si>
  <si>
    <t xml:space="preserve">SALARIES </t>
  </si>
  <si>
    <t xml:space="preserve">FOOD/WATER </t>
  </si>
  <si>
    <t xml:space="preserve">REGISTRATION SCHOOL </t>
  </si>
  <si>
    <t xml:space="preserve">TRANSPORT FIREWOOD/LUNCH </t>
  </si>
  <si>
    <t xml:space="preserve">AMELIE </t>
  </si>
  <si>
    <t>HENDERSON FAMILY</t>
  </si>
  <si>
    <t>JUAN FAMILY</t>
  </si>
  <si>
    <t>ADRIAN, AMELIE, SCHROEDER FAMILY</t>
  </si>
  <si>
    <t xml:space="preserve">FOOD SUPPORT X 12 FAMILIES </t>
  </si>
  <si>
    <t xml:space="preserve">ADRIAN KING RENT </t>
  </si>
  <si>
    <t>CORA THOMAS SPECIAL GIFT MUSIC COMPUTER</t>
  </si>
  <si>
    <t>O. HENDERSON HAVEN HOME BEDS, BEDDING, NETS</t>
  </si>
  <si>
    <t>MICRO LOAN (REED)</t>
  </si>
  <si>
    <t>LAND 4 PLOTS</t>
  </si>
  <si>
    <t xml:space="preserve">WATER FILTER </t>
  </si>
  <si>
    <t>CONSULTATION Michael Peltier</t>
  </si>
  <si>
    <t>FUNDS TRANSFERRED</t>
  </si>
  <si>
    <t>FUNDS IN COUNTRY</t>
  </si>
  <si>
    <t>Markus Long</t>
  </si>
  <si>
    <t>Miguel Reyes</t>
  </si>
  <si>
    <t>Devon Torres</t>
  </si>
  <si>
    <t>Abigail Jackson</t>
  </si>
  <si>
    <t>Monica Thomson</t>
  </si>
  <si>
    <t>Reed Flores</t>
  </si>
  <si>
    <t>Sydney Mattos</t>
  </si>
  <si>
    <t>Riley Ramirez</t>
  </si>
  <si>
    <t>Avery Howard</t>
  </si>
  <si>
    <t>Jacob Hancock</t>
  </si>
  <si>
    <t>Henry Ross</t>
  </si>
  <si>
    <t>Jamie Evans</t>
  </si>
  <si>
    <t>Kendall Collins</t>
  </si>
  <si>
    <t>Michael Peltier</t>
  </si>
  <si>
    <t>Malik Barden</t>
  </si>
  <si>
    <t>Cameron Baker</t>
  </si>
  <si>
    <t>Oscar Ward</t>
  </si>
  <si>
    <t>SPECIAL  FAMILIES</t>
  </si>
  <si>
    <t>Eugenia Lopez</t>
  </si>
  <si>
    <t>Rory Nyuyen</t>
  </si>
  <si>
    <t>MIXED FLOUR (FOR BABY</t>
  </si>
  <si>
    <t>CONTOSO ONG</t>
  </si>
  <si>
    <t xml:space="preserve">CONTOSO ONG 2024     </t>
  </si>
  <si>
    <t xml:space="preserve">CONSULTING FEE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</si>
</sst>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00"/>
    <numFmt numFmtId="165" formatCode="mmm\ yyyy"/>
  </numFmts>
  <fonts count="23" x14ac:knownFonts="1">
    <font>
      <sz val="10"/>
      <color theme="1" tint="0.14993743705557422"/>
      <name val="verdana"/>
      <family val="2"/>
      <scheme val="minor"/>
    </font>
    <font>
      <b/>
      <sz val="10"/>
      <color theme="1" tint="0.14990691854609822"/>
      <name val="Gill Sans MT"/>
      <family val="2"/>
      <scheme val="major"/>
    </font>
    <font>
      <sz val="11"/>
      <color theme="1" tint="0.14993743705557422"/>
      <name val="Gill Sans MT"/>
      <family val="2"/>
      <scheme val="major"/>
    </font>
    <font>
      <sz val="22"/>
      <color theme="1" tint="0.14993743705557422"/>
      <name val="Gill Sans MT"/>
      <family val="2"/>
      <scheme val="major"/>
    </font>
    <font>
      <sz val="12"/>
      <color theme="1" tint="0.14993743705557422"/>
      <name val="verdana"/>
      <family val="2"/>
      <scheme val="minor"/>
    </font>
    <font>
      <sz val="14"/>
      <color theme="0"/>
      <name val="Gill Sans MT"/>
      <family val="2"/>
      <scheme val="major"/>
    </font>
    <font>
      <sz val="11"/>
      <color theme="0"/>
      <name val="verdana"/>
      <family val="2"/>
      <scheme val="minor"/>
    </font>
    <font>
      <sz val="11"/>
      <color theme="1" tint="0.14993743705557422"/>
      <name val="verdana"/>
      <family val="2"/>
      <scheme val="minor"/>
    </font>
    <font>
      <sz val="72"/>
      <color theme="5" tint="-0.499984740745262"/>
      <name val="Gill Sans MT"/>
      <family val="2"/>
      <scheme val="major"/>
    </font>
    <font>
      <sz val="14"/>
      <color theme="1" tint="0.14993743705557422"/>
      <name val="Gill Sans MT"/>
      <family val="2"/>
      <scheme val="major"/>
    </font>
    <font>
      <sz val="18"/>
      <color theme="1" tint="0.14993743705557422"/>
      <name val="Gill Sans MT"/>
      <family val="2"/>
      <scheme val="major"/>
    </font>
    <font>
      <sz val="14"/>
      <name val="Gill Sans MT"/>
      <family val="2"/>
      <scheme val="major"/>
    </font>
    <font>
      <b/>
      <sz val="11"/>
      <color theme="1" tint="0.14993743705557422"/>
      <name val="verdana"/>
      <family val="2"/>
      <scheme val="minor"/>
    </font>
    <font>
      <sz val="11"/>
      <color rgb="FFFF0000"/>
      <name val="verdana"/>
      <family val="2"/>
      <scheme val="minor"/>
    </font>
    <font>
      <sz val="10"/>
      <color theme="1"/>
      <name val="verdana"/>
      <family val="2"/>
      <scheme val="minor"/>
    </font>
    <font>
      <sz val="28"/>
      <color theme="0"/>
      <name val="Gill Sans MT"/>
      <family val="2"/>
      <scheme val="major"/>
    </font>
    <font>
      <sz val="58"/>
      <color theme="6"/>
      <name val="verdana"/>
      <family val="2"/>
      <scheme val="minor"/>
    </font>
    <font>
      <sz val="10"/>
      <color theme="0"/>
      <name val="verdana"/>
      <family val="2"/>
      <scheme val="minor"/>
    </font>
    <font>
      <sz val="14"/>
      <color theme="6" tint="-0.499984740745262"/>
      <name val="Franklin Gothic Demi"/>
      <family val="2"/>
    </font>
    <font>
      <sz val="10"/>
      <color theme="6" tint="-0.499984740745262"/>
      <name val="verdana"/>
      <family val="2"/>
      <scheme val="minor"/>
    </font>
    <font>
      <sz val="10"/>
      <color theme="3"/>
      <name val="verdana"/>
      <family val="2"/>
      <scheme val="minor"/>
    </font>
    <font>
      <b/>
      <sz val="11"/>
      <color theme="1"/>
      <name val="verdana"/>
      <family val="2"/>
      <scheme val="minor"/>
    </font>
    <font>
      <sz val="11"/>
      <color rgb="FF000000"/>
      <name val="Calibri"/>
      <family val="2"/>
    </font>
  </fonts>
  <fills count="15">
    <fill>
      <patternFill patternType="none"/>
    </fill>
    <fill>
      <patternFill patternType="gray125"/>
    </fill>
    <fill>
      <gradientFill degree="90">
        <stop position="0">
          <color theme="0"/>
        </stop>
        <stop position="1">
          <color theme="5" tint="0.80001220740379042"/>
        </stop>
      </gradientFill>
    </fill>
    <fill>
      <patternFill patternType="solid">
        <fgColor theme="4"/>
        <bgColor indexed="64"/>
      </patternFill>
    </fill>
    <fill>
      <patternFill patternType="solid">
        <fgColor theme="0"/>
        <bgColor auto="1"/>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7F7F7"/>
        <bgColor indexed="64"/>
      </patternFill>
    </fill>
    <fill>
      <patternFill patternType="solid">
        <fgColor theme="3"/>
        <bgColor indexed="64"/>
      </patternFill>
    </fill>
    <fill>
      <patternFill patternType="solid">
        <fgColor theme="0"/>
        <bgColor indexed="64"/>
      </patternFill>
    </fill>
    <fill>
      <patternFill patternType="solid">
        <fgColor theme="5" tint="0.79998168889431442"/>
        <bgColor rgb="FFF7F7F7"/>
      </patternFill>
    </fill>
    <fill>
      <patternFill patternType="solid">
        <fgColor theme="3" tint="0.89999084444715716"/>
        <bgColor indexed="64"/>
      </patternFill>
    </fill>
    <fill>
      <patternFill patternType="solid">
        <fgColor theme="0" tint="-4.9989318521683403E-2"/>
        <bgColor indexed="64"/>
      </patternFill>
    </fill>
    <fill>
      <patternFill patternType="solid">
        <fgColor theme="6"/>
        <bgColor indexed="64"/>
      </patternFill>
    </fill>
    <fill>
      <patternFill patternType="solid">
        <fgColor theme="1" tint="0.499984740745262"/>
        <bgColor indexed="64"/>
      </patternFill>
    </fill>
  </fills>
  <borders count="49">
    <border>
      <left/>
      <right/>
      <top/>
      <bottom/>
      <diagonal/>
    </border>
    <border>
      <left/>
      <right/>
      <top/>
      <bottom style="medium">
        <color theme="4" tint="-0.24994659260841701"/>
      </bottom>
      <diagonal/>
    </border>
    <border>
      <left/>
      <right style="thin">
        <color theme="5" tint="0.39994506668294322"/>
      </right>
      <top style="thin">
        <color theme="5" tint="0.39994506668294322"/>
      </top>
      <bottom style="thin">
        <color theme="5" tint="0.39994506668294322"/>
      </bottom>
      <diagonal/>
    </border>
    <border>
      <left style="thin">
        <color theme="5" tint="0.39994506668294322"/>
      </left>
      <right style="thin">
        <color theme="5" tint="0.39994506668294322"/>
      </right>
      <top style="thin">
        <color theme="5" tint="0.39994506668294322"/>
      </top>
      <bottom style="thin">
        <color theme="5" tint="0.39994506668294322"/>
      </bottom>
      <diagonal/>
    </border>
    <border>
      <left style="thin">
        <color theme="0"/>
      </left>
      <right style="thin">
        <color theme="0"/>
      </right>
      <top/>
      <bottom/>
      <diagonal/>
    </border>
    <border>
      <left/>
      <right/>
      <top/>
      <bottom style="thin">
        <color theme="6" tint="-0.499984740745262"/>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right style="thin">
        <color theme="3" tint="0.79998168889431442"/>
      </right>
      <top style="thin">
        <color theme="3" tint="0.79998168889431442"/>
      </top>
      <bottom style="thin">
        <color theme="0"/>
      </bottom>
      <diagonal/>
    </border>
    <border>
      <left/>
      <right style="thin">
        <color theme="3" tint="0.79998168889431442"/>
      </right>
      <top style="thin">
        <color theme="0"/>
      </top>
      <bottom style="thin">
        <color theme="0"/>
      </bottom>
      <diagonal/>
    </border>
    <border>
      <left style="thin">
        <color theme="3" tint="0.79998168889431442"/>
      </left>
      <right style="thin">
        <color theme="0"/>
      </right>
      <top/>
      <bottom style="thin">
        <color theme="0"/>
      </bottom>
      <diagonal/>
    </border>
    <border>
      <left style="thin">
        <color theme="0"/>
      </left>
      <right style="thin">
        <color theme="3" tint="0.79998168889431442"/>
      </right>
      <top style="thin">
        <color theme="0"/>
      </top>
      <bottom style="thin">
        <color theme="0"/>
      </bottom>
      <diagonal/>
    </border>
    <border>
      <left style="thin">
        <color theme="3" tint="0.79998168889431442"/>
      </left>
      <right style="thin">
        <color theme="0"/>
      </right>
      <top style="thin">
        <color theme="0"/>
      </top>
      <bottom style="thin">
        <color theme="3" tint="0.79998168889431442"/>
      </bottom>
      <diagonal/>
    </border>
    <border>
      <left style="thin">
        <color theme="0"/>
      </left>
      <right style="thin">
        <color theme="0"/>
      </right>
      <top style="thin">
        <color theme="0"/>
      </top>
      <bottom style="thin">
        <color theme="3" tint="0.79998168889431442"/>
      </bottom>
      <diagonal/>
    </border>
    <border>
      <left style="thin">
        <color theme="0"/>
      </left>
      <right style="thin">
        <color theme="3" tint="0.79998168889431442"/>
      </right>
      <top style="thin">
        <color theme="0"/>
      </top>
      <bottom style="thin">
        <color theme="3" tint="0.79998168889431442"/>
      </bottom>
      <diagonal/>
    </border>
    <border>
      <left style="thin">
        <color theme="3" tint="0.79998168889431442"/>
      </left>
      <right style="thin">
        <color theme="0"/>
      </right>
      <top/>
      <bottom style="thin">
        <color theme="3" tint="0.79998168889431442"/>
      </bottom>
      <diagonal/>
    </border>
    <border>
      <left style="thin">
        <color theme="0"/>
      </left>
      <right style="thin">
        <color theme="0"/>
      </right>
      <top/>
      <bottom style="thin">
        <color theme="3" tint="0.79998168889431442"/>
      </bottom>
      <diagonal/>
    </border>
    <border>
      <left style="thin">
        <color theme="3" tint="0.79995117038483843"/>
      </left>
      <right style="thin">
        <color theme="3" tint="0.79998168889431442"/>
      </right>
      <top style="thin">
        <color theme="3" tint="0.79995117038483843"/>
      </top>
      <bottom style="thin">
        <color theme="3" tint="0.79998168889431442"/>
      </bottom>
      <diagonal/>
    </border>
    <border>
      <left style="thin">
        <color theme="3" tint="0.79998168889431442"/>
      </left>
      <right style="thin">
        <color theme="3" tint="0.79998168889431442"/>
      </right>
      <top style="thin">
        <color theme="3" tint="0.79995117038483843"/>
      </top>
      <bottom style="thin">
        <color theme="3" tint="0.79998168889431442"/>
      </bottom>
      <diagonal/>
    </border>
    <border>
      <left/>
      <right style="thin">
        <color theme="3" tint="0.79995117038483843"/>
      </right>
      <top style="thin">
        <color theme="3" tint="0.79995117038483843"/>
      </top>
      <bottom style="thin">
        <color theme="0"/>
      </bottom>
      <diagonal/>
    </border>
    <border>
      <left style="thin">
        <color theme="3" tint="0.79995117038483843"/>
      </left>
      <right style="thin">
        <color theme="3" tint="0.79998168889431442"/>
      </right>
      <top style="thin">
        <color theme="3" tint="0.79998168889431442"/>
      </top>
      <bottom style="thin">
        <color theme="3" tint="0.79998168889431442"/>
      </bottom>
      <diagonal/>
    </border>
    <border>
      <left/>
      <right style="thin">
        <color theme="3" tint="0.79995117038483843"/>
      </right>
      <top style="thin">
        <color theme="0"/>
      </top>
      <bottom style="thin">
        <color theme="0"/>
      </bottom>
      <diagonal/>
    </border>
    <border>
      <left style="thin">
        <color theme="3" tint="0.79995117038483843"/>
      </left>
      <right style="thin">
        <color theme="0"/>
      </right>
      <top/>
      <bottom style="thin">
        <color theme="0"/>
      </bottom>
      <diagonal/>
    </border>
    <border>
      <left style="thin">
        <color theme="0"/>
      </left>
      <right style="thin">
        <color theme="3" tint="0.79995117038483843"/>
      </right>
      <top style="thin">
        <color theme="0"/>
      </top>
      <bottom style="thin">
        <color theme="0"/>
      </bottom>
      <diagonal/>
    </border>
    <border>
      <left style="thin">
        <color theme="3" tint="0.79995117038483843"/>
      </left>
      <right style="thin">
        <color theme="0"/>
      </right>
      <top style="thin">
        <color theme="0"/>
      </top>
      <bottom style="thin">
        <color theme="3" tint="0.79995117038483843"/>
      </bottom>
      <diagonal/>
    </border>
    <border>
      <left style="thin">
        <color theme="0"/>
      </left>
      <right style="thin">
        <color theme="0"/>
      </right>
      <top style="thin">
        <color theme="0"/>
      </top>
      <bottom style="thin">
        <color theme="3" tint="0.79995117038483843"/>
      </bottom>
      <diagonal/>
    </border>
    <border>
      <left style="thin">
        <color theme="0"/>
      </left>
      <right style="thin">
        <color theme="3" tint="0.79995117038483843"/>
      </right>
      <top style="thin">
        <color theme="0"/>
      </top>
      <bottom style="thin">
        <color theme="3" tint="0.79995117038483843"/>
      </bottom>
      <diagonal/>
    </border>
    <border>
      <left style="thin">
        <color theme="3" tint="0.79992065187536243"/>
      </left>
      <right style="thin">
        <color theme="3" tint="0.79998168889431442"/>
      </right>
      <top style="thin">
        <color theme="3" tint="0.79992065187536243"/>
      </top>
      <bottom style="thin">
        <color theme="3" tint="0.79998168889431442"/>
      </bottom>
      <diagonal/>
    </border>
    <border>
      <left style="thin">
        <color theme="3" tint="0.79998168889431442"/>
      </left>
      <right style="thin">
        <color theme="3" tint="0.79998168889431442"/>
      </right>
      <top style="thin">
        <color theme="3" tint="0.79992065187536243"/>
      </top>
      <bottom style="thin">
        <color theme="3" tint="0.79998168889431442"/>
      </bottom>
      <diagonal/>
    </border>
    <border>
      <left style="thin">
        <color theme="3" tint="0.79998168889431442"/>
      </left>
      <right/>
      <top style="thin">
        <color theme="3" tint="0.79992065187536243"/>
      </top>
      <bottom style="thin">
        <color theme="3" tint="0.79998168889431442"/>
      </bottom>
      <diagonal/>
    </border>
    <border>
      <left style="thin">
        <color theme="3" tint="0.79995117038483843"/>
      </left>
      <right style="thin">
        <color theme="3" tint="0.79992065187536243"/>
      </right>
      <top style="thin">
        <color theme="3" tint="0.79992065187536243"/>
      </top>
      <bottom style="thin">
        <color theme="0"/>
      </bottom>
      <diagonal/>
    </border>
    <border>
      <left style="thin">
        <color theme="3" tint="0.79992065187536243"/>
      </left>
      <right style="thin">
        <color theme="3" tint="0.79998168889431442"/>
      </right>
      <top style="thin">
        <color theme="3" tint="0.79998168889431442"/>
      </top>
      <bottom style="thin">
        <color theme="3" tint="0.79998168889431442"/>
      </bottom>
      <diagonal/>
    </border>
    <border>
      <left/>
      <right style="thin">
        <color theme="3" tint="0.79992065187536243"/>
      </right>
      <top style="thin">
        <color theme="0"/>
      </top>
      <bottom style="thin">
        <color theme="0"/>
      </bottom>
      <diagonal/>
    </border>
    <border>
      <left style="thin">
        <color theme="3" tint="0.79992065187536243"/>
      </left>
      <right style="thin">
        <color theme="3" tint="0.79998168889431442"/>
      </right>
      <top style="thin">
        <color theme="3" tint="0.79995117038483843"/>
      </top>
      <bottom style="thin">
        <color theme="3" tint="0.79998168889431442"/>
      </bottom>
      <diagonal/>
    </border>
    <border>
      <left style="thin">
        <color theme="3" tint="0.79998168889431442"/>
      </left>
      <right/>
      <top style="thin">
        <color theme="3" tint="0.79995117038483843"/>
      </top>
      <bottom style="thin">
        <color theme="3" tint="0.79998168889431442"/>
      </bottom>
      <diagonal/>
    </border>
    <border>
      <left style="thin">
        <color theme="3" tint="0.79995117038483843"/>
      </left>
      <right style="thin">
        <color theme="3" tint="0.79992065187536243"/>
      </right>
      <top style="thin">
        <color theme="0"/>
      </top>
      <bottom style="thin">
        <color theme="0"/>
      </bottom>
      <diagonal/>
    </border>
    <border>
      <left style="thin">
        <color theme="3" tint="0.79992065187536243"/>
      </left>
      <right style="thin">
        <color theme="3" tint="0.79998168889431442"/>
      </right>
      <top style="thin">
        <color theme="3" tint="0.79998168889431442"/>
      </top>
      <bottom style="thin">
        <color theme="3" tint="0.79992065187536243"/>
      </bottom>
      <diagonal/>
    </border>
    <border>
      <left style="thin">
        <color theme="3" tint="0.79998168889431442"/>
      </left>
      <right style="thin">
        <color theme="3" tint="0.79998168889431442"/>
      </right>
      <top style="thin">
        <color theme="3" tint="0.79998168889431442"/>
      </top>
      <bottom style="thin">
        <color theme="3" tint="0.79992065187536243"/>
      </bottom>
      <diagonal/>
    </border>
    <border>
      <left/>
      <right style="thin">
        <color theme="3" tint="0.79992065187536243"/>
      </right>
      <top style="thin">
        <color theme="0"/>
      </top>
      <bottom style="thin">
        <color theme="3" tint="0.79992065187536243"/>
      </bottom>
      <diagonal/>
    </border>
    <border>
      <left style="thin">
        <color rgb="FF000000"/>
      </left>
      <right style="thin">
        <color rgb="FF000000"/>
      </right>
      <top style="thin">
        <color rgb="FF000000"/>
      </top>
      <bottom style="thin">
        <color rgb="FF000000"/>
      </bottom>
      <diagonal/>
    </border>
    <border>
      <left/>
      <right style="thin">
        <color theme="3" tint="0.79998168889431442"/>
      </right>
      <top style="thin">
        <color theme="3" tint="0.79998168889431442"/>
      </top>
      <bottom style="thin">
        <color theme="3" tint="0.79998168889431442"/>
      </bottom>
      <diagonal/>
    </border>
    <border>
      <left style="thin">
        <color rgb="FF000000"/>
      </left>
      <right style="thin">
        <color rgb="FF000000"/>
      </right>
      <top style="thin">
        <color rgb="FF000000"/>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5">
    <xf numFmtId="0" fontId="0" fillId="7" borderId="0">
      <alignment vertical="center"/>
    </xf>
    <xf numFmtId="0" fontId="3" fillId="0" borderId="0" applyNumberFormat="0" applyFill="0" applyProtection="0">
      <alignment vertical="center"/>
    </xf>
    <xf numFmtId="0" fontId="2" fillId="0" borderId="1" applyNumberFormat="0" applyFill="0" applyProtection="0">
      <alignment vertical="center"/>
    </xf>
    <xf numFmtId="0" fontId="1" fillId="4" borderId="0" applyNumberFormat="0" applyProtection="0">
      <alignment horizontal="left" vertical="center" indent="1"/>
    </xf>
    <xf numFmtId="0" fontId="1" fillId="2" borderId="0" applyNumberFormat="0" applyProtection="0">
      <alignment vertical="center"/>
    </xf>
  </cellStyleXfs>
  <cellXfs count="137">
    <xf numFmtId="0" fontId="0" fillId="7" borderId="0" xfId="0">
      <alignment vertical="center"/>
    </xf>
    <xf numFmtId="0" fontId="4" fillId="6" borderId="0" xfId="0" applyFont="1" applyFill="1">
      <alignment vertical="center"/>
    </xf>
    <xf numFmtId="0" fontId="4" fillId="6" borderId="0" xfId="0" applyFont="1" applyFill="1" applyAlignment="1">
      <alignment horizontal="right" vertical="center" indent="1"/>
    </xf>
    <xf numFmtId="0" fontId="7" fillId="6" borderId="0" xfId="0" applyFont="1" applyFill="1">
      <alignment vertical="center"/>
    </xf>
    <xf numFmtId="0" fontId="7" fillId="6" borderId="0" xfId="0" applyFont="1" applyFill="1" applyAlignment="1">
      <alignment horizontal="right" vertical="center" indent="1"/>
    </xf>
    <xf numFmtId="0" fontId="7" fillId="0" borderId="0" xfId="0" applyFont="1" applyFill="1">
      <alignment vertical="center"/>
    </xf>
    <xf numFmtId="0" fontId="6" fillId="8" borderId="0" xfId="0" applyFont="1" applyFill="1" applyAlignment="1">
      <alignment horizontal="left" vertical="center" indent="1"/>
    </xf>
    <xf numFmtId="164" fontId="6" fillId="3" borderId="0" xfId="0" applyNumberFormat="1" applyFont="1" applyFill="1" applyAlignment="1">
      <alignment horizontal="right" vertical="center" indent="1"/>
    </xf>
    <xf numFmtId="164" fontId="6" fillId="8" borderId="0" xfId="0" applyNumberFormat="1" applyFont="1" applyFill="1" applyAlignment="1">
      <alignment horizontal="right" vertical="center" indent="1"/>
    </xf>
    <xf numFmtId="164" fontId="6" fillId="8" borderId="0" xfId="0" applyNumberFormat="1" applyFont="1" applyFill="1" applyAlignment="1">
      <alignment horizontal="right" vertical="center"/>
    </xf>
    <xf numFmtId="0" fontId="0" fillId="6" borderId="0" xfId="0" applyFill="1" applyAlignment="1"/>
    <xf numFmtId="0" fontId="0" fillId="6" borderId="0" xfId="0" applyFill="1">
      <alignment vertical="center"/>
    </xf>
    <xf numFmtId="0" fontId="0" fillId="6" borderId="0" xfId="0" applyFill="1" applyAlignment="1">
      <alignment horizontal="right" vertical="center"/>
    </xf>
    <xf numFmtId="0" fontId="7" fillId="6" borderId="0" xfId="0" applyFont="1" applyFill="1" applyAlignment="1"/>
    <xf numFmtId="0" fontId="7" fillId="7" borderId="0" xfId="0" applyFont="1" applyAlignment="1">
      <alignment horizontal="left" vertical="center" indent="1"/>
    </xf>
    <xf numFmtId="164" fontId="7" fillId="7" borderId="0" xfId="0" applyNumberFormat="1" applyFont="1" applyAlignment="1">
      <alignment horizontal="right" vertical="center" indent="1"/>
    </xf>
    <xf numFmtId="164" fontId="7" fillId="7" borderId="0" xfId="0" applyNumberFormat="1" applyFont="1" applyAlignment="1">
      <alignment horizontal="right" vertical="center"/>
    </xf>
    <xf numFmtId="0" fontId="7" fillId="7" borderId="0" xfId="0" applyFont="1" applyAlignment="1">
      <alignment horizontal="right" vertical="center"/>
    </xf>
    <xf numFmtId="0" fontId="7" fillId="7" borderId="0" xfId="0" applyFont="1" applyAlignment="1">
      <alignment horizontal="left" vertical="center"/>
    </xf>
    <xf numFmtId="0" fontId="9" fillId="6" borderId="0" xfId="0" applyFont="1" applyFill="1" applyAlignment="1"/>
    <xf numFmtId="0" fontId="9" fillId="6" borderId="0" xfId="0" applyFont="1" applyFill="1">
      <alignment vertical="center"/>
    </xf>
    <xf numFmtId="0" fontId="11" fillId="6" borderId="0" xfId="0" applyFont="1" applyFill="1" applyAlignment="1"/>
    <xf numFmtId="0" fontId="11" fillId="7" borderId="0" xfId="0" applyFont="1" applyAlignment="1">
      <alignment horizontal="left" vertical="center" indent="1"/>
    </xf>
    <xf numFmtId="0" fontId="11" fillId="6" borderId="0" xfId="0" applyFont="1" applyFill="1">
      <alignment vertical="center"/>
    </xf>
    <xf numFmtId="0" fontId="0" fillId="0" borderId="0" xfId="0" applyFill="1">
      <alignment vertical="center"/>
    </xf>
    <xf numFmtId="0" fontId="11" fillId="0" borderId="0" xfId="0" applyFont="1" applyFill="1">
      <alignment vertical="center"/>
    </xf>
    <xf numFmtId="0" fontId="9" fillId="0" borderId="0" xfId="0" applyFont="1" applyFill="1">
      <alignment vertical="center"/>
    </xf>
    <xf numFmtId="0" fontId="5" fillId="8" borderId="0" xfId="3" applyFont="1" applyFill="1">
      <alignment horizontal="left" vertical="center" indent="1"/>
    </xf>
    <xf numFmtId="0" fontId="5" fillId="3" borderId="0" xfId="3" applyFont="1" applyFill="1" applyAlignment="1">
      <alignment horizontal="right" vertical="center" indent="1"/>
    </xf>
    <xf numFmtId="0" fontId="5" fillId="8" borderId="0" xfId="3" applyFont="1" applyFill="1" applyAlignment="1">
      <alignment horizontal="right" vertical="center" indent="1"/>
    </xf>
    <xf numFmtId="0" fontId="10" fillId="6" borderId="0" xfId="0" applyFont="1" applyFill="1" applyAlignment="1"/>
    <xf numFmtId="0" fontId="5" fillId="3" borderId="0" xfId="2" applyFont="1" applyFill="1" applyBorder="1" applyAlignment="1">
      <alignment horizontal="left" vertical="center" indent="1"/>
    </xf>
    <xf numFmtId="0" fontId="5" fillId="3" borderId="0" xfId="2" applyFont="1" applyFill="1" applyBorder="1" applyAlignment="1">
      <alignment horizontal="right" vertical="center" indent="1"/>
    </xf>
    <xf numFmtId="0" fontId="5" fillId="3" borderId="0" xfId="2" applyFont="1" applyFill="1" applyBorder="1" applyAlignment="1">
      <alignment horizontal="right" vertical="center"/>
    </xf>
    <xf numFmtId="0" fontId="10" fillId="6" borderId="0" xfId="0" applyFont="1" applyFill="1">
      <alignment vertical="center"/>
    </xf>
    <xf numFmtId="0" fontId="10" fillId="0" borderId="0" xfId="0" applyFont="1" applyFill="1">
      <alignment vertical="center"/>
    </xf>
    <xf numFmtId="0" fontId="11" fillId="7" borderId="0" xfId="0" applyFont="1" applyAlignment="1">
      <alignment horizontal="right" vertical="center" indent="1"/>
    </xf>
    <xf numFmtId="0" fontId="11" fillId="7" borderId="0" xfId="0" applyFont="1">
      <alignment vertical="center"/>
    </xf>
    <xf numFmtId="0" fontId="7" fillId="7" borderId="2" xfId="0" applyFont="1" applyBorder="1" applyAlignment="1">
      <alignment horizontal="left" vertical="center" indent="1"/>
    </xf>
    <xf numFmtId="0" fontId="7" fillId="9" borderId="0" xfId="0" applyFont="1" applyFill="1" applyAlignment="1">
      <alignment horizontal="left" vertical="center" indent="1"/>
    </xf>
    <xf numFmtId="0" fontId="7" fillId="9" borderId="2" xfId="0" applyFont="1" applyFill="1" applyBorder="1" applyAlignment="1">
      <alignment horizontal="left" vertical="center" indent="1"/>
    </xf>
    <xf numFmtId="164" fontId="7" fillId="10" borderId="3" xfId="0" applyNumberFormat="1" applyFont="1" applyFill="1" applyBorder="1" applyAlignment="1">
      <alignment horizontal="right" vertical="center" indent="1"/>
    </xf>
    <xf numFmtId="164" fontId="7" fillId="7" borderId="3" xfId="0" applyNumberFormat="1" applyFont="1" applyBorder="1" applyAlignment="1">
      <alignment horizontal="right" vertical="center" indent="1"/>
    </xf>
    <xf numFmtId="0" fontId="12" fillId="7" borderId="2" xfId="0" applyFont="1" applyBorder="1" applyAlignment="1">
      <alignment horizontal="left" vertical="center" indent="1"/>
    </xf>
    <xf numFmtId="0" fontId="12" fillId="11" borderId="0" xfId="0" applyFont="1" applyFill="1" applyAlignment="1">
      <alignment horizontal="left" vertical="center" indent="1"/>
    </xf>
    <xf numFmtId="164" fontId="7" fillId="11" borderId="0" xfId="0" applyNumberFormat="1" applyFont="1" applyFill="1" applyAlignment="1">
      <alignment horizontal="right" vertical="center" indent="1"/>
    </xf>
    <xf numFmtId="0" fontId="12" fillId="11" borderId="2" xfId="0" applyFont="1" applyFill="1" applyBorder="1" applyAlignment="1">
      <alignment horizontal="left" vertical="center" indent="1"/>
    </xf>
    <xf numFmtId="164" fontId="7" fillId="11" borderId="3" xfId="0" applyNumberFormat="1" applyFont="1" applyFill="1" applyBorder="1" applyAlignment="1">
      <alignment horizontal="right" vertical="center" indent="1"/>
    </xf>
    <xf numFmtId="164" fontId="7" fillId="9" borderId="3" xfId="0" applyNumberFormat="1" applyFont="1" applyFill="1" applyBorder="1" applyAlignment="1">
      <alignment horizontal="right" vertical="center" indent="1"/>
    </xf>
    <xf numFmtId="164" fontId="7" fillId="9" borderId="0" xfId="0" applyNumberFormat="1" applyFont="1" applyFill="1" applyAlignment="1">
      <alignment horizontal="right" vertical="center"/>
    </xf>
    <xf numFmtId="164" fontId="7" fillId="9" borderId="0" xfId="0" applyNumberFormat="1" applyFont="1" applyFill="1" applyAlignment="1">
      <alignment horizontal="right" vertical="center" indent="1"/>
    </xf>
    <xf numFmtId="164" fontId="13" fillId="10" borderId="3" xfId="0" applyNumberFormat="1" applyFont="1" applyFill="1" applyBorder="1" applyAlignment="1">
      <alignment horizontal="right" vertical="center" indent="1"/>
    </xf>
    <xf numFmtId="164" fontId="7" fillId="10" borderId="0" xfId="0" applyNumberFormat="1" applyFont="1" applyFill="1" applyAlignment="1">
      <alignment horizontal="right" vertical="center" indent="1"/>
    </xf>
    <xf numFmtId="0" fontId="7" fillId="7" borderId="2" xfId="0" applyFont="1" applyBorder="1" applyAlignment="1">
      <alignment horizontal="left" vertical="center"/>
    </xf>
    <xf numFmtId="0" fontId="14" fillId="7" borderId="0" xfId="0" applyFont="1">
      <alignment vertical="center"/>
    </xf>
    <xf numFmtId="0" fontId="14" fillId="7" borderId="0" xfId="0" applyFont="1" applyAlignment="1">
      <alignment horizontal="left"/>
    </xf>
    <xf numFmtId="0" fontId="14" fillId="7" borderId="0" xfId="0" applyFont="1" applyAlignment="1">
      <alignment horizontal="left" vertical="center" indent="2"/>
    </xf>
    <xf numFmtId="44" fontId="14" fillId="7" borderId="0" xfId="0" applyNumberFormat="1" applyFont="1" applyAlignment="1">
      <alignment horizontal="center" vertical="center"/>
    </xf>
    <xf numFmtId="44" fontId="14" fillId="12" borderId="4" xfId="0" applyNumberFormat="1" applyFont="1" applyFill="1" applyBorder="1" applyAlignment="1">
      <alignment horizontal="center" vertical="center"/>
    </xf>
    <xf numFmtId="0" fontId="14" fillId="7" borderId="0" xfId="0" applyFont="1" applyAlignment="1">
      <alignment horizontal="left" vertical="center"/>
    </xf>
    <xf numFmtId="165" fontId="14" fillId="12" borderId="4" xfId="0" applyNumberFormat="1" applyFont="1" applyFill="1" applyBorder="1" applyAlignment="1">
      <alignment horizontal="center" vertical="center"/>
    </xf>
    <xf numFmtId="0" fontId="14" fillId="7" borderId="0" xfId="0" applyFont="1" applyAlignment="1">
      <alignment horizontal="center" vertical="center"/>
    </xf>
    <xf numFmtId="0" fontId="14" fillId="7" borderId="0" xfId="0" applyFont="1" applyAlignment="1">
      <alignment horizontal="left" vertical="center" indent="1"/>
    </xf>
    <xf numFmtId="0" fontId="14" fillId="7" borderId="5" xfId="0" applyFont="1" applyBorder="1" applyAlignment="1">
      <alignment horizontal="left" vertical="center" indent="2"/>
    </xf>
    <xf numFmtId="44" fontId="14" fillId="7" borderId="5" xfId="0" applyNumberFormat="1" applyFont="1" applyBorder="1" applyAlignment="1">
      <alignment horizontal="center" vertical="center"/>
    </xf>
    <xf numFmtId="0" fontId="14" fillId="7" borderId="5" xfId="0" applyFont="1" applyBorder="1" applyAlignment="1">
      <alignment horizontal="left" vertical="center"/>
    </xf>
    <xf numFmtId="165" fontId="14" fillId="7" borderId="5" xfId="0" applyNumberFormat="1" applyFont="1" applyBorder="1" applyAlignment="1">
      <alignment horizontal="center" vertical="center"/>
    </xf>
    <xf numFmtId="0" fontId="14" fillId="7" borderId="5" xfId="0" applyFont="1" applyBorder="1" applyAlignment="1">
      <alignment horizontal="center" vertical="center"/>
    </xf>
    <xf numFmtId="0" fontId="14" fillId="7" borderId="5" xfId="0" applyFont="1" applyBorder="1" applyAlignment="1">
      <alignment horizontal="left" vertical="center" indent="1"/>
    </xf>
    <xf numFmtId="0" fontId="0" fillId="7" borderId="0" xfId="0" applyAlignment="1">
      <alignment horizontal="left" vertical="center" indent="2"/>
    </xf>
    <xf numFmtId="165" fontId="17" fillId="3" borderId="6" xfId="0" applyNumberFormat="1" applyFont="1" applyFill="1" applyBorder="1" applyAlignment="1">
      <alignment horizontal="center" vertical="center"/>
    </xf>
    <xf numFmtId="165" fontId="17" fillId="3" borderId="7" xfId="0" applyNumberFormat="1" applyFont="1" applyFill="1" applyBorder="1" applyAlignment="1">
      <alignment horizontal="center" vertical="center"/>
    </xf>
    <xf numFmtId="44" fontId="14" fillId="13" borderId="9" xfId="0" applyNumberFormat="1" applyFont="1" applyFill="1" applyBorder="1" applyAlignment="1">
      <alignment horizontal="center" vertical="center"/>
    </xf>
    <xf numFmtId="44" fontId="14" fillId="13" borderId="10" xfId="0" applyNumberFormat="1" applyFont="1" applyFill="1" applyBorder="1" applyAlignment="1">
      <alignment horizontal="center" vertical="center"/>
    </xf>
    <xf numFmtId="0" fontId="18" fillId="7" borderId="5" xfId="0" applyFont="1" applyBorder="1" applyAlignment="1">
      <alignment horizontal="left" vertical="center" indent="2"/>
    </xf>
    <xf numFmtId="44" fontId="19" fillId="7" borderId="5" xfId="0" applyNumberFormat="1" applyFont="1" applyBorder="1" applyAlignment="1">
      <alignment horizontal="center" vertical="center"/>
    </xf>
    <xf numFmtId="44" fontId="14" fillId="7" borderId="11" xfId="0" applyNumberFormat="1" applyFont="1" applyBorder="1" applyAlignment="1">
      <alignment horizontal="center" vertical="center"/>
    </xf>
    <xf numFmtId="44" fontId="14" fillId="13" borderId="12" xfId="0" applyNumberFormat="1" applyFont="1" applyFill="1" applyBorder="1" applyAlignment="1">
      <alignment horizontal="center" vertical="center"/>
    </xf>
    <xf numFmtId="44" fontId="14" fillId="12" borderId="11" xfId="0" applyNumberFormat="1" applyFont="1" applyFill="1" applyBorder="1" applyAlignment="1">
      <alignment horizontal="center" vertical="center"/>
    </xf>
    <xf numFmtId="44" fontId="14" fillId="13" borderId="13" xfId="0" applyNumberFormat="1" applyFont="1" applyFill="1" applyBorder="1" applyAlignment="1">
      <alignment horizontal="center" vertical="center"/>
    </xf>
    <xf numFmtId="0" fontId="20" fillId="7" borderId="0" xfId="0" applyFont="1" applyAlignment="1">
      <alignment horizontal="right" vertical="center" indent="2"/>
    </xf>
    <xf numFmtId="44" fontId="14" fillId="13" borderId="14" xfId="0" applyNumberFormat="1" applyFont="1" applyFill="1" applyBorder="1" applyAlignment="1">
      <alignment horizontal="center" vertical="center"/>
    </xf>
    <xf numFmtId="44" fontId="14" fillId="13" borderId="7" xfId="0" applyNumberFormat="1" applyFont="1" applyFill="1" applyBorder="1" applyAlignment="1">
      <alignment horizontal="center" vertical="center"/>
    </xf>
    <xf numFmtId="44" fontId="14" fillId="13" borderId="15" xfId="0" applyNumberFormat="1" applyFont="1" applyFill="1" applyBorder="1" applyAlignment="1">
      <alignment horizontal="center" vertical="center"/>
    </xf>
    <xf numFmtId="44" fontId="14" fillId="13" borderId="16" xfId="0" applyNumberFormat="1" applyFont="1" applyFill="1" applyBorder="1" applyAlignment="1">
      <alignment horizontal="center" vertical="center"/>
    </xf>
    <xf numFmtId="44" fontId="14" fillId="13" borderId="17" xfId="0" applyNumberFormat="1" applyFont="1" applyFill="1" applyBorder="1" applyAlignment="1">
      <alignment horizontal="center" vertical="center"/>
    </xf>
    <xf numFmtId="44" fontId="14" fillId="13" borderId="18" xfId="0" applyNumberFormat="1" applyFont="1" applyFill="1" applyBorder="1" applyAlignment="1">
      <alignment horizontal="center" vertical="center"/>
    </xf>
    <xf numFmtId="44" fontId="14" fillId="13" borderId="19" xfId="0" applyNumberFormat="1" applyFont="1" applyFill="1" applyBorder="1" applyAlignment="1">
      <alignment horizontal="center" vertical="center"/>
    </xf>
    <xf numFmtId="44" fontId="14" fillId="13" borderId="20" xfId="0" applyNumberFormat="1" applyFont="1" applyFill="1" applyBorder="1" applyAlignment="1">
      <alignment horizontal="center" vertical="center"/>
    </xf>
    <xf numFmtId="44" fontId="14" fillId="7" borderId="21" xfId="0" applyNumberFormat="1" applyFont="1" applyBorder="1" applyAlignment="1">
      <alignment horizontal="center" vertical="center"/>
    </xf>
    <xf numFmtId="44" fontId="14" fillId="7" borderId="22" xfId="0" applyNumberFormat="1" applyFont="1" applyBorder="1" applyAlignment="1">
      <alignment horizontal="center" vertical="center"/>
    </xf>
    <xf numFmtId="44" fontId="14" fillId="13" borderId="23" xfId="0" applyNumberFormat="1" applyFont="1" applyFill="1" applyBorder="1" applyAlignment="1">
      <alignment horizontal="center" vertical="center"/>
    </xf>
    <xf numFmtId="44" fontId="14" fillId="7" borderId="24" xfId="0" applyNumberFormat="1" applyFont="1" applyBorder="1" applyAlignment="1">
      <alignment horizontal="center" vertical="center"/>
    </xf>
    <xf numFmtId="44" fontId="14" fillId="13" borderId="25" xfId="0" applyNumberFormat="1" applyFont="1" applyFill="1" applyBorder="1" applyAlignment="1">
      <alignment horizontal="center" vertical="center"/>
    </xf>
    <xf numFmtId="44" fontId="14" fillId="13" borderId="26" xfId="0" applyNumberFormat="1" applyFont="1" applyFill="1" applyBorder="1" applyAlignment="1">
      <alignment horizontal="center" vertical="center"/>
    </xf>
    <xf numFmtId="44" fontId="14" fillId="13" borderId="27" xfId="0" applyNumberFormat="1" applyFont="1" applyFill="1" applyBorder="1" applyAlignment="1">
      <alignment horizontal="center" vertical="center"/>
    </xf>
    <xf numFmtId="44" fontId="14" fillId="13" borderId="28" xfId="0" applyNumberFormat="1" applyFont="1" applyFill="1" applyBorder="1" applyAlignment="1">
      <alignment horizontal="center" vertical="center"/>
    </xf>
    <xf numFmtId="44" fontId="14" fillId="13" borderId="29" xfId="0" applyNumberFormat="1" applyFont="1" applyFill="1" applyBorder="1" applyAlignment="1">
      <alignment horizontal="center" vertical="center"/>
    </xf>
    <xf numFmtId="44" fontId="14" fillId="13" borderId="30" xfId="0" applyNumberFormat="1" applyFont="1" applyFill="1" applyBorder="1" applyAlignment="1">
      <alignment horizontal="center" vertical="center"/>
    </xf>
    <xf numFmtId="44" fontId="14" fillId="7" borderId="31" xfId="0" applyNumberFormat="1" applyFont="1" applyBorder="1" applyAlignment="1">
      <alignment horizontal="center" vertical="center"/>
    </xf>
    <xf numFmtId="44" fontId="14" fillId="7" borderId="32" xfId="0" applyNumberFormat="1" applyFont="1" applyBorder="1" applyAlignment="1">
      <alignment horizontal="center" vertical="center"/>
    </xf>
    <xf numFmtId="44" fontId="14" fillId="7" borderId="33" xfId="0" applyNumberFormat="1" applyFont="1" applyBorder="1" applyAlignment="1">
      <alignment horizontal="center" vertical="center"/>
    </xf>
    <xf numFmtId="44" fontId="14" fillId="13" borderId="34" xfId="0" applyNumberFormat="1" applyFont="1" applyFill="1" applyBorder="1" applyAlignment="1">
      <alignment horizontal="center" vertical="center"/>
    </xf>
    <xf numFmtId="44" fontId="14" fillId="12" borderId="35" xfId="0" applyNumberFormat="1" applyFont="1" applyFill="1" applyBorder="1" applyAlignment="1">
      <alignment horizontal="center" vertical="center"/>
    </xf>
    <xf numFmtId="44" fontId="14" fillId="13" borderId="36" xfId="0" applyNumberFormat="1" applyFont="1" applyFill="1" applyBorder="1" applyAlignment="1">
      <alignment horizontal="center" vertical="center"/>
    </xf>
    <xf numFmtId="44" fontId="14" fillId="7" borderId="37" xfId="0" applyNumberFormat="1" applyFont="1" applyBorder="1" applyAlignment="1">
      <alignment horizontal="center" vertical="center"/>
    </xf>
    <xf numFmtId="44" fontId="14" fillId="7" borderId="38" xfId="0" applyNumberFormat="1" applyFont="1" applyBorder="1" applyAlignment="1">
      <alignment horizontal="center" vertical="center"/>
    </xf>
    <xf numFmtId="44" fontId="14" fillId="13" borderId="39" xfId="0" applyNumberFormat="1" applyFont="1" applyFill="1" applyBorder="1" applyAlignment="1">
      <alignment horizontal="center" vertical="center"/>
    </xf>
    <xf numFmtId="44" fontId="14" fillId="12" borderId="40" xfId="0" applyNumberFormat="1" applyFont="1" applyFill="1" applyBorder="1" applyAlignment="1">
      <alignment horizontal="center" vertical="center"/>
    </xf>
    <xf numFmtId="44" fontId="14" fillId="12" borderId="41" xfId="0" applyNumberFormat="1" applyFont="1" applyFill="1" applyBorder="1" applyAlignment="1">
      <alignment horizontal="center" vertical="center"/>
    </xf>
    <xf numFmtId="44" fontId="14" fillId="13" borderId="42" xfId="0" applyNumberFormat="1" applyFont="1" applyFill="1" applyBorder="1" applyAlignment="1">
      <alignment horizontal="center" vertical="center"/>
    </xf>
    <xf numFmtId="0" fontId="14" fillId="14" borderId="0" xfId="0" applyFont="1" applyFill="1" applyAlignment="1">
      <alignment horizontal="left" vertical="center" indent="2"/>
    </xf>
    <xf numFmtId="44" fontId="14" fillId="14" borderId="11" xfId="0" applyNumberFormat="1" applyFont="1" applyFill="1" applyBorder="1" applyAlignment="1">
      <alignment horizontal="center" vertical="center"/>
    </xf>
    <xf numFmtId="0" fontId="14" fillId="7" borderId="43" xfId="0" applyFont="1" applyBorder="1" applyAlignment="1">
      <alignment horizontal="left" vertical="center" indent="2"/>
    </xf>
    <xf numFmtId="44" fontId="14" fillId="7" borderId="44" xfId="0" applyNumberFormat="1" applyFont="1" applyBorder="1" applyAlignment="1">
      <alignment horizontal="center" vertical="center"/>
    </xf>
    <xf numFmtId="44" fontId="14" fillId="12" borderId="44" xfId="0" applyNumberFormat="1" applyFont="1" applyFill="1" applyBorder="1" applyAlignment="1">
      <alignment horizontal="center" vertical="center"/>
    </xf>
    <xf numFmtId="0" fontId="18" fillId="7" borderId="0" xfId="0" applyFont="1" applyAlignment="1">
      <alignment horizontal="left" vertical="center" indent="2"/>
    </xf>
    <xf numFmtId="0" fontId="0" fillId="7" borderId="0" xfId="0" applyAlignment="1"/>
    <xf numFmtId="0" fontId="0" fillId="6" borderId="0" xfId="0" applyFill="1" applyAlignment="1">
      <alignment vertical="center" wrapText="1"/>
    </xf>
    <xf numFmtId="0" fontId="21" fillId="7" borderId="43" xfId="0" applyFont="1" applyBorder="1" applyAlignment="1"/>
    <xf numFmtId="0" fontId="0" fillId="7" borderId="43" xfId="0" applyBorder="1" applyAlignment="1"/>
    <xf numFmtId="3" fontId="0" fillId="7" borderId="43" xfId="0" applyNumberFormat="1" applyBorder="1" applyAlignment="1"/>
    <xf numFmtId="0" fontId="0" fillId="7" borderId="45" xfId="0" applyBorder="1" applyAlignment="1"/>
    <xf numFmtId="0" fontId="0" fillId="7" borderId="46" xfId="0" applyBorder="1" applyAlignment="1"/>
    <xf numFmtId="0" fontId="0" fillId="7" borderId="47" xfId="0" applyBorder="1" applyAlignment="1"/>
    <xf numFmtId="0" fontId="0" fillId="7" borderId="48" xfId="0" applyBorder="1" applyAlignment="1"/>
    <xf numFmtId="3" fontId="21" fillId="7" borderId="43" xfId="0" applyNumberFormat="1" applyFont="1" applyBorder="1" applyAlignment="1"/>
    <xf numFmtId="0" fontId="7" fillId="7" borderId="0" xfId="0" applyFont="1" applyAlignment="1">
      <alignment horizontal="left" vertical="center" wrapText="1"/>
    </xf>
    <xf numFmtId="164" fontId="7" fillId="5" borderId="0" xfId="0" applyNumberFormat="1" applyFont="1" applyFill="1" applyAlignment="1">
      <alignment horizontal="right" vertical="center" indent="1"/>
    </xf>
    <xf numFmtId="164" fontId="7" fillId="7" borderId="0" xfId="0" quotePrefix="1" applyNumberFormat="1" applyFont="1" applyAlignment="1">
      <alignment horizontal="right" vertical="center" indent="1"/>
    </xf>
    <xf numFmtId="44" fontId="17" fillId="3" borderId="8" xfId="0" applyNumberFormat="1" applyFont="1" applyFill="1" applyBorder="1" applyAlignment="1">
      <alignment horizontal="center" vertical="center"/>
    </xf>
    <xf numFmtId="0" fontId="8" fillId="5" borderId="0" xfId="1" applyFont="1" applyFill="1" applyAlignment="1">
      <alignment horizontal="left" vertical="center" indent="1"/>
    </xf>
    <xf numFmtId="0" fontId="15" fillId="3" borderId="0" xfId="0" applyFont="1" applyFill="1" applyAlignment="1">
      <alignment horizontal="center"/>
    </xf>
    <xf numFmtId="0" fontId="16" fillId="3" borderId="0" xfId="0" applyFont="1" applyFill="1" applyAlignment="1">
      <alignment horizontal="center" vertical="top"/>
    </xf>
    <xf numFmtId="0" fontId="16" fillId="3" borderId="0" xfId="0" applyFont="1" applyFill="1" applyAlignment="1">
      <alignment horizontal="center"/>
    </xf>
    <xf numFmtId="44" fontId="17" fillId="3" borderId="8" xfId="0" applyNumberFormat="1" applyFont="1" applyFill="1" applyBorder="1" applyAlignment="1">
      <alignment horizontal="center" vertical="center"/>
    </xf>
    <xf numFmtId="0" fontId="22" fillId="7" borderId="0" xfId="0" applyFont="1" applyAlignment="1"/>
  </cellXfs>
  <cellStyles count="5">
    <cellStyle name="Heading 1" xfId="1" builtinId="16" customBuiltin="1"/>
    <cellStyle name="Heading 2" xfId="2" builtinId="17" customBuiltin="1"/>
    <cellStyle name="Heading 3" xfId="3" builtinId="18" customBuiltin="1"/>
    <cellStyle name="Heading 4" xfId="4" builtinId="19" hidden="1" customBuiltin="1"/>
    <cellStyle name="Normal" xfId="0" builtinId="0" customBuiltin="1"/>
  </cellStyles>
  <dxfs count="434">
    <dxf>
      <font>
        <b val="0"/>
        <i val="0"/>
        <strike val="0"/>
        <condense val="0"/>
        <extend val="0"/>
        <outline val="0"/>
        <shadow val="0"/>
        <u val="none"/>
        <vertAlign val="baseline"/>
        <sz val="11"/>
        <color theme="1" tint="0.14993743705557422"/>
        <name val="verdana"/>
        <family val="2"/>
        <scheme val="minor"/>
      </font>
      <alignment horizontal="right" vertical="center" textRotation="0" wrapText="0" indent="0"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lef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right" vertical="center" textRotation="0" wrapText="0" indent="0"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lef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right" vertical="center" textRotation="0" wrapText="0" indent="0"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lef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right" vertical="center" textRotation="0" wrapText="0" indent="0"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lef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right" vertical="center" textRotation="0" wrapText="0" indent="0"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lef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right" vertical="center" textRotation="0" wrapText="0" indent="0"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lef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right" vertical="center" textRotation="0" wrapText="0" indent="0"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theme="5" tint="0.7999816888943144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theme="5" tint="0.7999816888943144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theme="5" tint="0.7999816888943144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theme="5" tint="0.7999816888943144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theme="5" tint="0.7999816888943144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theme="5" tint="0.7999816888943144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theme="5" tint="0.7999816888943144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theme="5" tint="0.7999816888943144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theme="5" tint="0.7999816888943144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theme="5" tint="0.7999816888943144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theme="5" tint="0.7999816888943144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lef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right" vertical="center" textRotation="0" wrapText="0" indent="0"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lef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right" vertical="center" textRotation="0" wrapText="0" indent="0"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lef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right" vertical="center" textRotation="0" wrapText="0" indent="0"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lef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right" vertical="center" textRotation="0" wrapText="0" indent="0"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left" vertical="center" textRotation="0" wrapText="0" indent="1" justifyLastLine="0" shrinkToFit="0" readingOrder="0"/>
    </dxf>
    <dxf>
      <font>
        <color rgb="FFFF0000"/>
      </font>
    </dxf>
    <dxf>
      <fill>
        <patternFill>
          <bgColor rgb="FFC0000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alignment horizontal="left" vertical="center" textRotation="0" wrapText="0" indent="1" justifyLastLine="0" shrinkToFit="0" readingOrder="0"/>
      <border diagonalUp="0" diagonalDown="0">
        <left/>
        <right style="thin">
          <color theme="5" tint="0.39994506668294322"/>
        </right>
        <top style="thin">
          <color theme="5" tint="0.39994506668294322"/>
        </top>
        <bottom style="thin">
          <color theme="5" tint="0.39994506668294322"/>
        </bottom>
        <vertical/>
        <horizontal/>
      </border>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auto="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3"/>
        </patternFill>
      </fill>
      <alignment horizontal="right" textRotation="0" wrapText="0" indent="0"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fill>
        <patternFill patternType="solid">
          <fgColor indexed="64"/>
          <bgColor theme="3"/>
        </patternFill>
      </fill>
      <alignment horizontal="left" vertical="center" textRotation="0" wrapText="0" relativeIndent="1" justifyLastLine="0" shrinkToFit="0" readingOrder="0"/>
    </dxf>
    <dxf>
      <font>
        <strike val="0"/>
        <outline val="0"/>
        <shadow val="0"/>
        <u val="none"/>
        <vertAlign val="baseline"/>
        <sz val="11"/>
        <color theme="0"/>
        <name val="verdana"/>
        <family val="2"/>
        <scheme val="minor"/>
      </font>
      <fill>
        <patternFill patternType="solid">
          <fgColor indexed="64"/>
          <bgColor theme="1"/>
        </patternFill>
      </fill>
    </dxf>
    <dxf>
      <font>
        <b val="0"/>
        <strike val="0"/>
        <outline val="0"/>
        <shadow val="0"/>
        <u val="none"/>
        <vertAlign val="baseline"/>
        <sz val="14"/>
        <color theme="0"/>
        <name val="Gill Sans MT"/>
        <family val="2"/>
        <scheme val="major"/>
      </font>
      <fill>
        <patternFill patternType="solid">
          <fgColor indexed="64"/>
          <bgColor theme="1"/>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alignment horizontal="right" vertical="center" textRotation="0" wrapText="0" indent="0" justifyLastLine="0" shrinkToFit="0" readingOrder="0"/>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alignment horizontal="lef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alignment horizontal="left" vertical="center" textRotation="0" wrapText="0" indent="1" justifyLastLine="0" shrinkToFit="0" readingOrder="0"/>
      <border diagonalUp="0" diagonalDown="0">
        <left/>
        <right style="thin">
          <color theme="5" tint="0.39994506668294322"/>
        </right>
        <top style="thin">
          <color theme="5" tint="0.39994506668294322"/>
        </top>
        <bottom style="thin">
          <color theme="5" tint="0.39994506668294322"/>
        </bottom>
        <vertical/>
        <horizontal/>
      </border>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none">
          <fgColor indexed="64"/>
          <bgColor indexed="65"/>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fill>
        <patternFill patternType="solid">
          <fgColor indexed="64"/>
          <bgColor theme="0"/>
        </patternFill>
      </fill>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b val="0"/>
        <i val="0"/>
        <strike val="0"/>
        <condense val="0"/>
        <extend val="0"/>
        <outline val="0"/>
        <shadow val="0"/>
        <u val="none"/>
        <vertAlign val="baseline"/>
        <sz val="14"/>
        <color auto="1"/>
        <name val="Gill Sans MT"/>
        <family val="2"/>
        <scheme val="major"/>
      </font>
      <fill>
        <patternFill patternType="solid">
          <fgColor indexed="64"/>
          <bgColor rgb="FFF7F7F7"/>
        </patternFill>
      </fill>
      <alignment horizontal="right" vertical="center" textRotation="0" wrapText="0" indent="1" justifyLastLine="0" shrinkToFit="0" readingOrder="0"/>
    </dxf>
    <dxf>
      <fill>
        <patternFill>
          <bgColor theme="5" tint="0.79998168889431442"/>
        </patternFill>
      </fill>
    </dxf>
    <dxf>
      <border>
        <left style="thin">
          <color theme="5" tint="0.39994506668294322"/>
        </left>
        <right style="thin">
          <color theme="5" tint="0.39994506668294322"/>
        </right>
        <top style="thin">
          <color theme="5" tint="0.39994506668294322"/>
        </top>
        <bottom style="thin">
          <color theme="5" tint="0.39994506668294322"/>
        </bottom>
        <vertical style="thin">
          <color theme="5" tint="0.39994506668294322"/>
        </vertical>
        <horizontal style="thin">
          <color theme="5" tint="0.39994506668294322"/>
        </horizontal>
      </border>
    </dxf>
    <dxf>
      <border>
        <left style="thin">
          <color theme="5" tint="0.39994506668294322"/>
        </left>
        <right style="thin">
          <color theme="5" tint="0.39994506668294322"/>
        </right>
        <top style="thin">
          <color theme="5" tint="0.39994506668294322"/>
        </top>
        <bottom style="thin">
          <color theme="5" tint="0.39994506668294322"/>
        </bottom>
        <vertical style="thin">
          <color theme="5" tint="0.39994506668294322"/>
        </vertical>
        <horizontal style="thin">
          <color theme="5" tint="0.39994506668294322"/>
        </horizontal>
      </border>
    </dxf>
    <dxf>
      <font>
        <u val="none"/>
        <color theme="1"/>
      </font>
      <fill>
        <patternFill>
          <fgColor theme="5" tint="0.79998168889431442"/>
          <bgColor theme="5" tint="0.79995117038483843"/>
        </patternFill>
      </fill>
    </dxf>
    <dxf>
      <fill>
        <patternFill>
          <bgColor theme="5" tint="0.39994506668294322"/>
        </patternFill>
      </fill>
    </dxf>
    <dxf>
      <border>
        <vertical style="thin">
          <color theme="5" tint="0.39994506668294322"/>
        </vertical>
        <horizontal style="thin">
          <color theme="5" tint="0.39994506668294322"/>
        </horizontal>
      </border>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val="0"/>
        <color theme="6" tint="-0.499984740745262"/>
      </font>
      <fill>
        <patternFill patternType="solid">
          <fgColor theme="6" tint="0.79998168889431442"/>
          <bgColor theme="6" tint="0.79998168889431442"/>
        </patternFill>
      </fill>
    </dxf>
    <dxf>
      <font>
        <b val="0"/>
        <i val="0"/>
        <color theme="6" tint="-0.499984740745262"/>
      </font>
      <fill>
        <patternFill patternType="solid">
          <fgColor theme="6" tint="0.79998168889431442"/>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val="0"/>
        <color theme="6" tint="-0.499984740745262"/>
      </font>
      <border>
        <top style="thin">
          <color theme="6" tint="-0.24994659260841701"/>
        </top>
      </border>
    </dxf>
    <dxf>
      <font>
        <b val="0"/>
        <i val="0"/>
        <color theme="6" tint="-0.499984740745262"/>
      </font>
      <border>
        <bottom style="thin">
          <color theme="6" tint="-0.24994659260841701"/>
        </bottom>
      </border>
    </dxf>
    <dxf>
      <font>
        <b val="0"/>
        <i val="0"/>
        <color theme="6" tint="-0.499984740745262"/>
      </font>
      <border>
        <top style="thin">
          <color theme="6" tint="-0.24994659260841701"/>
        </top>
        <bottom style="thin">
          <color theme="6" tint="-0.24994659260841701"/>
        </bottom>
      </border>
    </dxf>
    <dxf>
      <font>
        <b/>
        <i val="0"/>
        <color theme="5" tint="-0.499984740745262"/>
      </font>
      <fill>
        <patternFill>
          <bgColor theme="5" tint="0.79998168889431442"/>
        </patternFill>
      </fill>
    </dxf>
    <dxf>
      <font>
        <b/>
        <i val="0"/>
        <color theme="5" tint="-0.499984740745262"/>
      </font>
      <fill>
        <patternFill>
          <bgColor theme="5" tint="0.79998168889431442"/>
        </patternFill>
      </fill>
    </dxf>
    <dxf>
      <font>
        <b val="0"/>
        <i val="0"/>
        <color theme="5" tint="-0.499984740745262"/>
      </font>
      <fill>
        <patternFill patternType="solid">
          <fgColor theme="5" tint="0.79998168889431442"/>
          <bgColor theme="5" tint="0.79998168889431442"/>
        </patternFill>
      </fill>
    </dxf>
    <dxf>
      <font>
        <b val="0"/>
        <i val="0"/>
        <color theme="5" tint="-0.499984740745262"/>
      </font>
      <fill>
        <patternFill patternType="solid">
          <fgColor theme="5" tint="0.79998168889431442"/>
          <bgColor theme="5" tint="0.79998168889431442"/>
        </patternFill>
      </fill>
    </dxf>
    <dxf>
      <font>
        <b/>
        <i val="0"/>
        <color theme="5" tint="-0.499984740745262"/>
      </font>
      <fill>
        <patternFill>
          <bgColor theme="5" tint="0.79998168889431442"/>
        </patternFill>
      </fill>
    </dxf>
    <dxf>
      <font>
        <b/>
        <i val="0"/>
        <color theme="5" tint="-0.499984740745262"/>
      </font>
    </dxf>
    <dxf>
      <font>
        <b val="0"/>
        <i val="0"/>
        <color theme="5" tint="-0.499984740745262"/>
      </font>
      <border>
        <top style="thin">
          <color theme="5" tint="-0.24994659260841701"/>
        </top>
      </border>
    </dxf>
    <dxf>
      <font>
        <b val="0"/>
        <i val="0"/>
        <color theme="5" tint="-0.499984740745262"/>
      </font>
      <border>
        <bottom style="thin">
          <color theme="5" tint="-0.24994659260841701"/>
        </bottom>
      </border>
    </dxf>
    <dxf>
      <font>
        <b val="0"/>
        <i val="0"/>
        <color theme="5" tint="-0.499984740745262"/>
      </font>
      <border>
        <top style="thin">
          <color theme="5" tint="-0.24994659260841701"/>
        </top>
        <bottom style="thin">
          <color theme="5" tint="-0.24994659260841701"/>
        </bottom>
      </border>
    </dxf>
    <dxf>
      <font>
        <b/>
        <i val="0"/>
        <color theme="4" tint="-0.499984740745262"/>
      </font>
      <fill>
        <patternFill>
          <bgColor theme="4" tint="0.79998168889431442"/>
        </patternFill>
      </fill>
    </dxf>
    <dxf>
      <font>
        <b/>
        <i val="0"/>
        <color theme="4" tint="-0.499984740745262"/>
      </font>
      <fill>
        <patternFill>
          <bgColor theme="4" tint="0.79998168889431442"/>
        </patternFill>
      </fill>
    </dxf>
    <dxf>
      <font>
        <b val="0"/>
        <i val="0"/>
        <color theme="4" tint="-0.499984740745262"/>
      </font>
      <fill>
        <patternFill>
          <bgColor theme="4" tint="0.79998168889431442"/>
        </patternFill>
      </fill>
    </dxf>
    <dxf>
      <font>
        <b val="0"/>
        <i val="0"/>
        <color theme="4" tint="-0.499984740745262"/>
      </font>
      <fill>
        <patternFill patternType="solid">
          <fgColor theme="4" tint="0.79995117038483843"/>
          <bgColor theme="4" tint="0.79998168889431442"/>
        </patternFill>
      </fill>
    </dxf>
    <dxf>
      <font>
        <b/>
        <i val="0"/>
        <color theme="4" tint="-0.499984740745262"/>
      </font>
      <fill>
        <patternFill>
          <bgColor theme="4" tint="0.79998168889431442"/>
        </patternFill>
      </fill>
    </dxf>
    <dxf>
      <font>
        <b/>
        <i val="0"/>
        <color theme="4" tint="-0.499984740745262"/>
      </font>
    </dxf>
    <dxf>
      <font>
        <b val="0"/>
        <i val="0"/>
        <color theme="4" tint="-0.499984740745262"/>
      </font>
      <fill>
        <patternFill patternType="none">
          <bgColor auto="1"/>
        </patternFill>
      </fill>
      <border>
        <top style="thin">
          <color theme="4" tint="-0.24994659260841701"/>
        </top>
      </border>
    </dxf>
    <dxf>
      <border diagonalUp="0" diagonalDown="0">
        <left/>
        <right/>
        <top/>
        <bottom style="thin">
          <color theme="4" tint="-0.499984740745262"/>
        </bottom>
        <vertical/>
        <horizontal/>
      </border>
    </dxf>
    <dxf>
      <font>
        <b val="0"/>
        <i val="0"/>
        <color theme="4" tint="-0.499984740745262"/>
      </font>
      <border>
        <top style="thin">
          <color theme="4" tint="-0.24994659260841701"/>
        </top>
        <bottom style="thin">
          <color theme="4" tint="-0.24994659260841701"/>
        </bottom>
      </border>
    </dxf>
  </dxfs>
  <tableStyles count="4" defaultTableStyle="Personal Budget - Expense" defaultPivotStyle="PivotStyleLight16">
    <tableStyle name="Persona Budget - Revenue" pivot="0" count="9" xr9:uid="{00000000-0011-0000-FFFF-FFFF00000000}">
      <tableStyleElement type="wholeTable" dxfId="433"/>
      <tableStyleElement type="headerRow" dxfId="432"/>
      <tableStyleElement type="totalRow" dxfId="431"/>
      <tableStyleElement type="firstColumn" dxfId="430"/>
      <tableStyleElement type="lastColumn" dxfId="429"/>
      <tableStyleElement type="firstRowStripe" dxfId="428"/>
      <tableStyleElement type="firstColumnStripe" dxfId="427"/>
      <tableStyleElement type="firstTotalCell" dxfId="426"/>
      <tableStyleElement type="lastTotalCell" dxfId="425"/>
    </tableStyle>
    <tableStyle name="Personal Budget - Expense" pivot="0" count="9" xr9:uid="{00000000-0011-0000-FFFF-FFFF01000000}">
      <tableStyleElement type="wholeTable" dxfId="424"/>
      <tableStyleElement type="headerRow" dxfId="423"/>
      <tableStyleElement type="totalRow" dxfId="422"/>
      <tableStyleElement type="firstColumn" dxfId="421"/>
      <tableStyleElement type="lastColumn" dxfId="420"/>
      <tableStyleElement type="firstRowStripe" dxfId="419"/>
      <tableStyleElement type="firstColumnStripe" dxfId="418"/>
      <tableStyleElement type="firstTotalCell" dxfId="417"/>
      <tableStyleElement type="lastTotalCell" dxfId="416"/>
    </tableStyle>
    <tableStyle name="Personal Budget - Total" pivot="0" count="9" xr9:uid="{00000000-0011-0000-FFFF-FFFF02000000}">
      <tableStyleElement type="wholeTable" dxfId="415"/>
      <tableStyleElement type="headerRow" dxfId="414"/>
      <tableStyleElement type="totalRow" dxfId="413"/>
      <tableStyleElement type="firstColumn" dxfId="412"/>
      <tableStyleElement type="lastColumn" dxfId="411"/>
      <tableStyleElement type="firstRowStripe" dxfId="410"/>
      <tableStyleElement type="firstColumnStripe" dxfId="409"/>
      <tableStyleElement type="firstTotalCell" dxfId="408"/>
      <tableStyleElement type="lastTotalCell" dxfId="407"/>
    </tableStyle>
    <tableStyle name="Table Style 1" pivot="0" count="6" xr9:uid="{456F6818-18F1-E948-8739-F0108FE3AA10}">
      <tableStyleElement type="wholeTable" dxfId="406"/>
      <tableStyleElement type="headerRow" dxfId="405"/>
      <tableStyleElement type="totalRow" dxfId="404"/>
      <tableStyleElement type="firstRowStripe" dxfId="403"/>
      <tableStyleElement type="secondRowStripe" dxfId="402"/>
      <tableStyleElement type="secondColumnStripe" dxfId="401"/>
    </tableStyle>
  </tableStyles>
  <colors>
    <mruColors>
      <color rgb="FFE3F542"/>
      <color rgb="FFF7F7F7"/>
      <color rgb="FFF3F8FF"/>
      <color rgb="FFE6F8FA"/>
      <color rgb="FFEFF5FF"/>
      <color rgb="FFD6E8F6"/>
      <color rgb="FFE6EF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come" displayName="tblIncome" ref="B5:P47" totalsRowCount="1" headerRowDxfId="400" dataDxfId="399" totalsRowDxfId="398">
  <tableColumns count="15">
    <tableColumn id="1" xr3:uid="{00000000-0010-0000-0000-000001000000}" name="INCOME" totalsRowLabel="Total" dataDxfId="397" totalsRowDxfId="149"/>
    <tableColumn id="2" xr3:uid="{00000000-0010-0000-0000-000002000000}" name="JAN" totalsRowFunction="sum" dataDxfId="396" totalsRowDxfId="148"/>
    <tableColumn id="3" xr3:uid="{00000000-0010-0000-0000-000003000000}" name="FEB" totalsRowFunction="sum" dataDxfId="395" totalsRowDxfId="147"/>
    <tableColumn id="4" xr3:uid="{00000000-0010-0000-0000-000004000000}" name="MAR" totalsRowFunction="sum" dataDxfId="394" totalsRowDxfId="146"/>
    <tableColumn id="5" xr3:uid="{00000000-0010-0000-0000-000005000000}" name="APR" totalsRowFunction="sum" dataDxfId="393" totalsRowDxfId="145"/>
    <tableColumn id="6" xr3:uid="{00000000-0010-0000-0000-000006000000}" name="MAY" totalsRowFunction="sum" dataDxfId="392" totalsRowDxfId="144"/>
    <tableColumn id="7" xr3:uid="{00000000-0010-0000-0000-000007000000}" name="JUN" totalsRowFunction="sum" dataDxfId="391" totalsRowDxfId="143"/>
    <tableColumn id="8" xr3:uid="{00000000-0010-0000-0000-000008000000}" name="JUL" totalsRowFunction="sum" dataDxfId="390" totalsRowDxfId="142"/>
    <tableColumn id="9" xr3:uid="{00000000-0010-0000-0000-000009000000}" name="AUG" totalsRowFunction="sum" dataDxfId="389" totalsRowDxfId="141"/>
    <tableColumn id="10" xr3:uid="{00000000-0010-0000-0000-00000A000000}" name="SEP" totalsRowFunction="sum" dataDxfId="388" totalsRowDxfId="140"/>
    <tableColumn id="11" xr3:uid="{00000000-0010-0000-0000-00000B000000}" name="OCT" totalsRowFunction="sum" dataDxfId="387" totalsRowDxfId="139"/>
    <tableColumn id="12" xr3:uid="{00000000-0010-0000-0000-00000C000000}" name="NOV" totalsRowFunction="sum" dataDxfId="386" totalsRowDxfId="138"/>
    <tableColumn id="13" xr3:uid="{00000000-0010-0000-0000-00000D000000}" name="DEC" totalsRowFunction="sum" dataDxfId="385" totalsRowDxfId="137"/>
    <tableColumn id="14" xr3:uid="{00000000-0010-0000-0000-00000E000000}" name="YEAR" totalsRowFunction="sum" dataDxfId="384" totalsRowDxfId="136">
      <calculatedColumnFormula>SUM(tblIncome[[#This Row],[JAN]:[DEC]])</calculatedColumnFormula>
    </tableColumn>
    <tableColumn id="15" xr3:uid="{00000000-0010-0000-0000-00000F000000}" name="SPARKLINE" dataDxfId="383" totalsRowDxfId="135"/>
  </tableColumns>
  <tableStyleInfo name="Table Style 1" showFirstColumn="0" showLastColumn="0" showRowStripes="0" showColumnStripes="1"/>
  <extLst>
    <ext xmlns:x14="http://schemas.microsoft.com/office/spreadsheetml/2009/9/main" uri="{504A1905-F514-4f6f-8877-14C23A59335A}">
      <x14:table altText="Income" altTextSummary="Enter your income for the year."/>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blFinancial" displayName="tblFinancial" ref="B127:P133" totalsRowCount="1" headerRowDxfId="238" dataDxfId="237" totalsRowDxfId="236">
  <tableColumns count="15">
    <tableColumn id="1" xr3:uid="{00000000-0010-0000-0A00-000001000000}" name="Column1" totalsRowLabel="Total" dataDxfId="235" totalsRowDxfId="234"/>
    <tableColumn id="2" xr3:uid="{00000000-0010-0000-0A00-000002000000}" name="JAN" totalsRowFunction="sum" dataDxfId="233" totalsRowDxfId="232"/>
    <tableColumn id="3" xr3:uid="{00000000-0010-0000-0A00-000003000000}" name="FEB" totalsRowFunction="sum" dataDxfId="231" totalsRowDxfId="230"/>
    <tableColumn id="4" xr3:uid="{00000000-0010-0000-0A00-000004000000}" name="MAR" totalsRowFunction="sum" dataDxfId="229" totalsRowDxfId="228"/>
    <tableColumn id="5" xr3:uid="{00000000-0010-0000-0A00-000005000000}" name="APR" totalsRowFunction="sum" dataDxfId="227" totalsRowDxfId="226"/>
    <tableColumn id="6" xr3:uid="{00000000-0010-0000-0A00-000006000000}" name="MAY" totalsRowFunction="sum" dataDxfId="225" totalsRowDxfId="224"/>
    <tableColumn id="7" xr3:uid="{00000000-0010-0000-0A00-000007000000}" name="JUN" totalsRowFunction="sum" dataDxfId="223" totalsRowDxfId="222"/>
    <tableColumn id="8" xr3:uid="{00000000-0010-0000-0A00-000008000000}" name="JUL" totalsRowFunction="sum" dataDxfId="221" totalsRowDxfId="220"/>
    <tableColumn id="9" xr3:uid="{00000000-0010-0000-0A00-000009000000}" name="AUG" totalsRowFunction="sum" dataDxfId="219" totalsRowDxfId="218"/>
    <tableColumn id="10" xr3:uid="{00000000-0010-0000-0A00-00000A000000}" name="SEP" totalsRowFunction="sum" dataDxfId="217" totalsRowDxfId="216"/>
    <tableColumn id="11" xr3:uid="{00000000-0010-0000-0A00-00000B000000}" name="OCT" totalsRowFunction="sum" dataDxfId="215" totalsRowDxfId="214"/>
    <tableColumn id="12" xr3:uid="{00000000-0010-0000-0A00-00000C000000}" name="NOV" totalsRowFunction="sum" dataDxfId="213" totalsRowDxfId="212"/>
    <tableColumn id="13" xr3:uid="{00000000-0010-0000-0A00-00000D000000}" name="DEC" totalsRowFunction="sum" dataDxfId="211" totalsRowDxfId="210"/>
    <tableColumn id="14" xr3:uid="{00000000-0010-0000-0A00-00000E000000}" name="YEAR" totalsRowFunction="sum" dataDxfId="209" totalsRowDxfId="208">
      <calculatedColumnFormula>SUM(tblFinancial[[#This Row],[JAN]:[DEC]])</calculatedColumnFormula>
    </tableColumn>
    <tableColumn id="15" xr3:uid="{00000000-0010-0000-0A00-00000F000000}" name=" " dataDxfId="207" totalsRowDxfId="206"/>
  </tableColumns>
  <tableStyleInfo name="Table Style 1" showFirstColumn="0" showLastColumn="0" showRowStripes="0" showColumnStripes="1"/>
  <extLst>
    <ext xmlns:x14="http://schemas.microsoft.com/office/spreadsheetml/2009/9/main" uri="{504A1905-F514-4f6f-8877-14C23A59335A}">
      <x14:table altText="Financial Expenses" altTextSummary="Enter your financial expenses for the year, separated by month."/>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blMisc" displayName="tblMisc" ref="B135:P141" totalsRowCount="1" headerRowDxfId="205" dataDxfId="204" totalsRowDxfId="203">
  <tableColumns count="15">
    <tableColumn id="1" xr3:uid="{00000000-0010-0000-0B00-000001000000}" name="MISC PAYMENTS" totalsRowLabel="Total" totalsRowDxfId="29"/>
    <tableColumn id="2" xr3:uid="{00000000-0010-0000-0B00-000002000000}" name="JAN" totalsRowFunction="sum" totalsRowDxfId="28"/>
    <tableColumn id="3" xr3:uid="{00000000-0010-0000-0B00-000003000000}" name="FEB" totalsRowFunction="sum" totalsRowDxfId="27"/>
    <tableColumn id="4" xr3:uid="{00000000-0010-0000-0B00-000004000000}" name="MAR" totalsRowFunction="sum" totalsRowDxfId="26"/>
    <tableColumn id="5" xr3:uid="{00000000-0010-0000-0B00-000005000000}" name="APR" totalsRowFunction="sum" totalsRowDxfId="25"/>
    <tableColumn id="6" xr3:uid="{00000000-0010-0000-0B00-000006000000}" name="MAY" totalsRowFunction="sum" totalsRowDxfId="24"/>
    <tableColumn id="7" xr3:uid="{00000000-0010-0000-0B00-000007000000}" name="JUN" totalsRowFunction="sum" totalsRowDxfId="23"/>
    <tableColumn id="8" xr3:uid="{00000000-0010-0000-0B00-000008000000}" name="JUL" totalsRowFunction="sum" totalsRowDxfId="22"/>
    <tableColumn id="9" xr3:uid="{00000000-0010-0000-0B00-000009000000}" name="AUG" totalsRowFunction="sum" totalsRowDxfId="21"/>
    <tableColumn id="10" xr3:uid="{00000000-0010-0000-0B00-00000A000000}" name="SEP" totalsRowFunction="sum" totalsRowDxfId="20"/>
    <tableColumn id="11" xr3:uid="{00000000-0010-0000-0B00-00000B000000}" name="OCT" totalsRowFunction="sum" totalsRowDxfId="19"/>
    <tableColumn id="12" xr3:uid="{00000000-0010-0000-0B00-00000C000000}" name="NOV" totalsRowFunction="sum" totalsRowDxfId="18"/>
    <tableColumn id="13" xr3:uid="{00000000-0010-0000-0B00-00000D000000}" name="DEC" totalsRowFunction="sum" totalsRowDxfId="17"/>
    <tableColumn id="14" xr3:uid="{00000000-0010-0000-0B00-00000E000000}" name="YEAR" totalsRowFunction="sum" totalsRowDxfId="16">
      <calculatedColumnFormula>SUM(tblMisc[[#This Row],[JAN]:[DEC]])</calculatedColumnFormula>
    </tableColumn>
    <tableColumn id="15" xr3:uid="{00000000-0010-0000-0B00-00000F000000}" name=" " dataDxfId="202" totalsRowDxfId="15"/>
  </tableColumns>
  <tableStyleInfo name="Table Style 1" showFirstColumn="0" showLastColumn="0" showRowStripes="0" showColumnStripes="1"/>
  <extLst>
    <ext xmlns:x14="http://schemas.microsoft.com/office/spreadsheetml/2009/9/main" uri="{504A1905-F514-4f6f-8877-14C23A59335A}">
      <x14:table altText="Misc Expenses" altTextSummary="Enter your miscellaneous expenses for the year, separated by month."/>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blTotals" displayName="tblTotals" ref="B143:P145" totalsRowShown="0" headerRowDxfId="201" dataDxfId="200" headerRowCellStyle="Heading 3">
  <tableColumns count="15">
    <tableColumn id="1" xr3:uid="{00000000-0010-0000-0C00-000001000000}" name="TOTALS" dataDxfId="199"/>
    <tableColumn id="2" xr3:uid="{00000000-0010-0000-0C00-000002000000}" name="JAN" dataDxfId="198">
      <calculatedColumnFormula>tblIncome[[#Totals],[JAN]]-C143</calculatedColumnFormula>
    </tableColumn>
    <tableColumn id="3" xr3:uid="{00000000-0010-0000-0C00-000003000000}" name="FEB" dataDxfId="197">
      <calculatedColumnFormula>tblIncome[[#Totals],[FEB]]-D143</calculatedColumnFormula>
    </tableColumn>
    <tableColumn id="4" xr3:uid="{00000000-0010-0000-0C00-000004000000}" name="MAR" dataDxfId="196">
      <calculatedColumnFormula>tblIncome[[#Totals],[MAR]]-E143</calculatedColumnFormula>
    </tableColumn>
    <tableColumn id="5" xr3:uid="{00000000-0010-0000-0C00-000005000000}" name="APR" dataDxfId="195">
      <calculatedColumnFormula>tblIncome[[#Totals],[APR]]-F143</calculatedColumnFormula>
    </tableColumn>
    <tableColumn id="6" xr3:uid="{00000000-0010-0000-0C00-000006000000}" name="MAY" dataDxfId="194">
      <calculatedColumnFormula>tblIncome[[#Totals],[MAY]]-G143</calculatedColumnFormula>
    </tableColumn>
    <tableColumn id="7" xr3:uid="{00000000-0010-0000-0C00-000007000000}" name="JUN" dataDxfId="193">
      <calculatedColumnFormula>tblIncome[[#Totals],[JUN]]-H143</calculatedColumnFormula>
    </tableColumn>
    <tableColumn id="8" xr3:uid="{00000000-0010-0000-0C00-000008000000}" name="JUL" dataDxfId="192">
      <calculatedColumnFormula>tblIncome[[#Totals],[JUL]]-I143</calculatedColumnFormula>
    </tableColumn>
    <tableColumn id="9" xr3:uid="{00000000-0010-0000-0C00-000009000000}" name="AUG" dataDxfId="191">
      <calculatedColumnFormula>tblIncome[[#Totals],[AUG]]-J143</calculatedColumnFormula>
    </tableColumn>
    <tableColumn id="10" xr3:uid="{00000000-0010-0000-0C00-00000A000000}" name="SEP" dataDxfId="190">
      <calculatedColumnFormula>tblIncome[[#Totals],[SEP]]-K143</calculatedColumnFormula>
    </tableColumn>
    <tableColumn id="11" xr3:uid="{00000000-0010-0000-0C00-00000B000000}" name="OCT" dataDxfId="189">
      <calculatedColumnFormula>tblIncome[[#Totals],[OCT]]-L143</calculatedColumnFormula>
    </tableColumn>
    <tableColumn id="12" xr3:uid="{00000000-0010-0000-0C00-00000C000000}" name="NOV" dataDxfId="188">
      <calculatedColumnFormula>tblIncome[[#Totals],[NOV]]-M143</calculatedColumnFormula>
    </tableColumn>
    <tableColumn id="13" xr3:uid="{00000000-0010-0000-0C00-00000D000000}" name="DEC" dataDxfId="187">
      <calculatedColumnFormula>tblIncome[[#Totals],[DEC]]-N143</calculatedColumnFormula>
    </tableColumn>
    <tableColumn id="14" xr3:uid="{00000000-0010-0000-0C00-00000E000000}" name="YEAR" dataDxfId="186">
      <calculatedColumnFormula>tblIncome[[#Totals],[YEAR]]-O143</calculatedColumnFormula>
    </tableColumn>
    <tableColumn id="15" xr3:uid="{00000000-0010-0000-0C00-00000F000000}" name=" " dataDxfId="185"/>
  </tableColumns>
  <tableStyleInfo showFirstColumn="1" showLastColumn="0" showRowStripes="0" showColumnStripes="1"/>
  <extLst>
    <ext xmlns:x14="http://schemas.microsoft.com/office/spreadsheetml/2009/9/main" uri="{504A1905-F514-4f6f-8877-14C23A59335A}">
      <x14:table altText="Totals" altTextSummary="View your totals for the year, separated by month."/>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Home" displayName="tblHome" ref="B50:P56" totalsRowCount="1" headerRowDxfId="184" dataDxfId="183" totalsRowDxfId="182">
  <tableColumns count="15">
    <tableColumn id="1" xr3:uid="{00000000-0010-0000-0100-000001000000}" name="ADMINISTRATION" totalsRowLabel="Total" dataDxfId="181" totalsRowDxfId="134"/>
    <tableColumn id="2" xr3:uid="{00000000-0010-0000-0100-000002000000}" name="JAN" totalsRowFunction="sum" dataDxfId="180" totalsRowDxfId="133"/>
    <tableColumn id="3" xr3:uid="{00000000-0010-0000-0100-000003000000}" name="FEB" totalsRowFunction="sum" dataDxfId="179" totalsRowDxfId="132"/>
    <tableColumn id="4" xr3:uid="{00000000-0010-0000-0100-000004000000}" name="MAR" totalsRowFunction="sum" dataDxfId="178" totalsRowDxfId="131"/>
    <tableColumn id="5" xr3:uid="{00000000-0010-0000-0100-000005000000}" name="APR" totalsRowFunction="sum" dataDxfId="177" totalsRowDxfId="130"/>
    <tableColumn id="6" xr3:uid="{00000000-0010-0000-0100-000006000000}" name="MAY" totalsRowFunction="sum" dataDxfId="176" totalsRowDxfId="129"/>
    <tableColumn id="7" xr3:uid="{00000000-0010-0000-0100-000007000000}" name="JUN" totalsRowFunction="sum" dataDxfId="175" totalsRowDxfId="128"/>
    <tableColumn id="8" xr3:uid="{00000000-0010-0000-0100-000008000000}" name="JUL" totalsRowFunction="sum" dataDxfId="174" totalsRowDxfId="127"/>
    <tableColumn id="9" xr3:uid="{00000000-0010-0000-0100-000009000000}" name="AUG" totalsRowFunction="sum" dataDxfId="173" totalsRowDxfId="126"/>
    <tableColumn id="10" xr3:uid="{00000000-0010-0000-0100-00000A000000}" name="SEP" totalsRowFunction="sum" dataDxfId="172" totalsRowDxfId="125"/>
    <tableColumn id="11" xr3:uid="{00000000-0010-0000-0100-00000B000000}" name="OCT" totalsRowFunction="sum" dataDxfId="171" totalsRowDxfId="124"/>
    <tableColumn id="12" xr3:uid="{00000000-0010-0000-0100-00000C000000}" name="NOV" totalsRowFunction="sum" dataDxfId="170" totalsRowDxfId="123"/>
    <tableColumn id="13" xr3:uid="{00000000-0010-0000-0100-00000D000000}" name="DEC" totalsRowFunction="sum" dataDxfId="169" totalsRowDxfId="122"/>
    <tableColumn id="14" xr3:uid="{00000000-0010-0000-0100-00000E000000}" name="YEAR" totalsRowFunction="sum" dataDxfId="168" totalsRowDxfId="121">
      <calculatedColumnFormula>SUM(tblHome[[#This Row],[JAN]:[DEC]])</calculatedColumnFormula>
    </tableColumn>
    <tableColumn id="15" xr3:uid="{00000000-0010-0000-0100-00000F000000}" name=" " dataDxfId="167" totalsRowDxfId="120"/>
  </tableColumns>
  <tableStyleInfo name="Table Style 1" showFirstColumn="0" showLastColumn="0" showRowStripes="0" showColumnStripes="1"/>
  <extLst>
    <ext xmlns:x14="http://schemas.microsoft.com/office/spreadsheetml/2009/9/main" uri="{504A1905-F514-4f6f-8877-14C23A59335A}">
      <x14:table altText="Home Expenses" altTextSummary="Enter your home expenses for the year, separated by month."/>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Daily" displayName="tblDaily" ref="B58:P67" totalsRowCount="1" headerRowDxfId="382" dataDxfId="381" totalsRowDxfId="380">
  <tableColumns count="15">
    <tableColumn id="1" xr3:uid="{00000000-0010-0000-0200-000001000000}" name="HAVEN SCHOOL (125 STUDENTS)" totalsRowLabel="Total" dataDxfId="379" totalsRowDxfId="119"/>
    <tableColumn id="2" xr3:uid="{00000000-0010-0000-0200-000002000000}" name="JAN" totalsRowFunction="sum" dataDxfId="378" totalsRowDxfId="118"/>
    <tableColumn id="3" xr3:uid="{00000000-0010-0000-0200-000003000000}" name="FEB" totalsRowFunction="sum" dataDxfId="377" totalsRowDxfId="117"/>
    <tableColumn id="4" xr3:uid="{00000000-0010-0000-0200-000004000000}" name="MAR" totalsRowFunction="sum" dataDxfId="376" totalsRowDxfId="116"/>
    <tableColumn id="5" xr3:uid="{00000000-0010-0000-0200-000005000000}" name="APR" totalsRowFunction="sum" dataDxfId="375" totalsRowDxfId="115"/>
    <tableColumn id="6" xr3:uid="{00000000-0010-0000-0200-000006000000}" name="MAY" totalsRowFunction="sum" dataDxfId="374" totalsRowDxfId="114"/>
    <tableColumn id="7" xr3:uid="{00000000-0010-0000-0200-000007000000}" name="JUN" totalsRowFunction="sum" dataDxfId="373" totalsRowDxfId="113"/>
    <tableColumn id="8" xr3:uid="{00000000-0010-0000-0200-000008000000}" name="JUL" totalsRowFunction="sum" dataDxfId="372" totalsRowDxfId="112"/>
    <tableColumn id="9" xr3:uid="{00000000-0010-0000-0200-000009000000}" name="AUG" totalsRowFunction="sum" dataDxfId="371" totalsRowDxfId="111"/>
    <tableColumn id="10" xr3:uid="{00000000-0010-0000-0200-00000A000000}" name="SEP" totalsRowFunction="sum" dataDxfId="370" totalsRowDxfId="110"/>
    <tableColumn id="11" xr3:uid="{00000000-0010-0000-0200-00000B000000}" name="OCT" totalsRowFunction="sum" dataDxfId="369" totalsRowDxfId="109"/>
    <tableColumn id="12" xr3:uid="{00000000-0010-0000-0200-00000C000000}" name="NOV" totalsRowFunction="sum" dataDxfId="368" totalsRowDxfId="108"/>
    <tableColumn id="13" xr3:uid="{00000000-0010-0000-0200-00000D000000}" name="DEC" totalsRowFunction="sum" dataDxfId="367" totalsRowDxfId="107"/>
    <tableColumn id="14" xr3:uid="{00000000-0010-0000-0200-00000E000000}" name="YEAR" totalsRowFunction="sum" dataDxfId="366" totalsRowDxfId="106">
      <calculatedColumnFormula>SUM(tblDaily[[#This Row],[JAN]:[DEC]])</calculatedColumnFormula>
    </tableColumn>
    <tableColumn id="15" xr3:uid="{00000000-0010-0000-0200-00000F000000}" name=" " dataDxfId="365" totalsRowDxfId="105"/>
  </tableColumns>
  <tableStyleInfo name="Table Style 1" showFirstColumn="0" showLastColumn="0" showRowStripes="0" showColumnStripes="1"/>
  <extLst>
    <ext xmlns:x14="http://schemas.microsoft.com/office/spreadsheetml/2009/9/main" uri="{504A1905-F514-4f6f-8877-14C23A59335A}">
      <x14:table altText="Daily Living Expenses" altTextSummary="Enter your daily living expenses for the year, separated by month."/>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Transportation" displayName="tblTransportation" ref="B69:P73" totalsRowCount="1" headerRowDxfId="364" dataDxfId="363" totalsRowDxfId="362">
  <tableColumns count="15">
    <tableColumn id="1" xr3:uid="{00000000-0010-0000-0300-000001000000}" name="SCHOOL SCHOLARSHIP (96 STUDENTS)" totalsRowLabel="Total" dataDxfId="361" totalsRowDxfId="104"/>
    <tableColumn id="2" xr3:uid="{00000000-0010-0000-0300-000002000000}" name="JAN" totalsRowFunction="sum" dataDxfId="360" totalsRowDxfId="103"/>
    <tableColumn id="3" xr3:uid="{00000000-0010-0000-0300-000003000000}" name="FEB" totalsRowFunction="sum" dataDxfId="359" totalsRowDxfId="102"/>
    <tableColumn id="4" xr3:uid="{00000000-0010-0000-0300-000004000000}" name="MAR" totalsRowFunction="sum" dataDxfId="358" totalsRowDxfId="101"/>
    <tableColumn id="5" xr3:uid="{00000000-0010-0000-0300-000005000000}" name="APR" totalsRowFunction="sum" dataDxfId="357" totalsRowDxfId="100"/>
    <tableColumn id="6" xr3:uid="{00000000-0010-0000-0300-000006000000}" name="MAY" totalsRowFunction="sum" dataDxfId="356" totalsRowDxfId="99"/>
    <tableColumn id="7" xr3:uid="{00000000-0010-0000-0300-000007000000}" name="JUN" totalsRowFunction="sum" dataDxfId="355" totalsRowDxfId="98"/>
    <tableColumn id="8" xr3:uid="{00000000-0010-0000-0300-000008000000}" name="JUL" totalsRowFunction="sum" dataDxfId="354" totalsRowDxfId="97"/>
    <tableColumn id="9" xr3:uid="{00000000-0010-0000-0300-000009000000}" name="AUG" totalsRowFunction="sum" dataDxfId="353" totalsRowDxfId="96"/>
    <tableColumn id="10" xr3:uid="{00000000-0010-0000-0300-00000A000000}" name="SEP" totalsRowFunction="sum" dataDxfId="352" totalsRowDxfId="95"/>
    <tableColumn id="11" xr3:uid="{00000000-0010-0000-0300-00000B000000}" name="OCT" totalsRowFunction="sum" dataDxfId="351" totalsRowDxfId="94"/>
    <tableColumn id="12" xr3:uid="{00000000-0010-0000-0300-00000C000000}" name="NOV" totalsRowFunction="sum" dataDxfId="350" totalsRowDxfId="93"/>
    <tableColumn id="13" xr3:uid="{00000000-0010-0000-0300-00000D000000}" name="DEC" totalsRowFunction="sum" dataDxfId="349" totalsRowDxfId="92"/>
    <tableColumn id="14" xr3:uid="{00000000-0010-0000-0300-00000E000000}" name="YEAR" totalsRowFunction="sum" dataDxfId="348" totalsRowDxfId="91">
      <calculatedColumnFormula>SUM(tblTransportation[[#This Row],[JAN]:[DEC]])</calculatedColumnFormula>
    </tableColumn>
    <tableColumn id="15" xr3:uid="{00000000-0010-0000-0300-00000F000000}" name=" " dataDxfId="347" totalsRowDxfId="90"/>
  </tableColumns>
  <tableStyleInfo name="Table Style 1" showFirstColumn="0" showLastColumn="0" showRowStripes="0" showColumnStripes="1"/>
  <extLst>
    <ext xmlns:x14="http://schemas.microsoft.com/office/spreadsheetml/2009/9/main" uri="{504A1905-F514-4f6f-8877-14C23A59335A}">
      <x14:table altText="Transportation expenses" altTextSummary="Enter your transportation expenses for the year, separated by month."/>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Entertainment" displayName="tblEntertainment" ref="B75:P82" totalsRowCount="1" headerRowDxfId="346" dataDxfId="345" totalsRowDxfId="344">
  <tableColumns count="15">
    <tableColumn id="1" xr3:uid="{00000000-0010-0000-0400-000001000000}" name="FOOD SUPPORT" totalsRowLabel="Total" dataDxfId="343" totalsRowDxfId="89"/>
    <tableColumn id="2" xr3:uid="{00000000-0010-0000-0400-000002000000}" name="JAN" totalsRowFunction="sum" dataDxfId="342" totalsRowDxfId="88"/>
    <tableColumn id="3" xr3:uid="{00000000-0010-0000-0400-000003000000}" name="FEB" totalsRowFunction="sum" dataDxfId="341" totalsRowDxfId="87"/>
    <tableColumn id="4" xr3:uid="{00000000-0010-0000-0400-000004000000}" name="MAR" totalsRowFunction="sum" dataDxfId="340" totalsRowDxfId="86"/>
    <tableColumn id="5" xr3:uid="{00000000-0010-0000-0400-000005000000}" name="APR" totalsRowFunction="sum" dataDxfId="339" totalsRowDxfId="85"/>
    <tableColumn id="6" xr3:uid="{00000000-0010-0000-0400-000006000000}" name="MAY" totalsRowFunction="sum" dataDxfId="338" totalsRowDxfId="84"/>
    <tableColumn id="7" xr3:uid="{00000000-0010-0000-0400-000007000000}" name="JUN" totalsRowFunction="sum" dataDxfId="337" totalsRowDxfId="83"/>
    <tableColumn id="8" xr3:uid="{00000000-0010-0000-0400-000008000000}" name="JUL" totalsRowFunction="sum" dataDxfId="336" totalsRowDxfId="82"/>
    <tableColumn id="9" xr3:uid="{00000000-0010-0000-0400-000009000000}" name="AUG" totalsRowFunction="sum" dataDxfId="335" totalsRowDxfId="81"/>
    <tableColumn id="10" xr3:uid="{00000000-0010-0000-0400-00000A000000}" name="SEP" totalsRowFunction="sum" dataDxfId="334" totalsRowDxfId="80"/>
    <tableColumn id="11" xr3:uid="{00000000-0010-0000-0400-00000B000000}" name="OCT" totalsRowFunction="sum" dataDxfId="333" totalsRowDxfId="79"/>
    <tableColumn id="12" xr3:uid="{00000000-0010-0000-0400-00000C000000}" name="NOV" totalsRowFunction="sum" dataDxfId="332" totalsRowDxfId="78"/>
    <tableColumn id="13" xr3:uid="{00000000-0010-0000-0400-00000D000000}" name="DEC" totalsRowFunction="sum" dataDxfId="331" totalsRowDxfId="77"/>
    <tableColumn id="14" xr3:uid="{00000000-0010-0000-0400-00000E000000}" name="YEAR" totalsRowFunction="sum" dataDxfId="330" totalsRowDxfId="76">
      <calculatedColumnFormula>SUM(tblEntertainment[[#This Row],[JAN]:[DEC]])</calculatedColumnFormula>
    </tableColumn>
    <tableColumn id="15" xr3:uid="{00000000-0010-0000-0400-00000F000000}" name=" " dataDxfId="329" totalsRowDxfId="75"/>
  </tableColumns>
  <tableStyleInfo name="Table Style 1" showFirstColumn="0" showLastColumn="0" showRowStripes="0" showColumnStripes="1"/>
  <extLst>
    <ext xmlns:x14="http://schemas.microsoft.com/office/spreadsheetml/2009/9/main" uri="{504A1905-F514-4f6f-8877-14C23A59335A}">
      <x14:table altText="Entertainment Expenses" altTextSummary="Enter your entertainment expenses for the year, separated by month."/>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blHealth" displayName="tblHealth" ref="B84:P90" totalsRowCount="1" headerRowDxfId="328" dataDxfId="327" totalsRowDxfId="326">
  <tableColumns count="15">
    <tableColumn id="1" xr3:uid="{00000000-0010-0000-0500-000001000000}" name="HEALTH AND MEDICAL" totalsRowLabel="Total" dataDxfId="325" totalsRowDxfId="74"/>
    <tableColumn id="2" xr3:uid="{00000000-0010-0000-0500-000002000000}" name="JAN" totalsRowFunction="sum" dataDxfId="324" totalsRowDxfId="73"/>
    <tableColumn id="3" xr3:uid="{00000000-0010-0000-0500-000003000000}" name="FEB" totalsRowFunction="sum" dataDxfId="323" totalsRowDxfId="72"/>
    <tableColumn id="4" xr3:uid="{00000000-0010-0000-0500-000004000000}" name="MAR" totalsRowFunction="sum" dataDxfId="322" totalsRowDxfId="71"/>
    <tableColumn id="5" xr3:uid="{00000000-0010-0000-0500-000005000000}" name="APR" totalsRowFunction="sum" dataDxfId="321" totalsRowDxfId="70"/>
    <tableColumn id="6" xr3:uid="{00000000-0010-0000-0500-000006000000}" name="MAY" totalsRowFunction="sum" dataDxfId="320" totalsRowDxfId="69"/>
    <tableColumn id="7" xr3:uid="{00000000-0010-0000-0500-000007000000}" name="JUN" totalsRowFunction="sum" dataDxfId="319" totalsRowDxfId="68"/>
    <tableColumn id="8" xr3:uid="{00000000-0010-0000-0500-000008000000}" name="JUL" totalsRowFunction="sum" dataDxfId="318" totalsRowDxfId="67"/>
    <tableColumn id="9" xr3:uid="{00000000-0010-0000-0500-000009000000}" name="AUG" totalsRowFunction="sum" dataDxfId="317" totalsRowDxfId="66"/>
    <tableColumn id="10" xr3:uid="{00000000-0010-0000-0500-00000A000000}" name="SEP" totalsRowFunction="sum" dataDxfId="316" totalsRowDxfId="65"/>
    <tableColumn id="11" xr3:uid="{00000000-0010-0000-0500-00000B000000}" name="OCT" totalsRowFunction="sum" dataDxfId="315" totalsRowDxfId="64"/>
    <tableColumn id="12" xr3:uid="{00000000-0010-0000-0500-00000C000000}" name="NOV" totalsRowFunction="sum" dataDxfId="314" totalsRowDxfId="63"/>
    <tableColumn id="13" xr3:uid="{00000000-0010-0000-0500-00000D000000}" name="DEC" totalsRowFunction="sum" dataDxfId="313" totalsRowDxfId="62"/>
    <tableColumn id="14" xr3:uid="{00000000-0010-0000-0500-00000E000000}" name="YEAR" totalsRowFunction="sum" dataDxfId="312" totalsRowDxfId="61">
      <calculatedColumnFormula>SUM(tblHealth[[#This Row],[JAN]:[DEC]])</calculatedColumnFormula>
    </tableColumn>
    <tableColumn id="15" xr3:uid="{00000000-0010-0000-0500-00000F000000}" name=" " dataDxfId="311" totalsRowDxfId="60"/>
  </tableColumns>
  <tableStyleInfo name="Table Style 1" showFirstColumn="0" showLastColumn="0" showRowStripes="0" showColumnStripes="1"/>
  <extLst>
    <ext xmlns:x14="http://schemas.microsoft.com/office/spreadsheetml/2009/9/main" uri="{504A1905-F514-4f6f-8877-14C23A59335A}">
      <x14:table altText="Health Expenses" altTextSummary="Enter your health expenses for the year, separated by month."/>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blVacations" displayName="tblVacations" ref="B92:P99" totalsRowCount="1" headerRowDxfId="310" dataDxfId="309" totalsRowDxfId="308">
  <tableColumns count="15">
    <tableColumn id="1" xr3:uid="{00000000-0010-0000-0600-000001000000}" name="SPECIAL SUPPORT" totalsRowLabel="Total" dataDxfId="307" totalsRowDxfId="59"/>
    <tableColumn id="2" xr3:uid="{00000000-0010-0000-0600-000002000000}" name="JAN" totalsRowFunction="sum" dataDxfId="306" totalsRowDxfId="58"/>
    <tableColumn id="3" xr3:uid="{00000000-0010-0000-0600-000003000000}" name="FEB" totalsRowFunction="sum" dataDxfId="305" totalsRowDxfId="57"/>
    <tableColumn id="4" xr3:uid="{00000000-0010-0000-0600-000004000000}" name="MAR" totalsRowFunction="sum" dataDxfId="304" totalsRowDxfId="56"/>
    <tableColumn id="5" xr3:uid="{00000000-0010-0000-0600-000005000000}" name="APR" totalsRowFunction="sum" dataDxfId="303" totalsRowDxfId="55"/>
    <tableColumn id="6" xr3:uid="{00000000-0010-0000-0600-000006000000}" name="MAY" totalsRowFunction="sum" dataDxfId="302" totalsRowDxfId="54"/>
    <tableColumn id="7" xr3:uid="{00000000-0010-0000-0600-000007000000}" name="JUN" totalsRowFunction="sum" dataDxfId="301" totalsRowDxfId="53"/>
    <tableColumn id="8" xr3:uid="{00000000-0010-0000-0600-000008000000}" name="JUL" totalsRowFunction="sum" dataDxfId="300" totalsRowDxfId="52"/>
    <tableColumn id="9" xr3:uid="{00000000-0010-0000-0600-000009000000}" name="AUG" totalsRowFunction="sum" dataDxfId="299" totalsRowDxfId="51"/>
    <tableColumn id="10" xr3:uid="{00000000-0010-0000-0600-00000A000000}" name="SEP" totalsRowFunction="sum" dataDxfId="298" totalsRowDxfId="50"/>
    <tableColumn id="11" xr3:uid="{00000000-0010-0000-0600-00000B000000}" name="OCT" totalsRowFunction="sum" dataDxfId="297" totalsRowDxfId="49"/>
    <tableColumn id="12" xr3:uid="{00000000-0010-0000-0600-00000C000000}" name="NOV" totalsRowFunction="sum" dataDxfId="296" totalsRowDxfId="48"/>
    <tableColumn id="13" xr3:uid="{00000000-0010-0000-0600-00000D000000}" name="DEC" totalsRowFunction="sum" dataDxfId="295" totalsRowDxfId="47"/>
    <tableColumn id="14" xr3:uid="{00000000-0010-0000-0600-00000E000000}" name="YEAR" totalsRowFunction="sum" dataDxfId="294" totalsRowDxfId="46">
      <calculatedColumnFormula>SUM(tblVacations[[#This Row],[JAN]:[DEC]])</calculatedColumnFormula>
    </tableColumn>
    <tableColumn id="15" xr3:uid="{00000000-0010-0000-0600-00000F000000}" name=" " dataDxfId="293" totalsRowDxfId="45"/>
  </tableColumns>
  <tableStyleInfo name="Table Style 1" showFirstColumn="0" showLastColumn="0" showRowStripes="0" showColumnStripes="1"/>
  <extLst>
    <ext xmlns:x14="http://schemas.microsoft.com/office/spreadsheetml/2009/9/main" uri="{504A1905-F514-4f6f-8877-14C23A59335A}">
      <x14:table altText="Vacation Expenses" altTextSummary="Enter your vacation expenses for the year, separated by month."/>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blRecreation" displayName="tblRecreation" ref="B101:P111" totalsRowCount="1" headerRowDxfId="292" dataDxfId="291" totalsRowDxfId="290">
  <tableColumns count="15">
    <tableColumn id="1" xr3:uid="{00000000-0010-0000-0700-000001000000}" name="BUSINESS DEVELOPMENT" totalsRowLabel="Total" dataDxfId="289" totalsRowDxfId="44"/>
    <tableColumn id="2" xr3:uid="{00000000-0010-0000-0700-000002000000}" name="JAN" totalsRowFunction="sum" dataDxfId="288" totalsRowDxfId="43"/>
    <tableColumn id="3" xr3:uid="{00000000-0010-0000-0700-000003000000}" name="FEB" totalsRowFunction="sum" dataDxfId="287" totalsRowDxfId="42"/>
    <tableColumn id="4" xr3:uid="{00000000-0010-0000-0700-000004000000}" name="MAR" totalsRowFunction="sum" dataDxfId="286" totalsRowDxfId="41"/>
    <tableColumn id="5" xr3:uid="{00000000-0010-0000-0700-000005000000}" name="APR" totalsRowFunction="sum" dataDxfId="285" totalsRowDxfId="40"/>
    <tableColumn id="6" xr3:uid="{00000000-0010-0000-0700-000006000000}" name="MAY" totalsRowFunction="sum" dataDxfId="284" totalsRowDxfId="39"/>
    <tableColumn id="7" xr3:uid="{00000000-0010-0000-0700-000007000000}" name="JUN" totalsRowFunction="sum" dataDxfId="283" totalsRowDxfId="38"/>
    <tableColumn id="8" xr3:uid="{00000000-0010-0000-0700-000008000000}" name="JUL" totalsRowFunction="sum" dataDxfId="282" totalsRowDxfId="37"/>
    <tableColumn id="9" xr3:uid="{00000000-0010-0000-0700-000009000000}" name="AUG" totalsRowFunction="sum" dataDxfId="281" totalsRowDxfId="36"/>
    <tableColumn id="10" xr3:uid="{00000000-0010-0000-0700-00000A000000}" name="SEP" totalsRowFunction="sum" dataDxfId="280" totalsRowDxfId="35"/>
    <tableColumn id="11" xr3:uid="{00000000-0010-0000-0700-00000B000000}" name="OCT" totalsRowFunction="sum" dataDxfId="279" totalsRowDxfId="34"/>
    <tableColumn id="12" xr3:uid="{00000000-0010-0000-0700-00000C000000}" name="NOV" totalsRowFunction="sum" dataDxfId="278" totalsRowDxfId="33"/>
    <tableColumn id="13" xr3:uid="{00000000-0010-0000-0700-00000D000000}" name="DEC" totalsRowFunction="sum" dataDxfId="277" totalsRowDxfId="32"/>
    <tableColumn id="14" xr3:uid="{00000000-0010-0000-0700-00000E000000}" name="YEAR" totalsRowFunction="sum" dataDxfId="276" totalsRowDxfId="31">
      <calculatedColumnFormula>SUM(tblRecreation[[#This Row],[JAN]:[DEC]])</calculatedColumnFormula>
    </tableColumn>
    <tableColumn id="15" xr3:uid="{00000000-0010-0000-0700-00000F000000}" name=" " dataDxfId="275" totalsRowDxfId="30"/>
  </tableColumns>
  <tableStyleInfo name="Table Style 1" showFirstColumn="0" showLastColumn="0" showRowStripes="0" showColumnStripes="1"/>
  <extLst>
    <ext xmlns:x14="http://schemas.microsoft.com/office/spreadsheetml/2009/9/main" uri="{504A1905-F514-4f6f-8877-14C23A59335A}">
      <x14:table altText="Recreation Expenses" altTextSummary="Enter your recreation expenses for the year, separated by month."/>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blDues" displayName="tblDues" ref="B113:P117" totalsRowCount="1" headerRowDxfId="274" dataDxfId="273" totalsRowDxfId="272">
  <tableColumns count="15">
    <tableColumn id="1" xr3:uid="{00000000-0010-0000-0800-000001000000}" name="LAND" totalsRowLabel="Total" dataDxfId="271" totalsRowDxfId="164"/>
    <tableColumn id="2" xr3:uid="{00000000-0010-0000-0800-000002000000}" name="JAN" totalsRowFunction="sum" dataDxfId="270" totalsRowDxfId="163"/>
    <tableColumn id="3" xr3:uid="{00000000-0010-0000-0800-000003000000}" name="FEB" totalsRowFunction="sum" dataDxfId="269" totalsRowDxfId="162"/>
    <tableColumn id="4" xr3:uid="{00000000-0010-0000-0800-000004000000}" name="MAR" totalsRowFunction="sum" dataDxfId="268" totalsRowDxfId="161"/>
    <tableColumn id="5" xr3:uid="{00000000-0010-0000-0800-000005000000}" name="APR" totalsRowFunction="sum" dataDxfId="267" totalsRowDxfId="160"/>
    <tableColumn id="6" xr3:uid="{00000000-0010-0000-0800-000006000000}" name="MAY" totalsRowFunction="sum" dataDxfId="266" totalsRowDxfId="159"/>
    <tableColumn id="7" xr3:uid="{00000000-0010-0000-0800-000007000000}" name="JUN" totalsRowFunction="sum" dataDxfId="265" totalsRowDxfId="158"/>
    <tableColumn id="8" xr3:uid="{00000000-0010-0000-0800-000008000000}" name="JUL" totalsRowFunction="sum" dataDxfId="264" totalsRowDxfId="157"/>
    <tableColumn id="9" xr3:uid="{00000000-0010-0000-0800-000009000000}" name="AUG" totalsRowFunction="sum" dataDxfId="263" totalsRowDxfId="156"/>
    <tableColumn id="10" xr3:uid="{00000000-0010-0000-0800-00000A000000}" name="SEP" totalsRowFunction="sum" dataDxfId="262" totalsRowDxfId="155"/>
    <tableColumn id="11" xr3:uid="{00000000-0010-0000-0800-00000B000000}" name="OCT" totalsRowFunction="sum" dataDxfId="261" totalsRowDxfId="154"/>
    <tableColumn id="12" xr3:uid="{00000000-0010-0000-0800-00000C000000}" name="NOV" totalsRowFunction="sum" dataDxfId="260" totalsRowDxfId="153"/>
    <tableColumn id="13" xr3:uid="{00000000-0010-0000-0800-00000D000000}" name="DEC" totalsRowFunction="sum" dataDxfId="259" totalsRowDxfId="152"/>
    <tableColumn id="14" xr3:uid="{00000000-0010-0000-0800-00000E000000}" name="YEAR" totalsRowFunction="sum" dataDxfId="258" totalsRowDxfId="151">
      <calculatedColumnFormula>SUM(tblDues[[#This Row],[JAN]:[DEC]])</calculatedColumnFormula>
    </tableColumn>
    <tableColumn id="15" xr3:uid="{00000000-0010-0000-0800-00000F000000}" name=" " dataDxfId="257" totalsRowDxfId="150"/>
  </tableColumns>
  <tableStyleInfo name="Table Style 1" showFirstColumn="0" showLastColumn="0" showRowStripes="0" showColumnStripes="1"/>
  <extLst>
    <ext xmlns:x14="http://schemas.microsoft.com/office/spreadsheetml/2009/9/main" uri="{504A1905-F514-4f6f-8877-14C23A59335A}">
      <x14:table altText="Dues &amp; Subscription Expenses" altTextSummary="Enter your dues &amp; subscription expenses for the year, separated by month."/>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blPersonal" displayName="tblPersonal" ref="B119:P125" totalsRowCount="1" headerRowDxfId="256" dataDxfId="255" totalsRowDxfId="254">
  <tableColumns count="15">
    <tableColumn id="1" xr3:uid="{00000000-0010-0000-0900-000001000000}" name="CLEAN WATER" totalsRowLabel="Total" dataDxfId="253" totalsRowDxfId="14"/>
    <tableColumn id="2" xr3:uid="{00000000-0010-0000-0900-000002000000}" name="JAN" totalsRowFunction="sum" dataDxfId="252" totalsRowDxfId="13"/>
    <tableColumn id="3" xr3:uid="{00000000-0010-0000-0900-000003000000}" name="FEB" totalsRowFunction="sum" dataDxfId="251" totalsRowDxfId="12"/>
    <tableColumn id="4" xr3:uid="{00000000-0010-0000-0900-000004000000}" name="MAR" totalsRowFunction="sum" dataDxfId="250" totalsRowDxfId="11"/>
    <tableColumn id="5" xr3:uid="{00000000-0010-0000-0900-000005000000}" name="APR" totalsRowFunction="sum" dataDxfId="249" totalsRowDxfId="10"/>
    <tableColumn id="6" xr3:uid="{00000000-0010-0000-0900-000006000000}" name="MAY" totalsRowFunction="sum" dataDxfId="248" totalsRowDxfId="9"/>
    <tableColumn id="7" xr3:uid="{00000000-0010-0000-0900-000007000000}" name="JUN" totalsRowFunction="sum" dataDxfId="247" totalsRowDxfId="8"/>
    <tableColumn id="8" xr3:uid="{00000000-0010-0000-0900-000008000000}" name="JUL" totalsRowFunction="sum" dataDxfId="246" totalsRowDxfId="7"/>
    <tableColumn id="9" xr3:uid="{00000000-0010-0000-0900-000009000000}" name="AUG" totalsRowFunction="sum" dataDxfId="245" totalsRowDxfId="6"/>
    <tableColumn id="10" xr3:uid="{00000000-0010-0000-0900-00000A000000}" name="SEP" totalsRowFunction="sum" dataDxfId="244" totalsRowDxfId="5"/>
    <tableColumn id="11" xr3:uid="{00000000-0010-0000-0900-00000B000000}" name="OCT" totalsRowFunction="sum" dataDxfId="243" totalsRowDxfId="4"/>
    <tableColumn id="12" xr3:uid="{00000000-0010-0000-0900-00000C000000}" name="NOV" totalsRowFunction="sum" dataDxfId="242" totalsRowDxfId="3"/>
    <tableColumn id="13" xr3:uid="{00000000-0010-0000-0900-00000D000000}" name="DEC" totalsRowFunction="sum" dataDxfId="241" totalsRowDxfId="2"/>
    <tableColumn id="14" xr3:uid="{00000000-0010-0000-0900-00000E000000}" name="YEAR" totalsRowFunction="sum" dataDxfId="240" totalsRowDxfId="1">
      <calculatedColumnFormula>SUM(tblPersonal[[#This Row],[JAN]:[DEC]])</calculatedColumnFormula>
    </tableColumn>
    <tableColumn id="15" xr3:uid="{00000000-0010-0000-0900-00000F000000}" name=" " dataDxfId="239" totalsRowDxfId="0"/>
  </tableColumns>
  <tableStyleInfo name="Table Style 1" showFirstColumn="0" showLastColumn="0" showRowStripes="0" showColumnStripes="1"/>
  <extLst>
    <ext xmlns:x14="http://schemas.microsoft.com/office/spreadsheetml/2009/9/main" uri="{504A1905-F514-4f6f-8877-14C23A59335A}">
      <x14:table altText="Personal Expenses" altTextSummary="Enter your personal expenses for the year, separated by month."/>
    </ext>
  </extLst>
</table>
</file>

<file path=xl/theme/theme1.xml><?xml version="1.0" encoding="utf-8"?>
<a:theme xmlns:a="http://schemas.openxmlformats.org/drawingml/2006/main" name="Office Theme">
  <a:themeElements>
    <a:clrScheme name="TM04035483-v1">
      <a:dk1>
        <a:srgbClr val="000000"/>
      </a:dk1>
      <a:lt1>
        <a:srgbClr val="FFFFFF"/>
      </a:lt1>
      <a:dk2>
        <a:srgbClr val="004C4B"/>
      </a:dk2>
      <a:lt2>
        <a:srgbClr val="E7E6E6"/>
      </a:lt2>
      <a:accent1>
        <a:srgbClr val="007F80"/>
      </a:accent1>
      <a:accent2>
        <a:srgbClr val="B2D8D7"/>
      </a:accent2>
      <a:accent3>
        <a:srgbClr val="FDF8F3"/>
      </a:accent3>
      <a:accent4>
        <a:srgbClr val="FEBF00"/>
      </a:accent4>
      <a:accent5>
        <a:srgbClr val="FFE501"/>
      </a:accent5>
      <a:accent6>
        <a:srgbClr val="836C5A"/>
      </a:accent6>
      <a:hlink>
        <a:srgbClr val="0563C1"/>
      </a:hlink>
      <a:folHlink>
        <a:srgbClr val="954F72"/>
      </a:folHlink>
    </a:clrScheme>
    <a:fontScheme name="Custom 13">
      <a:majorFont>
        <a:latin typeface="Gill Sans MT"/>
        <a:ea typeface=""/>
        <a:cs typeface=""/>
      </a:majorFont>
      <a:minorFont>
        <a:latin typeface="verdana"/>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Q148"/>
  <sheetViews>
    <sheetView showGridLines="0" tabSelected="1" zoomScale="70" zoomScaleNormal="70" workbookViewId="0">
      <pane xSplit="2" topLeftCell="C1" activePane="topRight" state="frozen"/>
      <selection activeCell="A118" sqref="A118"/>
      <selection pane="topRight" activeCell="B13" sqref="B13"/>
    </sheetView>
  </sheetViews>
  <sheetFormatPr defaultColWidth="8.875" defaultRowHeight="21.95" customHeight="1" x14ac:dyDescent="0.2"/>
  <cols>
    <col min="1" max="1" width="2.25" style="10" customWidth="1"/>
    <col min="2" max="2" width="40.125" style="11" customWidth="1"/>
    <col min="3" max="15" width="15.875" style="12" customWidth="1"/>
    <col min="16" max="16" width="15.875" style="11" customWidth="1"/>
    <col min="17" max="17" width="6.875" style="11" customWidth="1"/>
    <col min="18" max="16384" width="8.875" style="24"/>
  </cols>
  <sheetData>
    <row r="1" spans="1:17" ht="20.100000000000001" customHeight="1" x14ac:dyDescent="0.2">
      <c r="Q1" s="11" t="s">
        <v>0</v>
      </c>
    </row>
    <row r="2" spans="1:17" ht="126.95" customHeight="1" x14ac:dyDescent="0.2">
      <c r="B2" s="131" t="s">
        <v>207</v>
      </c>
      <c r="C2" s="131"/>
      <c r="D2" s="131"/>
      <c r="E2" s="131"/>
      <c r="F2" s="131"/>
      <c r="G2" s="131"/>
      <c r="H2" s="131"/>
      <c r="I2" s="131"/>
      <c r="J2" s="131"/>
      <c r="K2" s="131"/>
      <c r="L2" s="131"/>
      <c r="M2" s="131"/>
      <c r="N2" s="131"/>
      <c r="O2" s="131"/>
      <c r="P2" s="131"/>
    </row>
    <row r="4" spans="1:17" s="26" customFormat="1" ht="30" customHeight="1" x14ac:dyDescent="0.45">
      <c r="A4" s="19"/>
      <c r="B4" s="31" t="s">
        <v>1</v>
      </c>
      <c r="C4" s="32"/>
      <c r="D4" s="32"/>
      <c r="E4" s="32"/>
      <c r="F4" s="32"/>
      <c r="G4" s="32"/>
      <c r="H4" s="32"/>
      <c r="I4" s="32"/>
      <c r="J4" s="32"/>
      <c r="K4" s="32"/>
      <c r="L4" s="32"/>
      <c r="M4" s="32"/>
      <c r="N4" s="32"/>
      <c r="O4" s="32"/>
      <c r="P4" s="33"/>
      <c r="Q4" s="20"/>
    </row>
    <row r="5" spans="1:17" s="5" customFormat="1" ht="30" customHeight="1" x14ac:dyDescent="0.2">
      <c r="A5" s="13"/>
      <c r="B5" s="22" t="s">
        <v>2</v>
      </c>
      <c r="C5" s="36" t="s">
        <v>3</v>
      </c>
      <c r="D5" s="36" t="s">
        <v>4</v>
      </c>
      <c r="E5" s="36" t="s">
        <v>5</v>
      </c>
      <c r="F5" s="36" t="s">
        <v>6</v>
      </c>
      <c r="G5" s="36" t="s">
        <v>7</v>
      </c>
      <c r="H5" s="36" t="s">
        <v>8</v>
      </c>
      <c r="I5" s="36" t="s">
        <v>9</v>
      </c>
      <c r="J5" s="36" t="s">
        <v>10</v>
      </c>
      <c r="K5" s="36" t="s">
        <v>11</v>
      </c>
      <c r="L5" s="36" t="s">
        <v>12</v>
      </c>
      <c r="M5" s="36" t="s">
        <v>13</v>
      </c>
      <c r="N5" s="36" t="s">
        <v>14</v>
      </c>
      <c r="O5" s="36" t="s">
        <v>15</v>
      </c>
      <c r="P5" s="37" t="s">
        <v>16</v>
      </c>
      <c r="Q5" s="3"/>
    </row>
    <row r="6" spans="1:17" s="5" customFormat="1" ht="22.15" customHeight="1" x14ac:dyDescent="0.2">
      <c r="A6" s="13"/>
      <c r="B6" s="44" t="s">
        <v>17</v>
      </c>
      <c r="C6" s="45"/>
      <c r="D6" s="45"/>
      <c r="E6" s="45"/>
      <c r="F6" s="45"/>
      <c r="G6" s="45"/>
      <c r="H6" s="45"/>
      <c r="I6" s="45"/>
      <c r="J6" s="45"/>
      <c r="K6" s="45"/>
      <c r="L6" s="45"/>
      <c r="M6" s="45"/>
      <c r="N6" s="45"/>
      <c r="O6" s="45">
        <f>SUM(tblIncome[[#This Row],[JAN]:[DEC]])</f>
        <v>0</v>
      </c>
      <c r="P6" s="16"/>
      <c r="Q6" s="3"/>
    </row>
    <row r="7" spans="1:17" s="5" customFormat="1" ht="22.15" customHeight="1" x14ac:dyDescent="0.2">
      <c r="A7" s="13"/>
      <c r="B7" s="40" t="s">
        <v>155</v>
      </c>
      <c r="C7" s="41"/>
      <c r="D7" s="48"/>
      <c r="E7" s="41"/>
      <c r="F7" s="48"/>
      <c r="G7" s="41"/>
      <c r="H7" s="48"/>
      <c r="I7" s="41"/>
      <c r="J7" s="48"/>
      <c r="K7" s="41"/>
      <c r="L7" s="48"/>
      <c r="M7" s="41"/>
      <c r="N7" s="48"/>
      <c r="O7" s="15">
        <f>SUM(tblIncome[[#This Row],[JAN]:[DEC]])</f>
        <v>0</v>
      </c>
      <c r="P7" s="49"/>
      <c r="Q7" s="3"/>
    </row>
    <row r="8" spans="1:17" s="5" customFormat="1" ht="22.15" customHeight="1" x14ac:dyDescent="0.2">
      <c r="A8" s="13"/>
      <c r="B8" s="40"/>
      <c r="C8" s="41"/>
      <c r="D8" s="48"/>
      <c r="E8" s="41"/>
      <c r="F8" s="48"/>
      <c r="G8" s="41"/>
      <c r="H8" s="48"/>
      <c r="I8" s="41"/>
      <c r="J8" s="48"/>
      <c r="K8" s="41"/>
      <c r="L8" s="48"/>
      <c r="M8" s="41"/>
      <c r="N8" s="48"/>
      <c r="O8" s="15">
        <f>SUM(tblIncome[[#This Row],[JAN]:[DEC]])</f>
        <v>0</v>
      </c>
      <c r="P8" s="49"/>
      <c r="Q8" s="3"/>
    </row>
    <row r="9" spans="1:17" s="5" customFormat="1" ht="22.15" customHeight="1" x14ac:dyDescent="0.2">
      <c r="A9" s="13"/>
      <c r="B9" s="40" t="s">
        <v>153</v>
      </c>
      <c r="C9" s="41"/>
      <c r="D9" s="48"/>
      <c r="E9" s="41"/>
      <c r="F9" s="48"/>
      <c r="G9" s="41"/>
      <c r="H9" s="48"/>
      <c r="I9" s="41"/>
      <c r="J9" s="48"/>
      <c r="K9" s="41"/>
      <c r="L9" s="48"/>
      <c r="M9" s="41"/>
      <c r="N9" s="48"/>
      <c r="O9" s="15">
        <f>SUM(tblIncome[[#This Row],[JAN]:[DEC]])</f>
        <v>0</v>
      </c>
      <c r="P9" s="49"/>
      <c r="Q9" s="3"/>
    </row>
    <row r="10" spans="1:17" s="5" customFormat="1" ht="22.15" customHeight="1" x14ac:dyDescent="0.2">
      <c r="A10" s="13"/>
      <c r="B10" s="40" t="s">
        <v>154</v>
      </c>
      <c r="C10" s="41"/>
      <c r="D10" s="48"/>
      <c r="E10" s="41"/>
      <c r="F10" s="48"/>
      <c r="G10" s="41"/>
      <c r="H10" s="48"/>
      <c r="I10" s="41"/>
      <c r="J10" s="48"/>
      <c r="K10" s="41"/>
      <c r="L10" s="48"/>
      <c r="M10" s="41"/>
      <c r="N10" s="48"/>
      <c r="O10" s="15">
        <f>SUM(tblIncome[[#This Row],[JAN]:[DEC]])</f>
        <v>0</v>
      </c>
      <c r="P10" s="49"/>
      <c r="Q10" s="3"/>
    </row>
    <row r="11" spans="1:17" s="5" customFormat="1" ht="22.15" customHeight="1" x14ac:dyDescent="0.2">
      <c r="A11" s="13"/>
      <c r="B11" s="40" t="s">
        <v>156</v>
      </c>
      <c r="C11" s="41"/>
      <c r="D11" s="48"/>
      <c r="E11" s="41"/>
      <c r="F11" s="48"/>
      <c r="G11" s="41"/>
      <c r="H11" s="48"/>
      <c r="I11" s="41"/>
      <c r="J11" s="48"/>
      <c r="K11" s="41"/>
      <c r="L11" s="48"/>
      <c r="M11" s="41"/>
      <c r="N11" s="48"/>
      <c r="O11" s="15">
        <f>SUM(tblIncome[[#This Row],[JAN]:[DEC]])</f>
        <v>0</v>
      </c>
      <c r="P11" s="49"/>
      <c r="Q11" s="3"/>
    </row>
    <row r="12" spans="1:17" s="5" customFormat="1" ht="22.15" customHeight="1" x14ac:dyDescent="0.2">
      <c r="A12" s="13"/>
      <c r="B12" s="40" t="s">
        <v>157</v>
      </c>
      <c r="C12" s="41"/>
      <c r="D12" s="48"/>
      <c r="E12" s="41"/>
      <c r="F12" s="48"/>
      <c r="G12" s="41"/>
      <c r="H12" s="48"/>
      <c r="I12" s="41"/>
      <c r="J12" s="48"/>
      <c r="K12" s="41"/>
      <c r="L12" s="48"/>
      <c r="M12" s="41"/>
      <c r="N12" s="48"/>
      <c r="O12" s="15">
        <f>SUM(tblIncome[[#This Row],[JAN]:[DEC]])</f>
        <v>0</v>
      </c>
      <c r="P12" s="49"/>
      <c r="Q12" s="3"/>
    </row>
    <row r="13" spans="1:17" s="5" customFormat="1" ht="22.15" customHeight="1" x14ac:dyDescent="0.2">
      <c r="A13" s="13"/>
      <c r="B13" s="40" t="s">
        <v>158</v>
      </c>
      <c r="C13" s="41"/>
      <c r="D13" s="48"/>
      <c r="E13" s="41"/>
      <c r="F13" s="48"/>
      <c r="G13" s="41"/>
      <c r="H13" s="48"/>
      <c r="I13" s="41"/>
      <c r="J13" s="48"/>
      <c r="K13" s="41"/>
      <c r="L13" s="48"/>
      <c r="M13" s="41"/>
      <c r="N13" s="48"/>
      <c r="O13" s="15">
        <f>SUM(tblIncome[[#This Row],[JAN]:[DEC]])</f>
        <v>0</v>
      </c>
      <c r="P13" s="49"/>
      <c r="Q13" s="3"/>
    </row>
    <row r="14" spans="1:17" s="5" customFormat="1" ht="22.15" customHeight="1" x14ac:dyDescent="0.2">
      <c r="A14" s="13"/>
      <c r="C14" s="41"/>
      <c r="D14" s="48"/>
      <c r="E14" s="41"/>
      <c r="F14" s="48"/>
      <c r="G14" s="41"/>
      <c r="H14" s="48"/>
      <c r="I14" s="41"/>
      <c r="J14" s="48"/>
      <c r="K14" s="41"/>
      <c r="L14" s="48"/>
      <c r="M14" s="41"/>
      <c r="N14" s="48"/>
      <c r="O14" s="15">
        <f>SUM(tblIncome[[#This Row],[JAN]:[DEC]])</f>
        <v>0</v>
      </c>
      <c r="P14" s="49"/>
      <c r="Q14" s="3"/>
    </row>
    <row r="15" spans="1:17" s="5" customFormat="1" ht="22.15" customHeight="1" x14ac:dyDescent="0.2">
      <c r="A15" s="13"/>
      <c r="B15" s="5" t="s">
        <v>159</v>
      </c>
      <c r="C15" s="41"/>
      <c r="D15" s="48"/>
      <c r="E15" s="41"/>
      <c r="F15" s="48"/>
      <c r="G15" s="41"/>
      <c r="H15" s="48"/>
      <c r="I15" s="41"/>
      <c r="J15" s="48"/>
      <c r="K15" s="41"/>
      <c r="L15" s="48"/>
      <c r="M15" s="41"/>
      <c r="N15" s="48"/>
      <c r="O15" s="15">
        <f>SUM(tblIncome[[#This Row],[JAN]:[DEC]])</f>
        <v>0</v>
      </c>
      <c r="P15" s="49"/>
      <c r="Q15" s="3"/>
    </row>
    <row r="16" spans="1:17" s="5" customFormat="1" ht="22.15" customHeight="1" x14ac:dyDescent="0.2">
      <c r="A16" s="13"/>
      <c r="B16" s="40" t="s">
        <v>160</v>
      </c>
      <c r="C16" s="41"/>
      <c r="D16" s="48"/>
      <c r="E16" s="41"/>
      <c r="F16" s="48"/>
      <c r="G16" s="41"/>
      <c r="H16" s="48"/>
      <c r="I16" s="41"/>
      <c r="J16" s="48"/>
      <c r="K16" s="41"/>
      <c r="L16" s="48"/>
      <c r="M16" s="41"/>
      <c r="N16" s="48"/>
      <c r="O16" s="15">
        <f>SUM(tblIncome[[#This Row],[JAN]:[DEC]])</f>
        <v>0</v>
      </c>
      <c r="P16" s="49"/>
      <c r="Q16" s="3"/>
    </row>
    <row r="17" spans="1:17" s="5" customFormat="1" ht="22.15" customHeight="1" x14ac:dyDescent="0.2">
      <c r="A17" s="13"/>
      <c r="C17" s="41"/>
      <c r="D17" s="48"/>
      <c r="E17" s="41"/>
      <c r="F17" s="48"/>
      <c r="G17" s="41"/>
      <c r="H17" s="48"/>
      <c r="I17" s="41"/>
      <c r="J17" s="48"/>
      <c r="K17" s="41"/>
      <c r="L17" s="48"/>
      <c r="M17" s="41"/>
      <c r="N17" s="48"/>
      <c r="O17" s="15">
        <f>SUM(tblIncome[[#This Row],[JAN]:[DEC]])</f>
        <v>0</v>
      </c>
      <c r="P17" s="49"/>
      <c r="Q17" s="3"/>
    </row>
    <row r="18" spans="1:17" s="5" customFormat="1" ht="22.15" customHeight="1" x14ac:dyDescent="0.2">
      <c r="A18" s="13"/>
      <c r="C18" s="41"/>
      <c r="D18" s="48"/>
      <c r="E18" s="41"/>
      <c r="F18" s="48"/>
      <c r="G18" s="41"/>
      <c r="H18" s="48"/>
      <c r="I18" s="41"/>
      <c r="J18" s="48"/>
      <c r="K18" s="41"/>
      <c r="L18" s="48"/>
      <c r="M18" s="41"/>
      <c r="N18" s="48"/>
      <c r="O18" s="15">
        <f>SUM(tblIncome[[#This Row],[JAN]:[DEC]])</f>
        <v>0</v>
      </c>
      <c r="P18" s="49"/>
      <c r="Q18" s="3"/>
    </row>
    <row r="19" spans="1:17" s="5" customFormat="1" ht="22.15" customHeight="1" x14ac:dyDescent="0.2">
      <c r="A19" s="13"/>
      <c r="B19" s="39"/>
      <c r="C19" s="52"/>
      <c r="D19" s="50"/>
      <c r="E19" s="52"/>
      <c r="F19" s="50"/>
      <c r="G19" s="52"/>
      <c r="H19" s="50"/>
      <c r="I19" s="52"/>
      <c r="J19" s="50"/>
      <c r="K19" s="52"/>
      <c r="L19" s="50"/>
      <c r="M19" s="52"/>
      <c r="N19" s="50"/>
      <c r="O19" s="15">
        <f>SUM(tblIncome[[#This Row],[JAN]:[DEC]])</f>
        <v>0</v>
      </c>
      <c r="P19" s="49"/>
      <c r="Q19" s="3"/>
    </row>
    <row r="20" spans="1:17" s="5" customFormat="1" ht="22.15" customHeight="1" x14ac:dyDescent="0.2">
      <c r="A20" s="13"/>
      <c r="B20" s="39"/>
      <c r="C20" s="52"/>
      <c r="D20" s="50"/>
      <c r="E20" s="52"/>
      <c r="F20" s="50"/>
      <c r="G20" s="52"/>
      <c r="H20" s="50"/>
      <c r="I20" s="52"/>
      <c r="J20" s="50"/>
      <c r="K20" s="52"/>
      <c r="L20" s="50"/>
      <c r="M20" s="52"/>
      <c r="N20" s="50"/>
      <c r="O20" s="15">
        <f>SUM(tblIncome[[#This Row],[JAN]:[DEC]])</f>
        <v>0</v>
      </c>
      <c r="P20" s="49"/>
      <c r="Q20" s="3"/>
    </row>
    <row r="21" spans="1:17" s="5" customFormat="1" ht="22.15" customHeight="1" x14ac:dyDescent="0.2">
      <c r="A21" s="13"/>
      <c r="B21" s="39"/>
      <c r="C21" s="52"/>
      <c r="D21" s="50"/>
      <c r="E21" s="52"/>
      <c r="F21" s="50"/>
      <c r="G21" s="52"/>
      <c r="H21" s="50"/>
      <c r="I21" s="52"/>
      <c r="J21" s="50"/>
      <c r="K21" s="52"/>
      <c r="L21" s="50"/>
      <c r="M21" s="52"/>
      <c r="N21" s="50"/>
      <c r="O21" s="15">
        <f>SUM(tblIncome[[#This Row],[JAN]:[DEC]])</f>
        <v>0</v>
      </c>
      <c r="P21" s="49"/>
      <c r="Q21" s="3"/>
    </row>
    <row r="22" spans="1:17" s="5" customFormat="1" ht="22.15" customHeight="1" x14ac:dyDescent="0.2">
      <c r="A22" s="13"/>
      <c r="B22" s="39"/>
      <c r="C22" s="52"/>
      <c r="D22" s="50"/>
      <c r="E22" s="52"/>
      <c r="F22" s="50"/>
      <c r="G22" s="52"/>
      <c r="H22" s="50"/>
      <c r="I22" s="52"/>
      <c r="J22" s="50"/>
      <c r="K22" s="52"/>
      <c r="L22" s="50"/>
      <c r="M22" s="52"/>
      <c r="N22" s="50"/>
      <c r="O22" s="15">
        <f>SUM(tblIncome[[#This Row],[JAN]:[DEC]])</f>
        <v>0</v>
      </c>
      <c r="P22" s="49"/>
      <c r="Q22" s="3"/>
    </row>
    <row r="23" spans="1:17" s="5" customFormat="1" ht="22.15" customHeight="1" x14ac:dyDescent="0.2">
      <c r="A23" s="13"/>
      <c r="B23" s="40" t="s">
        <v>161</v>
      </c>
      <c r="C23" s="15"/>
      <c r="D23" s="50"/>
      <c r="E23" s="15"/>
      <c r="F23" s="50"/>
      <c r="G23" s="15"/>
      <c r="H23" s="50"/>
      <c r="I23" s="15"/>
      <c r="J23" s="50"/>
      <c r="K23" s="15"/>
      <c r="L23" s="50"/>
      <c r="M23" s="15"/>
      <c r="N23" s="50"/>
      <c r="O23" s="15">
        <f>SUM(tblIncome[[#This Row],[JAN]:[DEC]])</f>
        <v>0</v>
      </c>
      <c r="P23" s="49"/>
      <c r="Q23" s="3"/>
    </row>
    <row r="24" spans="1:17" s="5" customFormat="1" ht="22.15" customHeight="1" x14ac:dyDescent="0.2">
      <c r="A24" s="13"/>
      <c r="B24" s="40"/>
      <c r="C24" s="15"/>
      <c r="D24" s="50"/>
      <c r="E24" s="15"/>
      <c r="F24" s="50"/>
      <c r="G24" s="15"/>
      <c r="H24" s="50"/>
      <c r="I24" s="15"/>
      <c r="J24" s="50"/>
      <c r="K24" s="15"/>
      <c r="L24" s="50"/>
      <c r="M24" s="15"/>
      <c r="N24" s="50"/>
      <c r="O24" s="15">
        <f>SUM(tblIncome[[#This Row],[JAN]:[DEC]])</f>
        <v>0</v>
      </c>
      <c r="P24" s="49"/>
      <c r="Q24" s="3"/>
    </row>
    <row r="25" spans="1:17" s="5" customFormat="1" ht="22.15" customHeight="1" x14ac:dyDescent="0.2">
      <c r="A25" s="13"/>
      <c r="B25" s="40"/>
      <c r="C25" s="15"/>
      <c r="D25" s="50"/>
      <c r="E25" s="15"/>
      <c r="F25" s="50"/>
      <c r="G25" s="15"/>
      <c r="H25" s="50"/>
      <c r="I25" s="15"/>
      <c r="J25" s="50"/>
      <c r="K25" s="15"/>
      <c r="L25" s="50"/>
      <c r="M25" s="15"/>
      <c r="N25" s="50"/>
      <c r="O25" s="15">
        <f>SUM(tblIncome[[#This Row],[JAN]:[DEC]])</f>
        <v>0</v>
      </c>
      <c r="P25" s="49"/>
      <c r="Q25" s="3"/>
    </row>
    <row r="26" spans="1:17" s="5" customFormat="1" ht="22.15" customHeight="1" x14ac:dyDescent="0.2">
      <c r="A26" s="13"/>
      <c r="B26" s="46" t="s">
        <v>18</v>
      </c>
      <c r="C26" s="47"/>
      <c r="D26" s="47"/>
      <c r="E26" s="47"/>
      <c r="F26" s="47"/>
      <c r="G26" s="47"/>
      <c r="H26" s="47"/>
      <c r="I26" s="47"/>
      <c r="J26" s="47"/>
      <c r="K26" s="47"/>
      <c r="L26" s="47"/>
      <c r="M26" s="47"/>
      <c r="N26" s="47"/>
      <c r="O26" s="45">
        <f>SUM(tblIncome[[#This Row],[JAN]:[DEC]])</f>
        <v>0</v>
      </c>
      <c r="P26" s="16"/>
      <c r="Q26" s="3"/>
    </row>
    <row r="27" spans="1:17" s="5" customFormat="1" ht="22.15" customHeight="1" x14ac:dyDescent="0.2">
      <c r="A27" s="13"/>
      <c r="B27" s="40" t="s">
        <v>156</v>
      </c>
      <c r="C27" s="41"/>
      <c r="D27" s="48"/>
      <c r="E27" s="41"/>
      <c r="F27" s="48"/>
      <c r="G27" s="41"/>
      <c r="H27" s="48"/>
      <c r="I27" s="41"/>
      <c r="J27" s="48"/>
      <c r="K27" s="41"/>
      <c r="L27" s="48"/>
      <c r="M27" s="41"/>
      <c r="N27" s="48"/>
      <c r="O27" s="15">
        <f>SUM(tblIncome[[#This Row],[JAN]:[DEC]])</f>
        <v>0</v>
      </c>
      <c r="P27" s="49"/>
      <c r="Q27" s="3"/>
    </row>
    <row r="28" spans="1:17" s="5" customFormat="1" ht="22.15" customHeight="1" x14ac:dyDescent="0.2">
      <c r="A28" s="13"/>
      <c r="B28" s="40"/>
      <c r="C28" s="41"/>
      <c r="D28" s="48"/>
      <c r="E28" s="41"/>
      <c r="F28" s="48"/>
      <c r="G28" s="41"/>
      <c r="H28" s="48"/>
      <c r="I28" s="41"/>
      <c r="J28" s="48"/>
      <c r="K28" s="41"/>
      <c r="L28" s="48"/>
      <c r="M28" s="41"/>
      <c r="N28" s="48"/>
      <c r="O28" s="15">
        <f>SUM(tblIncome[[#This Row],[JAN]:[DEC]])</f>
        <v>0</v>
      </c>
      <c r="P28" s="49"/>
      <c r="Q28" s="3"/>
    </row>
    <row r="29" spans="1:17" s="5" customFormat="1" ht="22.15" customHeight="1" x14ac:dyDescent="0.2">
      <c r="A29" s="13"/>
      <c r="B29" s="40" t="s">
        <v>158</v>
      </c>
      <c r="C29" s="41"/>
      <c r="D29" s="48"/>
      <c r="E29" s="41"/>
      <c r="F29" s="48"/>
      <c r="G29" s="41"/>
      <c r="H29" s="48"/>
      <c r="I29" s="41"/>
      <c r="J29" s="48"/>
      <c r="K29" s="41"/>
      <c r="L29" s="48"/>
      <c r="M29" s="41"/>
      <c r="N29" s="48"/>
      <c r="O29" s="15">
        <f>SUM(tblIncome[[#This Row],[JAN]:[DEC]])</f>
        <v>0</v>
      </c>
      <c r="P29" s="49"/>
      <c r="Q29" s="3"/>
    </row>
    <row r="30" spans="1:17" s="5" customFormat="1" ht="22.15" customHeight="1" x14ac:dyDescent="0.2">
      <c r="A30" s="13"/>
      <c r="B30" s="40" t="s">
        <v>162</v>
      </c>
      <c r="C30" s="41"/>
      <c r="D30" s="48"/>
      <c r="E30" s="41"/>
      <c r="F30" s="48"/>
      <c r="G30" s="41"/>
      <c r="H30" s="48"/>
      <c r="I30" s="41"/>
      <c r="J30" s="48"/>
      <c r="K30" s="41"/>
      <c r="L30" s="48"/>
      <c r="M30" s="41"/>
      <c r="N30" s="48"/>
      <c r="O30" s="15">
        <f>SUM(tblIncome[[#This Row],[JAN]:[DEC]])</f>
        <v>0</v>
      </c>
      <c r="P30" s="49"/>
      <c r="Q30" s="3"/>
    </row>
    <row r="31" spans="1:17" s="5" customFormat="1" ht="22.15" customHeight="1" x14ac:dyDescent="0.2">
      <c r="A31" s="13"/>
      <c r="B31" s="40" t="s">
        <v>19</v>
      </c>
      <c r="C31" s="41"/>
      <c r="D31" s="48"/>
      <c r="E31" s="41"/>
      <c r="F31" s="48"/>
      <c r="G31" s="41"/>
      <c r="H31" s="48"/>
      <c r="I31" s="41"/>
      <c r="J31" s="48"/>
      <c r="K31" s="41"/>
      <c r="L31" s="48"/>
      <c r="M31" s="41"/>
      <c r="N31" s="48"/>
      <c r="O31" s="15">
        <f>SUM(tblIncome[[#This Row],[JAN]:[DEC]])</f>
        <v>0</v>
      </c>
      <c r="P31" s="49"/>
      <c r="Q31" s="3"/>
    </row>
    <row r="32" spans="1:17" s="5" customFormat="1" ht="22.15" customHeight="1" x14ac:dyDescent="0.2">
      <c r="A32" s="13"/>
      <c r="B32" s="40" t="s">
        <v>20</v>
      </c>
      <c r="C32" s="41"/>
      <c r="D32" s="48"/>
      <c r="E32" s="41"/>
      <c r="F32" s="48"/>
      <c r="G32" s="41"/>
      <c r="H32" s="48"/>
      <c r="I32" s="41"/>
      <c r="J32" s="48"/>
      <c r="K32" s="41"/>
      <c r="L32" s="48"/>
      <c r="M32" s="41"/>
      <c r="N32" s="48"/>
      <c r="O32" s="15">
        <f>SUM(tblIncome[[#This Row],[JAN]:[DEC]])</f>
        <v>0</v>
      </c>
      <c r="P32" s="49"/>
      <c r="Q32" s="3"/>
    </row>
    <row r="33" spans="1:17" s="5" customFormat="1" ht="22.15" customHeight="1" x14ac:dyDescent="0.2">
      <c r="A33" s="13"/>
      <c r="B33" s="40" t="s">
        <v>21</v>
      </c>
      <c r="C33" s="41"/>
      <c r="D33" s="48"/>
      <c r="E33" s="41"/>
      <c r="F33" s="48"/>
      <c r="G33" s="41"/>
      <c r="H33" s="48"/>
      <c r="I33" s="41"/>
      <c r="J33" s="48"/>
      <c r="K33" s="41"/>
      <c r="L33" s="48"/>
      <c r="M33" s="41"/>
      <c r="N33" s="48"/>
      <c r="O33" s="15">
        <f>SUM(tblIncome[[#This Row],[JAN]:[DEC]])</f>
        <v>0</v>
      </c>
      <c r="P33" s="49"/>
      <c r="Q33" s="3"/>
    </row>
    <row r="34" spans="1:17" s="5" customFormat="1" ht="22.15" customHeight="1" x14ac:dyDescent="0.2">
      <c r="A34" s="13"/>
      <c r="B34" s="40" t="s">
        <v>21</v>
      </c>
      <c r="C34" s="41"/>
      <c r="D34" s="48"/>
      <c r="E34" s="41"/>
      <c r="F34" s="48"/>
      <c r="G34" s="41"/>
      <c r="H34" s="48"/>
      <c r="I34" s="41"/>
      <c r="J34" s="48"/>
      <c r="K34" s="41"/>
      <c r="L34" s="48"/>
      <c r="M34" s="41"/>
      <c r="N34" s="48"/>
      <c r="O34" s="15">
        <f>SUM(tblIncome[[#This Row],[JAN]:[DEC]])</f>
        <v>0</v>
      </c>
      <c r="P34" s="49"/>
      <c r="Q34" s="3"/>
    </row>
    <row r="35" spans="1:17" s="5" customFormat="1" ht="22.15" customHeight="1" x14ac:dyDescent="0.2">
      <c r="A35" s="13"/>
      <c r="B35" s="40" t="s">
        <v>21</v>
      </c>
      <c r="C35" s="41"/>
      <c r="D35" s="48"/>
      <c r="E35" s="41"/>
      <c r="F35" s="48"/>
      <c r="G35" s="41"/>
      <c r="H35" s="48"/>
      <c r="I35" s="41"/>
      <c r="J35" s="48"/>
      <c r="K35" s="41"/>
      <c r="L35" s="48"/>
      <c r="M35" s="41"/>
      <c r="N35" s="48"/>
      <c r="O35" s="15">
        <f>SUM(tblIncome[[#This Row],[JAN]:[DEC]])</f>
        <v>0</v>
      </c>
      <c r="P35" s="49"/>
      <c r="Q35" s="3"/>
    </row>
    <row r="36" spans="1:17" s="5" customFormat="1" ht="22.15" customHeight="1" x14ac:dyDescent="0.2">
      <c r="A36" s="13"/>
      <c r="B36" s="40" t="s">
        <v>21</v>
      </c>
      <c r="C36" s="41"/>
      <c r="D36" s="48"/>
      <c r="E36" s="41"/>
      <c r="F36" s="48"/>
      <c r="G36" s="41"/>
      <c r="H36" s="48"/>
      <c r="I36" s="41"/>
      <c r="J36" s="48"/>
      <c r="K36" s="41"/>
      <c r="L36" s="48"/>
      <c r="M36" s="41"/>
      <c r="N36" s="48"/>
      <c r="O36" s="15">
        <f>SUM(tblIncome[[#This Row],[JAN]:[DEC]])</f>
        <v>0</v>
      </c>
      <c r="P36" s="49"/>
      <c r="Q36" s="3"/>
    </row>
    <row r="37" spans="1:17" s="5" customFormat="1" ht="22.15" customHeight="1" x14ac:dyDescent="0.2">
      <c r="A37" s="13"/>
      <c r="B37" s="40" t="s">
        <v>21</v>
      </c>
      <c r="C37" s="41"/>
      <c r="D37" s="48"/>
      <c r="E37" s="41"/>
      <c r="F37" s="48"/>
      <c r="G37" s="41"/>
      <c r="H37" s="48"/>
      <c r="I37" s="41"/>
      <c r="J37" s="48"/>
      <c r="K37" s="41"/>
      <c r="L37" s="48"/>
      <c r="M37" s="41"/>
      <c r="N37" s="48"/>
      <c r="O37" s="15">
        <f>SUM(tblIncome[[#This Row],[JAN]:[DEC]])</f>
        <v>0</v>
      </c>
      <c r="P37" s="49"/>
      <c r="Q37" s="3"/>
    </row>
    <row r="38" spans="1:17" s="5" customFormat="1" ht="22.15" customHeight="1" x14ac:dyDescent="0.2">
      <c r="A38" s="13"/>
      <c r="B38" s="40" t="s">
        <v>21</v>
      </c>
      <c r="C38" s="41"/>
      <c r="D38" s="48"/>
      <c r="E38" s="41"/>
      <c r="F38" s="48"/>
      <c r="G38" s="41"/>
      <c r="H38" s="48"/>
      <c r="I38" s="41"/>
      <c r="J38" s="48"/>
      <c r="K38" s="41"/>
      <c r="L38" s="48"/>
      <c r="M38" s="41"/>
      <c r="N38" s="48"/>
      <c r="O38" s="15">
        <f>SUM(tblIncome[[#This Row],[JAN]:[DEC]])</f>
        <v>0</v>
      </c>
      <c r="P38" s="49"/>
      <c r="Q38" s="3"/>
    </row>
    <row r="39" spans="1:17" s="5" customFormat="1" ht="22.15" customHeight="1" x14ac:dyDescent="0.2">
      <c r="A39" s="13"/>
      <c r="B39" s="40" t="s">
        <v>21</v>
      </c>
      <c r="C39" s="41"/>
      <c r="D39" s="48"/>
      <c r="E39" s="41"/>
      <c r="F39" s="48"/>
      <c r="G39" s="41"/>
      <c r="H39" s="48"/>
      <c r="I39" s="41"/>
      <c r="J39" s="48"/>
      <c r="K39" s="41"/>
      <c r="L39" s="48"/>
      <c r="M39" s="41"/>
      <c r="N39" s="48"/>
      <c r="O39" s="15">
        <f>SUM(tblIncome[[#This Row],[JAN]:[DEC]])</f>
        <v>0</v>
      </c>
      <c r="P39" s="49"/>
      <c r="Q39" s="3"/>
    </row>
    <row r="40" spans="1:17" s="5" customFormat="1" ht="22.15" customHeight="1" x14ac:dyDescent="0.2">
      <c r="A40" s="13"/>
      <c r="B40" s="40" t="s">
        <v>21</v>
      </c>
      <c r="C40" s="41"/>
      <c r="D40" s="48"/>
      <c r="E40" s="41"/>
      <c r="F40" s="48"/>
      <c r="G40" s="41"/>
      <c r="H40" s="48"/>
      <c r="I40" s="41"/>
      <c r="J40" s="48"/>
      <c r="K40" s="41"/>
      <c r="L40" s="48"/>
      <c r="M40" s="41"/>
      <c r="N40" s="48"/>
      <c r="O40" s="15">
        <f>SUM(tblIncome[[#This Row],[JAN]:[DEC]])</f>
        <v>0</v>
      </c>
      <c r="P40" s="49"/>
      <c r="Q40" s="3"/>
    </row>
    <row r="41" spans="1:17" s="5" customFormat="1" ht="22.15" customHeight="1" x14ac:dyDescent="0.2">
      <c r="A41" s="13"/>
      <c r="B41" s="38" t="s">
        <v>21</v>
      </c>
      <c r="C41" s="41"/>
      <c r="D41" s="42"/>
      <c r="E41" s="41"/>
      <c r="F41" s="42"/>
      <c r="G41" s="41"/>
      <c r="H41" s="42"/>
      <c r="I41" s="41"/>
      <c r="J41" s="42"/>
      <c r="K41" s="41"/>
      <c r="L41" s="42"/>
      <c r="M41" s="41"/>
      <c r="N41" s="42"/>
      <c r="O41" s="15">
        <f>SUM(tblIncome[[#This Row],[JAN]:[DEC]])</f>
        <v>0</v>
      </c>
      <c r="P41" s="16"/>
      <c r="Q41" s="3"/>
    </row>
    <row r="42" spans="1:17" s="5" customFormat="1" ht="22.15" customHeight="1" x14ac:dyDescent="0.2">
      <c r="A42" s="13"/>
      <c r="B42" s="43"/>
      <c r="C42" s="41"/>
      <c r="D42" s="42"/>
      <c r="E42" s="41"/>
      <c r="F42" s="42"/>
      <c r="G42" s="41"/>
      <c r="H42" s="42"/>
      <c r="I42" s="41"/>
      <c r="J42" s="42"/>
      <c r="K42" s="41"/>
      <c r="L42" s="42"/>
      <c r="M42" s="41"/>
      <c r="N42" s="42"/>
      <c r="O42" s="15">
        <f>SUM(tblIncome[[#This Row],[JAN]:[DEC]])</f>
        <v>0</v>
      </c>
      <c r="P42" s="16"/>
      <c r="Q42" s="3"/>
    </row>
    <row r="43" spans="1:17" s="5" customFormat="1" ht="22.35" customHeight="1" x14ac:dyDescent="0.2">
      <c r="A43" s="13"/>
      <c r="B43" s="43" t="s">
        <v>22</v>
      </c>
      <c r="C43" s="41"/>
      <c r="D43" s="42"/>
      <c r="E43" s="41"/>
      <c r="F43" s="42"/>
      <c r="G43" s="41"/>
      <c r="H43" s="42"/>
      <c r="I43" s="41"/>
      <c r="J43" s="42"/>
      <c r="K43" s="41"/>
      <c r="L43" s="42"/>
      <c r="M43" s="41"/>
      <c r="N43" s="42"/>
      <c r="O43" s="15">
        <f>SUM(tblIncome[[#This Row],[JAN]:[DEC]])</f>
        <v>0</v>
      </c>
      <c r="P43" s="16"/>
      <c r="Q43" s="3"/>
    </row>
    <row r="44" spans="1:17" s="5" customFormat="1" ht="22.15" customHeight="1" x14ac:dyDescent="0.2">
      <c r="A44" s="13"/>
      <c r="B44" s="43" t="s">
        <v>23</v>
      </c>
      <c r="C44" s="41"/>
      <c r="D44" s="42"/>
      <c r="E44" s="41"/>
      <c r="F44" s="42"/>
      <c r="G44" s="41"/>
      <c r="H44" s="42"/>
      <c r="I44" s="41"/>
      <c r="J44" s="42"/>
      <c r="K44" s="41"/>
      <c r="L44" s="42"/>
      <c r="M44" s="41"/>
      <c r="N44" s="42"/>
      <c r="O44" s="15">
        <f>SUM(tblIncome[[#This Row],[JAN]:[DEC]])</f>
        <v>0</v>
      </c>
      <c r="P44" s="16"/>
      <c r="Q44" s="3"/>
    </row>
    <row r="45" spans="1:17" s="5" customFormat="1" ht="22.15" customHeight="1" x14ac:dyDescent="0.2">
      <c r="A45" s="13"/>
      <c r="B45" s="38"/>
      <c r="C45" s="41"/>
      <c r="D45" s="42"/>
      <c r="E45" s="41"/>
      <c r="F45" s="42"/>
      <c r="G45" s="41"/>
      <c r="H45" s="42"/>
      <c r="I45" s="41"/>
      <c r="J45" s="42"/>
      <c r="K45" s="41"/>
      <c r="L45" s="42"/>
      <c r="M45" s="41"/>
      <c r="N45" s="42"/>
      <c r="O45" s="15">
        <f>SUM(tblIncome[[#This Row],[JAN]:[DEC]])</f>
        <v>0</v>
      </c>
      <c r="P45" s="16"/>
      <c r="Q45" s="3"/>
    </row>
    <row r="46" spans="1:17" s="5" customFormat="1" ht="22.15" customHeight="1" x14ac:dyDescent="0.2">
      <c r="A46" s="13"/>
      <c r="B46" s="14" t="s">
        <v>24</v>
      </c>
      <c r="C46" s="15"/>
      <c r="D46" s="15"/>
      <c r="E46" s="15"/>
      <c r="F46" s="15"/>
      <c r="G46" s="15"/>
      <c r="H46" s="15"/>
      <c r="I46" s="15"/>
      <c r="J46" s="15"/>
      <c r="K46" s="15"/>
      <c r="L46" s="15"/>
      <c r="M46" s="15"/>
      <c r="N46" s="15"/>
      <c r="O46" s="15">
        <f>SUM(tblIncome[[#This Row],[JAN]:[DEC]])</f>
        <v>0</v>
      </c>
      <c r="P46" s="16"/>
      <c r="Q46" s="3"/>
    </row>
    <row r="47" spans="1:17" s="5" customFormat="1" ht="22.15" customHeight="1" x14ac:dyDescent="0.2">
      <c r="A47" s="13"/>
      <c r="B47" s="14" t="s">
        <v>25</v>
      </c>
      <c r="C47" s="15">
        <f>SUBTOTAL(109,tblIncome[JAN])</f>
        <v>0</v>
      </c>
      <c r="D47" s="15">
        <f>SUBTOTAL(109,tblIncome[FEB])</f>
        <v>0</v>
      </c>
      <c r="E47" s="15">
        <f>SUBTOTAL(109,tblIncome[MAR])</f>
        <v>0</v>
      </c>
      <c r="F47" s="15">
        <f>SUBTOTAL(109,tblIncome[APR])</f>
        <v>0</v>
      </c>
      <c r="G47" s="15">
        <f>SUBTOTAL(109,tblIncome[MAY])</f>
        <v>0</v>
      </c>
      <c r="H47" s="15">
        <f>SUBTOTAL(109,tblIncome[JUN])</f>
        <v>0</v>
      </c>
      <c r="I47" s="15">
        <f>SUBTOTAL(109,tblIncome[JUL])</f>
        <v>0</v>
      </c>
      <c r="J47" s="15">
        <f>SUBTOTAL(109,tblIncome[AUG])</f>
        <v>0</v>
      </c>
      <c r="K47" s="15">
        <f>SUBTOTAL(109,tblIncome[SEP])</f>
        <v>0</v>
      </c>
      <c r="L47" s="15">
        <f>SUBTOTAL(109,tblIncome[OCT])</f>
        <v>0</v>
      </c>
      <c r="M47" s="15">
        <f>SUBTOTAL(109,tblIncome[NOV])</f>
        <v>0</v>
      </c>
      <c r="N47" s="15">
        <f>SUBTOTAL(109,tblIncome[DEC])</f>
        <v>0</v>
      </c>
      <c r="O47" s="15">
        <f>SUBTOTAL(109,tblIncome[YEAR])</f>
        <v>0</v>
      </c>
      <c r="P47" s="17"/>
      <c r="Q47" s="3"/>
    </row>
    <row r="48" spans="1:17" ht="22.35" customHeight="1" x14ac:dyDescent="0.2">
      <c r="B48" s="1"/>
      <c r="C48" s="2"/>
      <c r="D48" s="2"/>
      <c r="E48" s="2"/>
      <c r="F48" s="2"/>
      <c r="G48" s="2"/>
      <c r="H48" s="2"/>
      <c r="I48" s="2"/>
      <c r="J48" s="2"/>
      <c r="K48" s="2"/>
      <c r="L48" s="2"/>
      <c r="M48" s="2"/>
      <c r="N48" s="2"/>
      <c r="O48" s="2"/>
    </row>
    <row r="49" spans="1:17" s="35" customFormat="1" ht="22.35" customHeight="1" x14ac:dyDescent="0.55000000000000004">
      <c r="A49" s="30"/>
      <c r="B49" s="31" t="s">
        <v>26</v>
      </c>
      <c r="C49" s="32"/>
      <c r="D49" s="32"/>
      <c r="E49" s="32"/>
      <c r="F49" s="32"/>
      <c r="G49" s="32"/>
      <c r="H49" s="32"/>
      <c r="I49" s="32"/>
      <c r="J49" s="32"/>
      <c r="K49" s="32"/>
      <c r="L49" s="32"/>
      <c r="M49" s="32"/>
      <c r="N49" s="32"/>
      <c r="O49" s="32"/>
      <c r="P49" s="33"/>
      <c r="Q49" s="34"/>
    </row>
    <row r="50" spans="1:17" s="5" customFormat="1" ht="22.35" customHeight="1" x14ac:dyDescent="0.2">
      <c r="A50" s="13"/>
      <c r="B50" s="22" t="s">
        <v>27</v>
      </c>
      <c r="C50" s="36" t="s">
        <v>3</v>
      </c>
      <c r="D50" s="36" t="s">
        <v>4</v>
      </c>
      <c r="E50" s="36" t="s">
        <v>5</v>
      </c>
      <c r="F50" s="36" t="s">
        <v>6</v>
      </c>
      <c r="G50" s="36" t="s">
        <v>7</v>
      </c>
      <c r="H50" s="36" t="s">
        <v>8</v>
      </c>
      <c r="I50" s="36" t="s">
        <v>9</v>
      </c>
      <c r="J50" s="36" t="s">
        <v>10</v>
      </c>
      <c r="K50" s="36" t="s">
        <v>11</v>
      </c>
      <c r="L50" s="36" t="s">
        <v>12</v>
      </c>
      <c r="M50" s="36" t="s">
        <v>13</v>
      </c>
      <c r="N50" s="36" t="s">
        <v>14</v>
      </c>
      <c r="O50" s="36" t="s">
        <v>15</v>
      </c>
      <c r="P50" s="37" t="s">
        <v>0</v>
      </c>
      <c r="Q50" s="3"/>
    </row>
    <row r="51" spans="1:17" s="5" customFormat="1" ht="22.15" customHeight="1" x14ac:dyDescent="0.2">
      <c r="A51" s="13"/>
      <c r="B51" s="40" t="s">
        <v>163</v>
      </c>
      <c r="C51" s="15"/>
      <c r="D51" s="50"/>
      <c r="E51" s="15"/>
      <c r="F51" s="50"/>
      <c r="G51" s="15"/>
      <c r="H51" s="50"/>
      <c r="I51" s="15"/>
      <c r="J51" s="50"/>
      <c r="K51" s="41"/>
      <c r="L51" s="48"/>
      <c r="M51" s="41"/>
      <c r="N51" s="50"/>
      <c r="O51" s="15">
        <f>SUM(tblHome[[#This Row],[JAN]:[DEC]])</f>
        <v>0</v>
      </c>
      <c r="P51" s="16"/>
      <c r="Q51" s="3"/>
    </row>
    <row r="52" spans="1:17" s="5" customFormat="1" ht="22.15" customHeight="1" x14ac:dyDescent="0.2">
      <c r="A52" s="13"/>
      <c r="B52" s="40" t="s">
        <v>164</v>
      </c>
      <c r="C52" s="15"/>
      <c r="D52" s="50"/>
      <c r="E52" s="15"/>
      <c r="F52" s="50"/>
      <c r="G52" s="15"/>
      <c r="H52" s="50"/>
      <c r="I52" s="15"/>
      <c r="J52" s="50"/>
      <c r="K52" s="41"/>
      <c r="L52" s="48"/>
      <c r="M52" s="41"/>
      <c r="N52" s="50"/>
      <c r="O52" s="15">
        <f>SUM(tblHome[[#This Row],[JAN]:[DEC]])</f>
        <v>0</v>
      </c>
      <c r="P52" s="16"/>
      <c r="Q52" s="3"/>
    </row>
    <row r="53" spans="1:17" s="5" customFormat="1" ht="22.15" customHeight="1" x14ac:dyDescent="0.2">
      <c r="A53" s="13"/>
      <c r="B53" s="40" t="s">
        <v>165</v>
      </c>
      <c r="C53" s="15"/>
      <c r="D53" s="50"/>
      <c r="E53" s="15"/>
      <c r="F53" s="50"/>
      <c r="G53" s="15"/>
      <c r="H53" s="50"/>
      <c r="I53" s="15"/>
      <c r="J53" s="50"/>
      <c r="K53" s="41"/>
      <c r="L53" s="48"/>
      <c r="M53" s="41"/>
      <c r="N53" s="50"/>
      <c r="O53" s="15">
        <f>SUM(tblHome[[#This Row],[JAN]:[DEC]])</f>
        <v>0</v>
      </c>
      <c r="P53" s="16"/>
      <c r="Q53" s="3"/>
    </row>
    <row r="54" spans="1:17" s="5" customFormat="1" ht="22.15" customHeight="1" x14ac:dyDescent="0.2">
      <c r="A54" s="13"/>
      <c r="B54" s="40" t="s">
        <v>28</v>
      </c>
      <c r="C54" s="15"/>
      <c r="D54" s="50"/>
      <c r="E54" s="15"/>
      <c r="F54" s="50"/>
      <c r="G54" s="15"/>
      <c r="H54" s="50"/>
      <c r="I54" s="15"/>
      <c r="J54" s="50"/>
      <c r="K54" s="41"/>
      <c r="L54" s="48"/>
      <c r="M54" s="41"/>
      <c r="N54" s="50"/>
      <c r="O54" s="15">
        <f>SUM(tblHome[[#This Row],[JAN]:[DEC]])</f>
        <v>0</v>
      </c>
      <c r="P54" s="16"/>
      <c r="Q54" s="3"/>
    </row>
    <row r="55" spans="1:17" s="5" customFormat="1" ht="22.35" customHeight="1" x14ac:dyDescent="0.2">
      <c r="A55" s="3"/>
      <c r="B55" s="40" t="s">
        <v>29</v>
      </c>
      <c r="C55" s="15"/>
      <c r="D55" s="50"/>
      <c r="E55" s="15"/>
      <c r="F55" s="50"/>
      <c r="G55" s="15"/>
      <c r="H55" s="50"/>
      <c r="I55" s="15"/>
      <c r="J55" s="50"/>
      <c r="K55" s="15"/>
      <c r="L55" s="50"/>
      <c r="M55" s="15"/>
      <c r="N55" s="50"/>
      <c r="O55" s="15">
        <f>SUM(tblHome[[#This Row],[JAN]:[DEC]])</f>
        <v>0</v>
      </c>
      <c r="P55" s="16"/>
      <c r="Q55" s="3"/>
    </row>
    <row r="56" spans="1:17" ht="22.35" customHeight="1" x14ac:dyDescent="0.2">
      <c r="B56" s="14" t="s">
        <v>25</v>
      </c>
      <c r="C56" s="15">
        <f>SUBTOTAL(109,tblHome[JAN])</f>
        <v>0</v>
      </c>
      <c r="D56" s="15">
        <f>SUBTOTAL(109,tblHome[FEB])</f>
        <v>0</v>
      </c>
      <c r="E56" s="15">
        <f>SUBTOTAL(109,tblHome[MAR])</f>
        <v>0</v>
      </c>
      <c r="F56" s="15">
        <f>SUBTOTAL(109,tblHome[APR])</f>
        <v>0</v>
      </c>
      <c r="G56" s="15">
        <f>SUBTOTAL(109,tblHome[MAY])</f>
        <v>0</v>
      </c>
      <c r="H56" s="15">
        <f>SUBTOTAL(109,tblHome[JUN])</f>
        <v>0</v>
      </c>
      <c r="I56" s="15">
        <f>SUBTOTAL(109,tblHome[JUL])</f>
        <v>0</v>
      </c>
      <c r="J56" s="15">
        <f>SUBTOTAL(109,tblHome[AUG])</f>
        <v>0</v>
      </c>
      <c r="K56" s="15">
        <f>SUBTOTAL(109,tblHome[SEP])</f>
        <v>0</v>
      </c>
      <c r="L56" s="15">
        <f>SUBTOTAL(109,tblHome[OCT])</f>
        <v>0</v>
      </c>
      <c r="M56" s="15">
        <f>SUBTOTAL(109,tblHome[NOV])</f>
        <v>0</v>
      </c>
      <c r="N56" s="15">
        <f>SUBTOTAL(109,tblHome[DEC])</f>
        <v>0</v>
      </c>
      <c r="O56" s="15">
        <f>SUBTOTAL(109,tblHome[YEAR])</f>
        <v>0</v>
      </c>
      <c r="P56" s="17"/>
    </row>
    <row r="57" spans="1:17" s="25" customFormat="1" ht="22.35" customHeight="1" x14ac:dyDescent="0.45">
      <c r="A57" s="21"/>
      <c r="B57" s="1"/>
      <c r="C57" s="2"/>
      <c r="D57" s="2"/>
      <c r="E57" s="2"/>
      <c r="F57" s="2"/>
      <c r="G57" s="2"/>
      <c r="H57" s="2"/>
      <c r="I57" s="2"/>
      <c r="J57" s="2"/>
      <c r="K57" s="2"/>
      <c r="L57" s="2"/>
      <c r="M57" s="2"/>
      <c r="N57" s="2"/>
      <c r="O57" s="2"/>
      <c r="P57" s="11"/>
      <c r="Q57" s="23"/>
    </row>
    <row r="58" spans="1:17" s="5" customFormat="1" ht="22.35" customHeight="1" x14ac:dyDescent="0.2">
      <c r="A58" s="13"/>
      <c r="B58" s="22" t="s">
        <v>30</v>
      </c>
      <c r="C58" s="36" t="s">
        <v>3</v>
      </c>
      <c r="D58" s="36" t="s">
        <v>4</v>
      </c>
      <c r="E58" s="36" t="s">
        <v>5</v>
      </c>
      <c r="F58" s="36" t="s">
        <v>6</v>
      </c>
      <c r="G58" s="36" t="s">
        <v>7</v>
      </c>
      <c r="H58" s="36" t="s">
        <v>8</v>
      </c>
      <c r="I58" s="36" t="s">
        <v>9</v>
      </c>
      <c r="J58" s="36" t="s">
        <v>10</v>
      </c>
      <c r="K58" s="36" t="s">
        <v>11</v>
      </c>
      <c r="L58" s="36" t="s">
        <v>12</v>
      </c>
      <c r="M58" s="36" t="s">
        <v>13</v>
      </c>
      <c r="N58" s="36" t="s">
        <v>14</v>
      </c>
      <c r="O58" s="36" t="s">
        <v>15</v>
      </c>
      <c r="P58" s="37" t="s">
        <v>0</v>
      </c>
      <c r="Q58" s="3"/>
    </row>
    <row r="59" spans="1:17" s="5" customFormat="1" ht="22.35" customHeight="1" x14ac:dyDescent="0.2">
      <c r="A59" s="13"/>
      <c r="B59" s="38" t="s">
        <v>166</v>
      </c>
      <c r="C59" s="41"/>
      <c r="D59" s="48"/>
      <c r="E59" s="41"/>
      <c r="F59" s="48"/>
      <c r="G59" s="41"/>
      <c r="H59" s="48"/>
      <c r="I59" s="41"/>
      <c r="J59" s="48"/>
      <c r="K59" s="41"/>
      <c r="L59" s="48"/>
      <c r="M59" s="41"/>
      <c r="N59" s="48"/>
      <c r="O59" s="15">
        <f>SUM(tblDaily[[#This Row],[JAN]:[DEC]])</f>
        <v>0</v>
      </c>
      <c r="P59" s="16"/>
      <c r="Q59" s="3"/>
    </row>
    <row r="60" spans="1:17" s="5" customFormat="1" ht="22.35" customHeight="1" x14ac:dyDescent="0.2">
      <c r="A60" s="13"/>
      <c r="B60" s="38" t="s">
        <v>167</v>
      </c>
      <c r="C60" s="41"/>
      <c r="D60" s="48"/>
      <c r="E60" s="41"/>
      <c r="F60" s="48"/>
      <c r="G60" s="41"/>
      <c r="H60" s="48"/>
      <c r="I60" s="41"/>
      <c r="J60" s="48"/>
      <c r="K60" s="41"/>
      <c r="L60" s="48"/>
      <c r="M60" s="41"/>
      <c r="N60" s="48"/>
      <c r="O60" s="15">
        <f>SUM(tblDaily[[#This Row],[JAN]:[DEC]])</f>
        <v>0</v>
      </c>
      <c r="P60" s="16"/>
      <c r="Q60" s="3"/>
    </row>
    <row r="61" spans="1:17" s="5" customFormat="1" ht="22.15" customHeight="1" x14ac:dyDescent="0.2">
      <c r="A61" s="13"/>
      <c r="B61" s="38" t="s">
        <v>168</v>
      </c>
      <c r="C61" s="41"/>
      <c r="D61" s="48"/>
      <c r="E61" s="41"/>
      <c r="F61" s="48"/>
      <c r="G61" s="41"/>
      <c r="H61" s="48"/>
      <c r="I61" s="41"/>
      <c r="J61" s="48"/>
      <c r="K61" s="41"/>
      <c r="L61" s="48"/>
      <c r="M61" s="51"/>
      <c r="N61" s="48"/>
      <c r="O61" s="15">
        <f>SUM(tblDaily[[#This Row],[JAN]:[DEC]])</f>
        <v>0</v>
      </c>
      <c r="P61" s="16"/>
      <c r="Q61" s="3"/>
    </row>
    <row r="62" spans="1:17" s="5" customFormat="1" ht="22.15" customHeight="1" x14ac:dyDescent="0.2">
      <c r="A62" s="3"/>
      <c r="B62" s="38" t="s">
        <v>87</v>
      </c>
      <c r="C62" s="41"/>
      <c r="D62" s="48"/>
      <c r="E62" s="41"/>
      <c r="F62" s="48"/>
      <c r="G62" s="41"/>
      <c r="H62" s="48"/>
      <c r="I62" s="41"/>
      <c r="J62" s="48"/>
      <c r="K62" s="41"/>
      <c r="L62" s="48"/>
      <c r="M62" s="41"/>
      <c r="N62" s="48"/>
      <c r="O62" s="15">
        <f>SUM(tblDaily[[#This Row],[JAN]:[DEC]])</f>
        <v>0</v>
      </c>
      <c r="P62" s="16"/>
      <c r="Q62" s="3"/>
    </row>
    <row r="63" spans="1:17" s="5" customFormat="1" ht="22.15" customHeight="1" x14ac:dyDescent="0.2">
      <c r="A63" s="3"/>
      <c r="B63" s="38" t="s">
        <v>88</v>
      </c>
      <c r="C63" s="41"/>
      <c r="D63" s="48"/>
      <c r="E63" s="41"/>
      <c r="F63" s="48"/>
      <c r="G63" s="41"/>
      <c r="H63" s="48"/>
      <c r="I63" s="41"/>
      <c r="J63" s="48"/>
      <c r="K63" s="41"/>
      <c r="L63" s="48"/>
      <c r="M63" s="41"/>
      <c r="N63" s="48"/>
      <c r="O63" s="15">
        <f>SUM(tblDaily[[#This Row],[JAN]:[DEC]])</f>
        <v>0</v>
      </c>
      <c r="P63" s="16"/>
      <c r="Q63" s="3"/>
    </row>
    <row r="64" spans="1:17" s="5" customFormat="1" ht="22.15" customHeight="1" x14ac:dyDescent="0.2">
      <c r="A64" s="3"/>
      <c r="B64" s="38" t="s">
        <v>169</v>
      </c>
      <c r="C64" s="41"/>
      <c r="D64" s="48"/>
      <c r="E64" s="41"/>
      <c r="F64" s="48"/>
      <c r="G64" s="41"/>
      <c r="H64" s="48"/>
      <c r="I64" s="41"/>
      <c r="J64" s="48"/>
      <c r="K64" s="41"/>
      <c r="L64" s="48"/>
      <c r="M64" s="41"/>
      <c r="N64" s="48"/>
      <c r="O64" s="15">
        <f>SUM(tblDaily[[#This Row],[JAN]:[DEC]])</f>
        <v>0</v>
      </c>
      <c r="P64" s="16"/>
      <c r="Q64" s="3"/>
    </row>
    <row r="65" spans="1:17" s="5" customFormat="1" ht="22.15" customHeight="1" x14ac:dyDescent="0.2">
      <c r="A65" s="13"/>
      <c r="B65" s="38" t="s">
        <v>170</v>
      </c>
      <c r="C65" s="41"/>
      <c r="D65" s="48"/>
      <c r="E65" s="41"/>
      <c r="F65" s="48"/>
      <c r="G65" s="41"/>
      <c r="H65" s="48"/>
      <c r="I65" s="41"/>
      <c r="J65" s="48"/>
      <c r="K65" s="41"/>
      <c r="L65" s="48"/>
      <c r="M65" s="41"/>
      <c r="N65" s="48"/>
      <c r="O65" s="15">
        <f>SUM(tblDaily[[#This Row],[JAN]:[DEC]])</f>
        <v>0</v>
      </c>
      <c r="P65" s="16"/>
      <c r="Q65" s="3"/>
    </row>
    <row r="66" spans="1:17" ht="22.15" customHeight="1" x14ac:dyDescent="0.2">
      <c r="B66" s="14"/>
      <c r="C66" s="15"/>
      <c r="D66" s="50"/>
      <c r="E66" s="15"/>
      <c r="F66" s="50"/>
      <c r="G66" s="15"/>
      <c r="H66" s="50"/>
      <c r="I66" s="15"/>
      <c r="J66" s="50"/>
      <c r="K66" s="15"/>
      <c r="L66" s="50"/>
      <c r="M66" s="15"/>
      <c r="N66" s="50"/>
      <c r="O66" s="15">
        <f>SUM(tblDaily[[#This Row],[JAN]:[DEC]])</f>
        <v>0</v>
      </c>
      <c r="P66" s="16"/>
    </row>
    <row r="67" spans="1:17" s="25" customFormat="1" ht="22.15" customHeight="1" x14ac:dyDescent="0.45">
      <c r="A67" s="21"/>
      <c r="B67" s="14" t="s">
        <v>25</v>
      </c>
      <c r="C67" s="15">
        <f>SUBTOTAL(109,tblDaily[JAN])</f>
        <v>0</v>
      </c>
      <c r="D67" s="15">
        <f>SUBTOTAL(109,tblDaily[FEB])</f>
        <v>0</v>
      </c>
      <c r="E67" s="15">
        <f>SUBTOTAL(109,tblDaily[MAR])</f>
        <v>0</v>
      </c>
      <c r="F67" s="15">
        <f>SUBTOTAL(109,tblDaily[APR])</f>
        <v>0</v>
      </c>
      <c r="G67" s="15">
        <f>SUBTOTAL(109,tblDaily[MAY])</f>
        <v>0</v>
      </c>
      <c r="H67" s="15">
        <f>SUBTOTAL(109,tblDaily[JUN])</f>
        <v>0</v>
      </c>
      <c r="I67" s="15">
        <f>SUBTOTAL(109,tblDaily[JUL])</f>
        <v>0</v>
      </c>
      <c r="J67" s="15">
        <f>SUBTOTAL(109,tblDaily[AUG])</f>
        <v>0</v>
      </c>
      <c r="K67" s="15">
        <f>SUBTOTAL(109,tblDaily[SEP])</f>
        <v>0</v>
      </c>
      <c r="L67" s="15">
        <f>SUBTOTAL(109,tblDaily[OCT])</f>
        <v>0</v>
      </c>
      <c r="M67" s="15">
        <f>SUBTOTAL(109,tblDaily[NOV])</f>
        <v>0</v>
      </c>
      <c r="N67" s="15">
        <f>SUBTOTAL(109,tblDaily[DEC])</f>
        <v>0</v>
      </c>
      <c r="O67" s="15">
        <f>SUBTOTAL(109,tblDaily[YEAR])</f>
        <v>0</v>
      </c>
      <c r="P67" s="17"/>
      <c r="Q67" s="23"/>
    </row>
    <row r="68" spans="1:17" s="5" customFormat="1" ht="21.95" customHeight="1" x14ac:dyDescent="0.2">
      <c r="A68" s="13"/>
      <c r="B68" s="3"/>
      <c r="C68" s="4"/>
      <c r="D68" s="4"/>
      <c r="E68" s="4"/>
      <c r="F68" s="4"/>
      <c r="G68" s="4"/>
      <c r="H68" s="4"/>
      <c r="I68" s="4"/>
      <c r="J68" s="4"/>
      <c r="K68" s="4"/>
      <c r="L68" s="4"/>
      <c r="M68" s="4"/>
      <c r="N68" s="4"/>
      <c r="O68" s="4"/>
      <c r="P68" s="3"/>
      <c r="Q68" s="3"/>
    </row>
    <row r="69" spans="1:17" s="5" customFormat="1" ht="30" customHeight="1" x14ac:dyDescent="0.2">
      <c r="A69" s="13"/>
      <c r="B69" s="22" t="s">
        <v>31</v>
      </c>
      <c r="C69" s="36" t="s">
        <v>3</v>
      </c>
      <c r="D69" s="36" t="s">
        <v>4</v>
      </c>
      <c r="E69" s="36" t="s">
        <v>5</v>
      </c>
      <c r="F69" s="36" t="s">
        <v>6</v>
      </c>
      <c r="G69" s="36" t="s">
        <v>7</v>
      </c>
      <c r="H69" s="36" t="s">
        <v>8</v>
      </c>
      <c r="I69" s="36" t="s">
        <v>9</v>
      </c>
      <c r="J69" s="36" t="s">
        <v>10</v>
      </c>
      <c r="K69" s="36" t="s">
        <v>11</v>
      </c>
      <c r="L69" s="36" t="s">
        <v>12</v>
      </c>
      <c r="M69" s="36" t="s">
        <v>13</v>
      </c>
      <c r="N69" s="36" t="s">
        <v>14</v>
      </c>
      <c r="O69" s="36" t="s">
        <v>15</v>
      </c>
      <c r="P69" s="37" t="s">
        <v>0</v>
      </c>
      <c r="Q69" s="3"/>
    </row>
    <row r="70" spans="1:17" s="5" customFormat="1" ht="22.15" customHeight="1" x14ac:dyDescent="0.2">
      <c r="A70" s="13"/>
      <c r="B70" s="38" t="s">
        <v>32</v>
      </c>
      <c r="C70" s="41"/>
      <c r="D70" s="48"/>
      <c r="E70" s="41"/>
      <c r="F70" s="48"/>
      <c r="G70" s="41"/>
      <c r="H70" s="48"/>
      <c r="I70" s="41"/>
      <c r="J70" s="48"/>
      <c r="K70" s="41"/>
      <c r="L70" s="48"/>
      <c r="M70" s="41"/>
      <c r="N70" s="48"/>
      <c r="O70" s="15">
        <f>SUM(tblTransportation[[#This Row],[JAN]:[DEC]])</f>
        <v>0</v>
      </c>
      <c r="P70" s="16"/>
      <c r="Q70" s="3"/>
    </row>
    <row r="71" spans="1:17" s="5" customFormat="1" ht="22.15" customHeight="1" x14ac:dyDescent="0.2">
      <c r="A71" s="13"/>
      <c r="C71" s="15"/>
      <c r="D71" s="50"/>
      <c r="E71" s="15"/>
      <c r="F71" s="50"/>
      <c r="G71" s="15"/>
      <c r="H71" s="50"/>
      <c r="I71" s="15"/>
      <c r="J71" s="50"/>
      <c r="K71" s="15"/>
      <c r="L71" s="50"/>
      <c r="M71" s="15"/>
      <c r="N71" s="50"/>
      <c r="O71" s="15">
        <f>SUM(tblTransportation[[#This Row],[JAN]:[DEC]])</f>
        <v>0</v>
      </c>
      <c r="P71" s="16"/>
      <c r="Q71" s="3"/>
    </row>
    <row r="72" spans="1:17" ht="22.15" customHeight="1" x14ac:dyDescent="0.2">
      <c r="B72" s="5"/>
      <c r="C72" s="15"/>
      <c r="D72" s="50"/>
      <c r="E72" s="15"/>
      <c r="F72" s="50"/>
      <c r="G72" s="15"/>
      <c r="H72" s="50"/>
      <c r="I72" s="15"/>
      <c r="J72" s="50"/>
      <c r="K72" s="15"/>
      <c r="L72" s="50"/>
      <c r="M72" s="15"/>
      <c r="N72" s="50"/>
      <c r="O72" s="15">
        <f>SUM(tblTransportation[[#This Row],[JAN]:[DEC]])</f>
        <v>0</v>
      </c>
      <c r="P72" s="16"/>
    </row>
    <row r="73" spans="1:17" s="25" customFormat="1" ht="22.15" customHeight="1" x14ac:dyDescent="0.45">
      <c r="A73" s="21"/>
      <c r="B73" s="14" t="s">
        <v>25</v>
      </c>
      <c r="C73" s="15">
        <f>SUBTOTAL(109,tblTransportation[JAN])</f>
        <v>0</v>
      </c>
      <c r="D73" s="128">
        <f>SUBTOTAL(109,tblTransportation[FEB])</f>
        <v>0</v>
      </c>
      <c r="E73" s="128">
        <f>SUBTOTAL(109,tblTransportation[MAR])</f>
        <v>0</v>
      </c>
      <c r="F73" s="128">
        <f>SUBTOTAL(109,tblTransportation[APR])</f>
        <v>0</v>
      </c>
      <c r="G73" s="128">
        <f>SUBTOTAL(109,tblTransportation[MAY])</f>
        <v>0</v>
      </c>
      <c r="H73" s="128">
        <f>SUBTOTAL(109,tblTransportation[JUN])</f>
        <v>0</v>
      </c>
      <c r="I73" s="128">
        <f>SUBTOTAL(109,tblTransportation[JUL])</f>
        <v>0</v>
      </c>
      <c r="J73" s="128">
        <f>SUBTOTAL(109,tblTransportation[AUG])</f>
        <v>0</v>
      </c>
      <c r="K73" s="128">
        <f>SUBTOTAL(109,tblTransportation[SEP])</f>
        <v>0</v>
      </c>
      <c r="L73" s="128">
        <f>SUBTOTAL(109,tblTransportation[OCT])</f>
        <v>0</v>
      </c>
      <c r="M73" s="128">
        <f>SUBTOTAL(109,tblTransportation[NOV])</f>
        <v>0</v>
      </c>
      <c r="N73" s="128">
        <f>SUBTOTAL(109,tblTransportation[DEC])</f>
        <v>0</v>
      </c>
      <c r="O73" s="15">
        <f>SUBTOTAL(109,tblTransportation[YEAR])</f>
        <v>0</v>
      </c>
      <c r="P73" s="17"/>
      <c r="Q73" s="23"/>
    </row>
    <row r="74" spans="1:17" s="5" customFormat="1" ht="21.95" customHeight="1" x14ac:dyDescent="0.2">
      <c r="A74" s="13"/>
      <c r="B74" s="3"/>
      <c r="C74" s="4"/>
      <c r="D74" s="4"/>
      <c r="E74" s="4"/>
      <c r="F74" s="4"/>
      <c r="G74" s="4"/>
      <c r="H74" s="4"/>
      <c r="I74" s="4"/>
      <c r="J74" s="4"/>
      <c r="K74" s="4"/>
      <c r="L74" s="4"/>
      <c r="M74" s="4"/>
      <c r="N74" s="4"/>
      <c r="O74" s="4"/>
      <c r="P74" s="3"/>
      <c r="Q74" s="3"/>
    </row>
    <row r="75" spans="1:17" s="5" customFormat="1" ht="30" customHeight="1" x14ac:dyDescent="0.2">
      <c r="A75" s="13"/>
      <c r="B75" s="22" t="s">
        <v>33</v>
      </c>
      <c r="C75" s="36" t="s">
        <v>3</v>
      </c>
      <c r="D75" s="36" t="s">
        <v>4</v>
      </c>
      <c r="E75" s="36" t="s">
        <v>5</v>
      </c>
      <c r="F75" s="36" t="s">
        <v>6</v>
      </c>
      <c r="G75" s="36" t="s">
        <v>7</v>
      </c>
      <c r="H75" s="36" t="s">
        <v>8</v>
      </c>
      <c r="I75" s="36" t="s">
        <v>9</v>
      </c>
      <c r="J75" s="36" t="s">
        <v>10</v>
      </c>
      <c r="K75" s="36" t="s">
        <v>11</v>
      </c>
      <c r="L75" s="36" t="s">
        <v>12</v>
      </c>
      <c r="M75" s="36" t="s">
        <v>13</v>
      </c>
      <c r="N75" s="36" t="s">
        <v>14</v>
      </c>
      <c r="O75" s="36" t="s">
        <v>15</v>
      </c>
      <c r="P75" s="37" t="s">
        <v>0</v>
      </c>
      <c r="Q75" s="3"/>
    </row>
    <row r="76" spans="1:17" s="5" customFormat="1" ht="22.15" customHeight="1" x14ac:dyDescent="0.2">
      <c r="A76" s="13"/>
      <c r="B76" s="38" t="s">
        <v>171</v>
      </c>
      <c r="C76" s="41"/>
      <c r="D76" s="48"/>
      <c r="E76" s="41"/>
      <c r="F76" s="48"/>
      <c r="G76" s="41"/>
      <c r="H76" s="48"/>
      <c r="I76" s="41"/>
      <c r="J76" s="48"/>
      <c r="K76" s="41"/>
      <c r="L76" s="48"/>
      <c r="M76" s="41"/>
      <c r="N76" s="50"/>
      <c r="O76" s="15">
        <f>SUM(tblEntertainment[[#This Row],[JAN]:[DEC]])</f>
        <v>0</v>
      </c>
      <c r="P76" s="16"/>
      <c r="Q76" s="3"/>
    </row>
    <row r="77" spans="1:17" s="5" customFormat="1" ht="22.15" customHeight="1" x14ac:dyDescent="0.2">
      <c r="A77" s="13"/>
      <c r="B77" s="38" t="s">
        <v>172</v>
      </c>
      <c r="C77" s="41"/>
      <c r="D77" s="48"/>
      <c r="E77" s="41"/>
      <c r="F77" s="48"/>
      <c r="G77" s="41"/>
      <c r="H77" s="48"/>
      <c r="I77" s="41"/>
      <c r="J77" s="48"/>
      <c r="K77" s="41"/>
      <c r="L77" s="48"/>
      <c r="M77" s="41"/>
      <c r="N77" s="50"/>
      <c r="O77" s="15">
        <f>SUM(tblEntertainment[[#This Row],[JAN]:[DEC]])</f>
        <v>0</v>
      </c>
      <c r="P77" s="16"/>
      <c r="Q77" s="3"/>
    </row>
    <row r="78" spans="1:17" s="5" customFormat="1" ht="22.15" customHeight="1" x14ac:dyDescent="0.2">
      <c r="A78" s="13"/>
      <c r="B78" s="38" t="s">
        <v>173</v>
      </c>
      <c r="C78" s="41"/>
      <c r="D78" s="48"/>
      <c r="E78" s="41"/>
      <c r="F78" s="48"/>
      <c r="G78" s="41"/>
      <c r="H78" s="48"/>
      <c r="I78" s="41"/>
      <c r="J78" s="48"/>
      <c r="K78" s="41"/>
      <c r="L78" s="48"/>
      <c r="M78" s="41"/>
      <c r="N78" s="50"/>
      <c r="O78" s="15">
        <f>SUM(tblEntertainment[[#This Row],[JAN]:[DEC]])</f>
        <v>0</v>
      </c>
      <c r="P78" s="16"/>
      <c r="Q78" s="3"/>
    </row>
    <row r="79" spans="1:17" ht="22.15" customHeight="1" x14ac:dyDescent="0.2">
      <c r="B79" s="38" t="s">
        <v>175</v>
      </c>
      <c r="C79" s="41"/>
      <c r="D79" s="48"/>
      <c r="E79" s="41"/>
      <c r="F79" s="48"/>
      <c r="G79" s="41"/>
      <c r="H79" s="48"/>
      <c r="I79" s="41"/>
      <c r="J79" s="48"/>
      <c r="K79" s="41"/>
      <c r="L79" s="48"/>
      <c r="M79" s="41"/>
      <c r="N79" s="50"/>
      <c r="O79" s="15">
        <f>SUM(tblEntertainment[[#This Row],[JAN]:[DEC]])</f>
        <v>0</v>
      </c>
      <c r="P79" s="16"/>
    </row>
    <row r="80" spans="1:17" s="5" customFormat="1" ht="21.95" customHeight="1" x14ac:dyDescent="0.2">
      <c r="A80" s="13"/>
      <c r="B80" s="38" t="s">
        <v>174</v>
      </c>
      <c r="C80" s="41"/>
      <c r="D80" s="48"/>
      <c r="E80" s="41"/>
      <c r="F80" s="48"/>
      <c r="G80" s="41"/>
      <c r="H80" s="48"/>
      <c r="I80" s="41"/>
      <c r="J80" s="48"/>
      <c r="K80" s="41"/>
      <c r="L80" s="48"/>
      <c r="M80" s="41"/>
      <c r="N80" s="50"/>
      <c r="O80" s="15">
        <f>SUM(tblEntertainment[[#This Row],[JAN]:[DEC]])</f>
        <v>0</v>
      </c>
      <c r="P80" s="17"/>
      <c r="Q80" s="3"/>
    </row>
    <row r="81" spans="1:17" s="5" customFormat="1" ht="21.95" customHeight="1" x14ac:dyDescent="0.2">
      <c r="A81" s="13"/>
      <c r="B81" s="38"/>
      <c r="C81" s="15"/>
      <c r="D81" s="50"/>
      <c r="E81" s="15"/>
      <c r="F81" s="50"/>
      <c r="G81" s="15"/>
      <c r="H81" s="50"/>
      <c r="I81" s="15"/>
      <c r="J81" s="50"/>
      <c r="K81" s="15"/>
      <c r="L81" s="50"/>
      <c r="M81" s="15"/>
      <c r="N81" s="50"/>
      <c r="O81" s="15">
        <f>SUM(tblEntertainment[[#This Row],[JAN]:[DEC]])</f>
        <v>0</v>
      </c>
      <c r="P81" s="17"/>
      <c r="Q81" s="3"/>
    </row>
    <row r="82" spans="1:17" s="5" customFormat="1" ht="30" customHeight="1" x14ac:dyDescent="0.2">
      <c r="A82" s="13"/>
      <c r="B82" s="14" t="s">
        <v>25</v>
      </c>
      <c r="C82" s="15">
        <f>SUBTOTAL(109,tblEntertainment[JAN])</f>
        <v>0</v>
      </c>
      <c r="D82" s="15">
        <f>SUBTOTAL(109,tblEntertainment[FEB])</f>
        <v>0</v>
      </c>
      <c r="E82" s="15">
        <f>SUBTOTAL(109,tblEntertainment[MAR])</f>
        <v>0</v>
      </c>
      <c r="F82" s="15">
        <f>SUBTOTAL(109,tblEntertainment[APR])</f>
        <v>0</v>
      </c>
      <c r="G82" s="15">
        <f>SUBTOTAL(109,tblEntertainment[MAY])</f>
        <v>0</v>
      </c>
      <c r="H82" s="15">
        <f>SUBTOTAL(109,tblEntertainment[JUN])</f>
        <v>0</v>
      </c>
      <c r="I82" s="15">
        <f>SUBTOTAL(109,tblEntertainment[JUL])</f>
        <v>0</v>
      </c>
      <c r="J82" s="15">
        <f>SUBTOTAL(109,tblEntertainment[AUG])</f>
        <v>0</v>
      </c>
      <c r="K82" s="15">
        <f>SUBTOTAL(109,tblEntertainment[SEP])</f>
        <v>0</v>
      </c>
      <c r="L82" s="15">
        <f>SUBTOTAL(109,tblEntertainment[OCT])</f>
        <v>0</v>
      </c>
      <c r="M82" s="15">
        <f>SUBTOTAL(109,tblEntertainment[NOV])</f>
        <v>0</v>
      </c>
      <c r="N82" s="15">
        <f>SUBTOTAL(109,tblEntertainment[DEC])</f>
        <v>0</v>
      </c>
      <c r="O82" s="15">
        <f>SUBTOTAL(109,tblEntertainment[YEAR])</f>
        <v>0</v>
      </c>
      <c r="P82" s="17"/>
      <c r="Q82" s="3"/>
    </row>
    <row r="83" spans="1:17" s="5" customFormat="1" ht="22.15" customHeight="1" x14ac:dyDescent="0.2">
      <c r="A83" s="13"/>
      <c r="B83" s="3"/>
      <c r="C83" s="4"/>
      <c r="D83" s="4"/>
      <c r="E83" s="4"/>
      <c r="F83" s="4"/>
      <c r="G83" s="4"/>
      <c r="H83" s="4"/>
      <c r="I83" s="4"/>
      <c r="J83" s="4"/>
      <c r="K83" s="4"/>
      <c r="L83" s="4"/>
      <c r="M83" s="4"/>
      <c r="N83" s="4"/>
      <c r="O83" s="4"/>
      <c r="P83" s="3"/>
      <c r="Q83" s="3"/>
    </row>
    <row r="84" spans="1:17" s="5" customFormat="1" ht="22.15" customHeight="1" x14ac:dyDescent="0.2">
      <c r="A84" s="3"/>
      <c r="B84" s="22" t="s">
        <v>34</v>
      </c>
      <c r="C84" s="36" t="s">
        <v>3</v>
      </c>
      <c r="D84" s="36" t="s">
        <v>4</v>
      </c>
      <c r="E84" s="36" t="s">
        <v>5</v>
      </c>
      <c r="F84" s="36" t="s">
        <v>6</v>
      </c>
      <c r="G84" s="36" t="s">
        <v>7</v>
      </c>
      <c r="H84" s="36" t="s">
        <v>8</v>
      </c>
      <c r="I84" s="36" t="s">
        <v>9</v>
      </c>
      <c r="J84" s="36" t="s">
        <v>10</v>
      </c>
      <c r="K84" s="36" t="s">
        <v>11</v>
      </c>
      <c r="L84" s="36" t="s">
        <v>12</v>
      </c>
      <c r="M84" s="36" t="s">
        <v>13</v>
      </c>
      <c r="N84" s="36" t="s">
        <v>14</v>
      </c>
      <c r="O84" s="36" t="s">
        <v>15</v>
      </c>
      <c r="P84" s="37" t="s">
        <v>0</v>
      </c>
      <c r="Q84" s="3"/>
    </row>
    <row r="85" spans="1:17" s="5" customFormat="1" ht="22.15" customHeight="1" x14ac:dyDescent="0.2">
      <c r="A85" s="13"/>
      <c r="B85" s="38" t="s">
        <v>35</v>
      </c>
      <c r="C85" s="41"/>
      <c r="D85" s="42"/>
      <c r="E85" s="41"/>
      <c r="F85" s="42"/>
      <c r="G85" s="41"/>
      <c r="H85" s="42"/>
      <c r="I85" s="41"/>
      <c r="J85" s="42"/>
      <c r="K85" s="41"/>
      <c r="L85" s="42"/>
      <c r="M85" s="41"/>
      <c r="N85" s="15"/>
      <c r="O85" s="15">
        <f>SUM(tblHealth[[#This Row],[JAN]:[DEC]])</f>
        <v>0</v>
      </c>
      <c r="P85" s="16"/>
      <c r="Q85" s="3"/>
    </row>
    <row r="86" spans="1:17" s="5" customFormat="1" ht="22.15" customHeight="1" x14ac:dyDescent="0.2">
      <c r="A86" s="13"/>
      <c r="B86" s="38" t="s">
        <v>36</v>
      </c>
      <c r="C86" s="41"/>
      <c r="D86" s="42"/>
      <c r="E86" s="41"/>
      <c r="F86" s="42"/>
      <c r="G86" s="41"/>
      <c r="H86" s="42"/>
      <c r="I86" s="41"/>
      <c r="J86" s="42"/>
      <c r="K86" s="41"/>
      <c r="L86" s="42"/>
      <c r="M86" s="41"/>
      <c r="N86" s="15"/>
      <c r="O86" s="15">
        <f>SUM(tblHealth[[#This Row],[JAN]:[DEC]])</f>
        <v>0</v>
      </c>
      <c r="P86" s="16"/>
      <c r="Q86" s="3"/>
    </row>
    <row r="87" spans="1:17" s="5" customFormat="1" ht="22.15" customHeight="1" x14ac:dyDescent="0.2">
      <c r="A87" s="13"/>
      <c r="B87" s="38" t="s">
        <v>37</v>
      </c>
      <c r="C87" s="41"/>
      <c r="D87" s="42"/>
      <c r="E87" s="41"/>
      <c r="F87" s="42"/>
      <c r="G87" s="41"/>
      <c r="H87" s="42"/>
      <c r="I87" s="41"/>
      <c r="J87" s="42"/>
      <c r="K87" s="41"/>
      <c r="L87" s="42"/>
      <c r="M87" s="41"/>
      <c r="N87" s="15"/>
      <c r="O87" s="15">
        <f>SUM(tblHealth[[#This Row],[JAN]:[DEC]])</f>
        <v>0</v>
      </c>
      <c r="P87" s="16"/>
      <c r="Q87" s="3"/>
    </row>
    <row r="88" spans="1:17" s="5" customFormat="1" ht="22.15" customHeight="1" x14ac:dyDescent="0.2">
      <c r="A88" s="13"/>
      <c r="B88" s="38" t="s">
        <v>29</v>
      </c>
      <c r="C88" s="41"/>
      <c r="D88" s="42"/>
      <c r="E88" s="41"/>
      <c r="F88" s="42"/>
      <c r="G88" s="41"/>
      <c r="H88" s="42"/>
      <c r="I88" s="41"/>
      <c r="J88" s="42"/>
      <c r="K88" s="41"/>
      <c r="L88" s="42"/>
      <c r="M88" s="41"/>
      <c r="N88" s="15"/>
      <c r="O88" s="15">
        <f>SUM(tblHealth[[#This Row],[JAN]:[DEC]])</f>
        <v>0</v>
      </c>
      <c r="P88" s="16"/>
      <c r="Q88" s="3"/>
    </row>
    <row r="89" spans="1:17" s="5" customFormat="1" ht="22.15" customHeight="1" x14ac:dyDescent="0.2">
      <c r="A89" s="13"/>
      <c r="B89" s="14"/>
      <c r="C89" s="52"/>
      <c r="D89" s="15"/>
      <c r="E89" s="52"/>
      <c r="F89" s="15"/>
      <c r="G89" s="52"/>
      <c r="H89" s="15"/>
      <c r="I89" s="52"/>
      <c r="J89" s="15"/>
      <c r="K89" s="52"/>
      <c r="L89" s="15"/>
      <c r="M89" s="52"/>
      <c r="N89" s="15"/>
      <c r="O89" s="15">
        <f>SUM(tblHealth[[#This Row],[JAN]:[DEC]])</f>
        <v>0</v>
      </c>
      <c r="P89" s="16"/>
      <c r="Q89" s="3"/>
    </row>
    <row r="90" spans="1:17" s="5" customFormat="1" ht="30" customHeight="1" x14ac:dyDescent="0.2">
      <c r="A90" s="13"/>
      <c r="B90" s="14" t="s">
        <v>25</v>
      </c>
      <c r="C90" s="15">
        <f>SUBTOTAL(109,tblHealth[JAN])</f>
        <v>0</v>
      </c>
      <c r="D90" s="15">
        <f>SUBTOTAL(109,tblHealth[FEB])</f>
        <v>0</v>
      </c>
      <c r="E90" s="15">
        <f>SUBTOTAL(109,tblHealth[MAR])</f>
        <v>0</v>
      </c>
      <c r="F90" s="15">
        <f>SUBTOTAL(109,tblHealth[APR])</f>
        <v>0</v>
      </c>
      <c r="G90" s="15">
        <f>SUBTOTAL(109,tblHealth[MAY])</f>
        <v>0</v>
      </c>
      <c r="H90" s="15">
        <f>SUBTOTAL(109,tblHealth[JUN])</f>
        <v>0</v>
      </c>
      <c r="I90" s="15">
        <f>SUBTOTAL(109,tblHealth[JUL])</f>
        <v>0</v>
      </c>
      <c r="J90" s="15">
        <f>SUBTOTAL(109,tblHealth[AUG])</f>
        <v>0</v>
      </c>
      <c r="K90" s="15">
        <f>SUBTOTAL(109,tblHealth[SEP])</f>
        <v>0</v>
      </c>
      <c r="L90" s="15">
        <f>SUBTOTAL(109,tblHealth[OCT])</f>
        <v>0</v>
      </c>
      <c r="M90" s="15">
        <f>SUBTOTAL(109,tblHealth[NOV])</f>
        <v>0</v>
      </c>
      <c r="N90" s="15">
        <f>SUBTOTAL(109,tblHealth[DEC])</f>
        <v>0</v>
      </c>
      <c r="O90" s="15">
        <f>SUBTOTAL(109,tblHealth[YEAR])</f>
        <v>0</v>
      </c>
      <c r="P90" s="17"/>
      <c r="Q90" s="3"/>
    </row>
    <row r="91" spans="1:17" s="5" customFormat="1" ht="22.15" customHeight="1" x14ac:dyDescent="0.2">
      <c r="A91" s="13"/>
      <c r="B91" s="3"/>
      <c r="C91" s="4"/>
      <c r="D91" s="4"/>
      <c r="E91" s="4"/>
      <c r="F91" s="4"/>
      <c r="G91" s="4"/>
      <c r="H91" s="4"/>
      <c r="I91" s="4"/>
      <c r="J91" s="4"/>
      <c r="K91" s="4"/>
      <c r="L91" s="4"/>
      <c r="M91" s="4"/>
      <c r="N91" s="4"/>
      <c r="O91" s="4"/>
      <c r="P91" s="3"/>
      <c r="Q91" s="3"/>
    </row>
    <row r="92" spans="1:17" s="5" customFormat="1" ht="22.15" customHeight="1" x14ac:dyDescent="0.2">
      <c r="A92" s="13"/>
      <c r="B92" s="22" t="s">
        <v>38</v>
      </c>
      <c r="C92" s="36" t="s">
        <v>3</v>
      </c>
      <c r="D92" s="36" t="s">
        <v>4</v>
      </c>
      <c r="E92" s="36" t="s">
        <v>5</v>
      </c>
      <c r="F92" s="36" t="s">
        <v>6</v>
      </c>
      <c r="G92" s="36" t="s">
        <v>7</v>
      </c>
      <c r="H92" s="36" t="s">
        <v>8</v>
      </c>
      <c r="I92" s="36" t="s">
        <v>9</v>
      </c>
      <c r="J92" s="36" t="s">
        <v>10</v>
      </c>
      <c r="K92" s="36" t="s">
        <v>11</v>
      </c>
      <c r="L92" s="36" t="s">
        <v>12</v>
      </c>
      <c r="M92" s="36" t="s">
        <v>13</v>
      </c>
      <c r="N92" s="36" t="s">
        <v>14</v>
      </c>
      <c r="O92" s="36" t="s">
        <v>15</v>
      </c>
      <c r="P92" s="37" t="s">
        <v>0</v>
      </c>
      <c r="Q92" s="3"/>
    </row>
    <row r="93" spans="1:17" s="5" customFormat="1" ht="22.15" customHeight="1" x14ac:dyDescent="0.2">
      <c r="A93" s="13"/>
      <c r="B93" s="38" t="s">
        <v>176</v>
      </c>
      <c r="C93" s="41"/>
      <c r="D93" s="42"/>
      <c r="E93" s="41"/>
      <c r="F93" s="42"/>
      <c r="G93" s="41"/>
      <c r="H93" s="42"/>
      <c r="I93" s="41"/>
      <c r="J93" s="42"/>
      <c r="K93" s="41"/>
      <c r="L93" s="42"/>
      <c r="M93" s="41"/>
      <c r="N93" s="15"/>
      <c r="O93" s="15">
        <f>SUM(tblVacations[[#This Row],[JAN]:[DEC]])</f>
        <v>0</v>
      </c>
      <c r="P93" s="16"/>
      <c r="Q93" s="3"/>
    </row>
    <row r="94" spans="1:17" s="5" customFormat="1" ht="22.15" customHeight="1" x14ac:dyDescent="0.2">
      <c r="A94" s="13"/>
      <c r="B94" s="38" t="s">
        <v>177</v>
      </c>
      <c r="C94" s="41"/>
      <c r="D94" s="42"/>
      <c r="E94" s="41"/>
      <c r="F94" s="42"/>
      <c r="G94" s="41"/>
      <c r="H94" s="42"/>
      <c r="I94" s="41"/>
      <c r="J94" s="42"/>
      <c r="K94" s="41"/>
      <c r="L94" s="42"/>
      <c r="M94" s="41"/>
      <c r="N94" s="15"/>
      <c r="O94" s="15">
        <f>SUM(tblVacations[[#This Row],[JAN]:[DEC]])</f>
        <v>0</v>
      </c>
      <c r="P94" s="16"/>
      <c r="Q94" s="3"/>
    </row>
    <row r="95" spans="1:17" s="5" customFormat="1" ht="22.15" customHeight="1" x14ac:dyDescent="0.2">
      <c r="A95" s="13"/>
      <c r="B95" s="38" t="s">
        <v>178</v>
      </c>
      <c r="C95" s="41"/>
      <c r="D95" s="42"/>
      <c r="E95" s="41"/>
      <c r="F95" s="42"/>
      <c r="G95" s="41"/>
      <c r="H95" s="42"/>
      <c r="I95" s="41"/>
      <c r="J95" s="42"/>
      <c r="K95" s="41"/>
      <c r="L95" s="42"/>
      <c r="M95" s="41"/>
      <c r="N95" s="15"/>
      <c r="O95" s="15">
        <f>SUM(tblVacations[[#This Row],[JAN]:[DEC]])</f>
        <v>0</v>
      </c>
      <c r="P95" s="16"/>
      <c r="Q95" s="3"/>
    </row>
    <row r="96" spans="1:17" ht="22.15" customHeight="1" x14ac:dyDescent="0.2">
      <c r="B96" s="14"/>
      <c r="C96" s="15"/>
      <c r="D96" s="15"/>
      <c r="E96" s="15"/>
      <c r="F96" s="15"/>
      <c r="G96" s="15"/>
      <c r="H96" s="15"/>
      <c r="I96" s="15"/>
      <c r="J96" s="15"/>
      <c r="K96" s="15"/>
      <c r="L96" s="15"/>
      <c r="M96" s="15"/>
      <c r="N96" s="15"/>
      <c r="O96" s="15">
        <f>SUM(tblVacations[[#This Row],[JAN]:[DEC]])</f>
        <v>0</v>
      </c>
      <c r="P96" s="16"/>
    </row>
    <row r="97" spans="1:17" s="25" customFormat="1" ht="22.15" customHeight="1" x14ac:dyDescent="0.45">
      <c r="A97" s="21"/>
      <c r="B97" s="14"/>
      <c r="C97" s="15"/>
      <c r="D97" s="15"/>
      <c r="E97" s="15"/>
      <c r="F97" s="15"/>
      <c r="G97" s="15"/>
      <c r="H97" s="15"/>
      <c r="I97" s="15"/>
      <c r="J97" s="15"/>
      <c r="K97" s="15"/>
      <c r="L97" s="15"/>
      <c r="M97" s="15"/>
      <c r="N97" s="15"/>
      <c r="O97" s="15">
        <f>SUM(tblVacations[[#This Row],[JAN]:[DEC]])</f>
        <v>0</v>
      </c>
      <c r="P97" s="16"/>
      <c r="Q97" s="23"/>
    </row>
    <row r="98" spans="1:17" s="5" customFormat="1" ht="21.95" customHeight="1" x14ac:dyDescent="0.2">
      <c r="A98" s="13"/>
      <c r="B98" s="14"/>
      <c r="C98" s="15"/>
      <c r="D98" s="15"/>
      <c r="E98" s="15"/>
      <c r="F98" s="15"/>
      <c r="G98" s="15"/>
      <c r="H98" s="15"/>
      <c r="I98" s="15"/>
      <c r="J98" s="15"/>
      <c r="K98" s="15"/>
      <c r="L98" s="15"/>
      <c r="M98" s="15"/>
      <c r="N98" s="15"/>
      <c r="O98" s="15">
        <f>SUM(tblVacations[[#This Row],[JAN]:[DEC]])</f>
        <v>0</v>
      </c>
      <c r="P98" s="16"/>
      <c r="Q98" s="3"/>
    </row>
    <row r="99" spans="1:17" s="5" customFormat="1" ht="30" customHeight="1" x14ac:dyDescent="0.2">
      <c r="A99" s="13"/>
      <c r="B99" s="14" t="s">
        <v>25</v>
      </c>
      <c r="C99" s="15">
        <f>SUBTOTAL(109,tblVacations[JAN])</f>
        <v>0</v>
      </c>
      <c r="D99" s="15">
        <f>SUBTOTAL(109,tblVacations[FEB])</f>
        <v>0</v>
      </c>
      <c r="E99" s="15">
        <f>SUBTOTAL(109,tblVacations[MAR])</f>
        <v>0</v>
      </c>
      <c r="F99" s="15">
        <f>SUBTOTAL(109,tblVacations[APR])</f>
        <v>0</v>
      </c>
      <c r="G99" s="15">
        <f>SUBTOTAL(109,tblVacations[MAY])</f>
        <v>0</v>
      </c>
      <c r="H99" s="15">
        <f>SUBTOTAL(109,tblVacations[JUN])</f>
        <v>0</v>
      </c>
      <c r="I99" s="15">
        <f>SUBTOTAL(109,tblVacations[JUL])</f>
        <v>0</v>
      </c>
      <c r="J99" s="15">
        <f>SUBTOTAL(109,tblVacations[AUG])</f>
        <v>0</v>
      </c>
      <c r="K99" s="15">
        <f>SUBTOTAL(109,tblVacations[SEP])</f>
        <v>0</v>
      </c>
      <c r="L99" s="15">
        <f>SUBTOTAL(109,tblVacations[OCT])</f>
        <v>0</v>
      </c>
      <c r="M99" s="15">
        <f>SUBTOTAL(109,tblVacations[NOV])</f>
        <v>0</v>
      </c>
      <c r="N99" s="15">
        <f>SUBTOTAL(109,tblVacations[DEC])</f>
        <v>0</v>
      </c>
      <c r="O99" s="15">
        <f>SUBTOTAL(109,tblVacations[YEAR])</f>
        <v>0</v>
      </c>
      <c r="P99" s="17"/>
      <c r="Q99" s="3"/>
    </row>
    <row r="100" spans="1:17" s="5" customFormat="1" ht="22.15" customHeight="1" x14ac:dyDescent="0.2">
      <c r="A100" s="13"/>
      <c r="B100" s="3"/>
      <c r="C100" s="4"/>
      <c r="D100" s="4"/>
      <c r="E100" s="4"/>
      <c r="F100" s="4"/>
      <c r="G100" s="4"/>
      <c r="H100" s="4"/>
      <c r="I100" s="4"/>
      <c r="J100" s="4"/>
      <c r="K100" s="4"/>
      <c r="L100" s="4"/>
      <c r="M100" s="4"/>
      <c r="N100" s="4"/>
      <c r="O100" s="4"/>
      <c r="P100" s="3"/>
      <c r="Q100" s="3"/>
    </row>
    <row r="101" spans="1:17" s="5" customFormat="1" ht="22.15" customHeight="1" x14ac:dyDescent="0.2">
      <c r="A101" s="13"/>
      <c r="B101" s="22" t="s">
        <v>39</v>
      </c>
      <c r="C101" s="36" t="s">
        <v>3</v>
      </c>
      <c r="D101" s="36" t="s">
        <v>4</v>
      </c>
      <c r="E101" s="36" t="s">
        <v>5</v>
      </c>
      <c r="F101" s="36" t="s">
        <v>6</v>
      </c>
      <c r="G101" s="36" t="s">
        <v>7</v>
      </c>
      <c r="H101" s="36" t="s">
        <v>8</v>
      </c>
      <c r="I101" s="36" t="s">
        <v>9</v>
      </c>
      <c r="J101" s="36" t="s">
        <v>10</v>
      </c>
      <c r="K101" s="36" t="s">
        <v>11</v>
      </c>
      <c r="L101" s="36" t="s">
        <v>12</v>
      </c>
      <c r="M101" s="36" t="s">
        <v>13</v>
      </c>
      <c r="N101" s="36" t="s">
        <v>14</v>
      </c>
      <c r="O101" s="36" t="s">
        <v>15</v>
      </c>
      <c r="P101" s="37" t="s">
        <v>0</v>
      </c>
      <c r="Q101" s="3"/>
    </row>
    <row r="102" spans="1:17" s="5" customFormat="1" ht="22.15" customHeight="1" x14ac:dyDescent="0.2">
      <c r="A102" s="13"/>
      <c r="B102" s="38" t="s">
        <v>40</v>
      </c>
      <c r="C102" s="41"/>
      <c r="D102" s="42"/>
      <c r="E102" s="41"/>
      <c r="F102" s="42"/>
      <c r="G102" s="41"/>
      <c r="H102" s="42"/>
      <c r="I102" s="41"/>
      <c r="J102" s="42"/>
      <c r="K102" s="41"/>
      <c r="L102" s="42"/>
      <c r="M102" s="41"/>
      <c r="N102" s="15"/>
      <c r="O102" s="15">
        <f>SUM(tblRecreation[[#This Row],[JAN]:[DEC]])</f>
        <v>0</v>
      </c>
      <c r="P102" s="16"/>
      <c r="Q102" s="3"/>
    </row>
    <row r="103" spans="1:17" s="5" customFormat="1" ht="22.15" customHeight="1" x14ac:dyDescent="0.2">
      <c r="A103" s="13"/>
      <c r="B103" s="38" t="s">
        <v>89</v>
      </c>
      <c r="C103" s="41"/>
      <c r="D103" s="42"/>
      <c r="E103" s="41"/>
      <c r="F103" s="42"/>
      <c r="G103" s="41"/>
      <c r="H103" s="42"/>
      <c r="I103" s="41"/>
      <c r="J103" s="42"/>
      <c r="K103" s="41"/>
      <c r="L103" s="42"/>
      <c r="M103" s="41"/>
      <c r="N103" s="15"/>
      <c r="O103" s="15">
        <f>SUM(tblRecreation[[#This Row],[JAN]:[DEC]])</f>
        <v>0</v>
      </c>
      <c r="P103" s="16"/>
      <c r="Q103" s="3"/>
    </row>
    <row r="104" spans="1:17" ht="22.15" customHeight="1" x14ac:dyDescent="0.2">
      <c r="B104" s="38" t="s">
        <v>41</v>
      </c>
      <c r="C104" s="41"/>
      <c r="D104" s="42"/>
      <c r="E104" s="41"/>
      <c r="F104" s="42"/>
      <c r="G104" s="41"/>
      <c r="H104" s="42"/>
      <c r="I104" s="41"/>
      <c r="J104" s="42"/>
      <c r="K104" s="41"/>
      <c r="L104" s="42"/>
      <c r="M104" s="41"/>
      <c r="N104" s="15"/>
      <c r="O104" s="15">
        <f>SUM(tblRecreation[[#This Row],[JAN]:[DEC]])</f>
        <v>0</v>
      </c>
      <c r="P104" s="16"/>
    </row>
    <row r="105" spans="1:17" s="25" customFormat="1" ht="22.15" customHeight="1" x14ac:dyDescent="0.45">
      <c r="A105" s="21"/>
      <c r="B105" s="38" t="s">
        <v>42</v>
      </c>
      <c r="C105" s="41"/>
      <c r="D105" s="42"/>
      <c r="E105" s="41"/>
      <c r="F105" s="42"/>
      <c r="G105" s="41"/>
      <c r="H105" s="42"/>
      <c r="I105" s="41"/>
      <c r="J105" s="42"/>
      <c r="K105" s="41"/>
      <c r="L105" s="42"/>
      <c r="M105" s="41"/>
      <c r="N105" s="15"/>
      <c r="O105" s="15">
        <f>SUM(tblRecreation[[#This Row],[JAN]:[DEC]])</f>
        <v>0</v>
      </c>
      <c r="P105" s="16"/>
      <c r="Q105" s="23"/>
    </row>
    <row r="106" spans="1:17" s="25" customFormat="1" ht="22.15" customHeight="1" x14ac:dyDescent="0.45">
      <c r="A106" s="21"/>
      <c r="B106" s="38" t="s">
        <v>43</v>
      </c>
      <c r="C106" s="41"/>
      <c r="D106" s="42"/>
      <c r="E106" s="41"/>
      <c r="F106" s="42"/>
      <c r="G106" s="41"/>
      <c r="H106" s="42"/>
      <c r="I106" s="41"/>
      <c r="J106" s="42"/>
      <c r="K106" s="41"/>
      <c r="L106" s="42"/>
      <c r="M106" s="41"/>
      <c r="N106" s="15"/>
      <c r="O106" s="15" t="s">
        <v>44</v>
      </c>
      <c r="P106" s="16"/>
      <c r="Q106" s="23"/>
    </row>
    <row r="107" spans="1:17" s="25" customFormat="1" ht="22.15" customHeight="1" x14ac:dyDescent="0.45">
      <c r="A107" s="21"/>
      <c r="B107" s="38" t="s">
        <v>179</v>
      </c>
      <c r="C107" s="41"/>
      <c r="D107" s="42"/>
      <c r="E107" s="41"/>
      <c r="F107" s="42"/>
      <c r="G107" s="41"/>
      <c r="H107" s="42"/>
      <c r="I107" s="41"/>
      <c r="J107" s="42"/>
      <c r="K107" s="41"/>
      <c r="L107" s="42"/>
      <c r="M107" s="41"/>
      <c r="N107" s="15"/>
      <c r="O107" s="129" t="s">
        <v>45</v>
      </c>
      <c r="P107" s="16"/>
      <c r="Q107" s="23"/>
    </row>
    <row r="108" spans="1:17" s="25" customFormat="1" ht="22.15" customHeight="1" x14ac:dyDescent="0.45">
      <c r="A108" s="21"/>
      <c r="B108" s="38" t="s">
        <v>46</v>
      </c>
      <c r="C108" s="41"/>
      <c r="D108" s="42"/>
      <c r="E108" s="41"/>
      <c r="F108" s="42"/>
      <c r="G108" s="41"/>
      <c r="H108" s="42"/>
      <c r="I108" s="41"/>
      <c r="J108" s="42"/>
      <c r="K108" s="41"/>
      <c r="L108" s="42"/>
      <c r="M108" s="41"/>
      <c r="N108" s="15"/>
      <c r="O108" s="15">
        <f>SUM(tblRecreation[[#This Row],[JAN]:[DEC]])</f>
        <v>0</v>
      </c>
      <c r="P108" s="16"/>
      <c r="Q108" s="23"/>
    </row>
    <row r="109" spans="1:17" s="5" customFormat="1" ht="21.95" customHeight="1" x14ac:dyDescent="0.2">
      <c r="A109" s="13"/>
      <c r="B109" s="38" t="s">
        <v>47</v>
      </c>
      <c r="C109" s="41"/>
      <c r="D109" s="42"/>
      <c r="E109" s="41"/>
      <c r="F109" s="42"/>
      <c r="G109" s="41"/>
      <c r="H109" s="42"/>
      <c r="I109" s="41"/>
      <c r="J109" s="42"/>
      <c r="K109" s="41"/>
      <c r="L109" s="42"/>
      <c r="M109" s="41"/>
      <c r="N109" s="15"/>
      <c r="O109" s="15">
        <f>SUM(tblRecreation[[#This Row],[JAN]:[DEC]])</f>
        <v>0</v>
      </c>
      <c r="P109" s="16"/>
      <c r="Q109" s="3"/>
    </row>
    <row r="110" spans="1:17" s="5" customFormat="1" ht="21.95" customHeight="1" x14ac:dyDescent="0.2">
      <c r="A110" s="13"/>
      <c r="B110" s="14"/>
      <c r="C110" s="15"/>
      <c r="D110" s="15"/>
      <c r="E110" s="15"/>
      <c r="F110" s="15"/>
      <c r="G110" s="15"/>
      <c r="H110" s="15"/>
      <c r="I110" s="15"/>
      <c r="J110" s="15"/>
      <c r="K110" s="15"/>
      <c r="L110" s="15"/>
      <c r="M110" s="15"/>
      <c r="N110" s="15"/>
      <c r="O110" s="15">
        <f>SUM(tblRecreation[[#This Row],[JAN]:[DEC]])</f>
        <v>0</v>
      </c>
      <c r="P110" s="16"/>
      <c r="Q110" s="3"/>
    </row>
    <row r="111" spans="1:17" s="5" customFormat="1" ht="30" customHeight="1" x14ac:dyDescent="0.2">
      <c r="A111" s="13"/>
      <c r="B111" s="14" t="s">
        <v>25</v>
      </c>
      <c r="C111" s="15">
        <f>SUBTOTAL(109,tblRecreation[JAN])</f>
        <v>0</v>
      </c>
      <c r="D111" s="15">
        <f>SUBTOTAL(109,tblRecreation[FEB])</f>
        <v>0</v>
      </c>
      <c r="E111" s="15">
        <f>SUBTOTAL(109,tblRecreation[MAR])</f>
        <v>0</v>
      </c>
      <c r="F111" s="15">
        <f>SUBTOTAL(109,tblRecreation[APR])</f>
        <v>0</v>
      </c>
      <c r="G111" s="15">
        <f>SUBTOTAL(109,tblRecreation[MAY])</f>
        <v>0</v>
      </c>
      <c r="H111" s="15">
        <f>SUBTOTAL(109,tblRecreation[JUN])</f>
        <v>0</v>
      </c>
      <c r="I111" s="15">
        <f>SUBTOTAL(109,tblRecreation[JUL])</f>
        <v>0</v>
      </c>
      <c r="J111" s="15">
        <f>SUBTOTAL(109,tblRecreation[AUG])</f>
        <v>0</v>
      </c>
      <c r="K111" s="15">
        <f>SUBTOTAL(109,tblRecreation[SEP])</f>
        <v>0</v>
      </c>
      <c r="L111" s="15">
        <f>SUBTOTAL(109,tblRecreation[OCT])</f>
        <v>0</v>
      </c>
      <c r="M111" s="15">
        <f>SUBTOTAL(109,tblRecreation[NOV])</f>
        <v>0</v>
      </c>
      <c r="N111" s="15">
        <f>SUBTOTAL(109,tblRecreation[DEC])</f>
        <v>0</v>
      </c>
      <c r="O111" s="15">
        <f>SUBTOTAL(109,tblRecreation[YEAR])</f>
        <v>0</v>
      </c>
      <c r="P111" s="17"/>
      <c r="Q111" s="3"/>
    </row>
    <row r="112" spans="1:17" s="5" customFormat="1" ht="22.15" customHeight="1" x14ac:dyDescent="0.2">
      <c r="A112" s="13"/>
      <c r="B112" s="3"/>
      <c r="C112" s="4"/>
      <c r="D112" s="4"/>
      <c r="E112" s="4"/>
      <c r="F112" s="4"/>
      <c r="G112" s="4"/>
      <c r="H112" s="4"/>
      <c r="I112" s="4"/>
      <c r="J112" s="4"/>
      <c r="K112" s="4"/>
      <c r="L112" s="4"/>
      <c r="M112" s="4"/>
      <c r="N112" s="4"/>
      <c r="O112" s="4"/>
      <c r="P112" s="3"/>
      <c r="Q112" s="3"/>
    </row>
    <row r="113" spans="1:17" s="5" customFormat="1" ht="22.15" customHeight="1" x14ac:dyDescent="0.2">
      <c r="A113" s="13"/>
      <c r="B113" s="22" t="s">
        <v>48</v>
      </c>
      <c r="C113" s="36" t="s">
        <v>3</v>
      </c>
      <c r="D113" s="36" t="s">
        <v>4</v>
      </c>
      <c r="E113" s="36" t="s">
        <v>5</v>
      </c>
      <c r="F113" s="36" t="s">
        <v>6</v>
      </c>
      <c r="G113" s="36" t="s">
        <v>7</v>
      </c>
      <c r="H113" s="36" t="s">
        <v>8</v>
      </c>
      <c r="I113" s="36" t="s">
        <v>9</v>
      </c>
      <c r="J113" s="36" t="s">
        <v>10</v>
      </c>
      <c r="K113" s="36" t="s">
        <v>11</v>
      </c>
      <c r="L113" s="36" t="s">
        <v>12</v>
      </c>
      <c r="M113" s="36" t="s">
        <v>13</v>
      </c>
      <c r="N113" s="36" t="s">
        <v>14</v>
      </c>
      <c r="O113" s="36" t="s">
        <v>15</v>
      </c>
      <c r="P113" s="37" t="s">
        <v>0</v>
      </c>
      <c r="Q113" s="3"/>
    </row>
    <row r="114" spans="1:17" s="5" customFormat="1" ht="22.15" customHeight="1" x14ac:dyDescent="0.2">
      <c r="A114" s="13"/>
      <c r="B114" s="38" t="s">
        <v>180</v>
      </c>
      <c r="C114" s="15"/>
      <c r="D114" s="15"/>
      <c r="E114" s="15"/>
      <c r="F114" s="15"/>
      <c r="G114" s="15"/>
      <c r="H114" s="15"/>
      <c r="I114" s="15"/>
      <c r="J114" s="15"/>
      <c r="K114" s="15"/>
      <c r="L114" s="15"/>
      <c r="M114" s="15"/>
      <c r="N114" s="15"/>
      <c r="O114" s="15">
        <f>SUM(tblDues[[#This Row],[JAN]:[DEC]])</f>
        <v>0</v>
      </c>
      <c r="P114" s="16"/>
      <c r="Q114" s="3"/>
    </row>
    <row r="115" spans="1:17" s="5" customFormat="1" ht="22.15" customHeight="1" x14ac:dyDescent="0.2">
      <c r="A115" s="13"/>
      <c r="B115" s="14"/>
      <c r="C115" s="15"/>
      <c r="D115" s="15"/>
      <c r="E115" s="15"/>
      <c r="F115" s="15"/>
      <c r="G115" s="15"/>
      <c r="H115" s="15"/>
      <c r="I115" s="15"/>
      <c r="J115" s="15"/>
      <c r="K115" s="15"/>
      <c r="L115" s="15"/>
      <c r="M115" s="15"/>
      <c r="N115" s="15"/>
      <c r="O115" s="15">
        <f>SUM(tblDues[[#This Row],[JAN]:[DEC]])</f>
        <v>0</v>
      </c>
      <c r="P115" s="16"/>
      <c r="Q115" s="3"/>
    </row>
    <row r="116" spans="1:17" s="5" customFormat="1" ht="21.95" customHeight="1" x14ac:dyDescent="0.2">
      <c r="A116" s="13"/>
      <c r="B116" s="14"/>
      <c r="C116" s="15"/>
      <c r="D116" s="15"/>
      <c r="E116" s="15"/>
      <c r="F116" s="15"/>
      <c r="G116" s="15"/>
      <c r="H116" s="15"/>
      <c r="I116" s="15"/>
      <c r="J116" s="15"/>
      <c r="K116" s="15"/>
      <c r="L116" s="15"/>
      <c r="M116" s="15"/>
      <c r="N116" s="15"/>
      <c r="O116" s="15">
        <f>SUM(tblDues[[#This Row],[JAN]:[DEC]])</f>
        <v>0</v>
      </c>
      <c r="P116" s="16"/>
      <c r="Q116" s="3"/>
    </row>
    <row r="117" spans="1:17" s="5" customFormat="1" ht="30" customHeight="1" x14ac:dyDescent="0.2">
      <c r="A117" s="13"/>
      <c r="B117" s="14" t="s">
        <v>25</v>
      </c>
      <c r="C117" s="15">
        <f>SUBTOTAL(109,tblDues[JAN])</f>
        <v>0</v>
      </c>
      <c r="D117" s="15">
        <f>SUBTOTAL(109,tblDues[FEB])</f>
        <v>0</v>
      </c>
      <c r="E117" s="15">
        <f>SUBTOTAL(109,tblDues[MAR])</f>
        <v>0</v>
      </c>
      <c r="F117" s="15">
        <f>SUBTOTAL(109,tblDues[APR])</f>
        <v>0</v>
      </c>
      <c r="G117" s="15">
        <f>SUBTOTAL(109,tblDues[MAY])</f>
        <v>0</v>
      </c>
      <c r="H117" s="15">
        <f>SUBTOTAL(109,tblDues[JUN])</f>
        <v>0</v>
      </c>
      <c r="I117" s="15">
        <f>SUBTOTAL(109,tblDues[JUL])</f>
        <v>0</v>
      </c>
      <c r="J117" s="15">
        <f>SUBTOTAL(109,tblDues[AUG])</f>
        <v>0</v>
      </c>
      <c r="K117" s="15">
        <f>SUBTOTAL(109,tblDues[SEP])</f>
        <v>0</v>
      </c>
      <c r="L117" s="15">
        <f>SUBTOTAL(109,tblDues[OCT])</f>
        <v>0</v>
      </c>
      <c r="M117" s="15">
        <f>SUBTOTAL(109,tblDues[NOV])</f>
        <v>0</v>
      </c>
      <c r="N117" s="15">
        <f>SUBTOTAL(109,tblDues[DEC])</f>
        <v>0</v>
      </c>
      <c r="O117" s="15">
        <f>SUBTOTAL(109,tblDues[YEAR])</f>
        <v>0</v>
      </c>
      <c r="P117" s="17"/>
      <c r="Q117" s="3"/>
    </row>
    <row r="118" spans="1:17" s="5" customFormat="1" ht="22.15" customHeight="1" x14ac:dyDescent="0.2">
      <c r="A118" s="13"/>
      <c r="B118" s="3"/>
      <c r="C118" s="4"/>
      <c r="D118" s="4"/>
      <c r="E118" s="4"/>
      <c r="F118" s="4"/>
      <c r="G118" s="4"/>
      <c r="H118" s="4"/>
      <c r="I118" s="4"/>
      <c r="J118" s="4"/>
      <c r="K118" s="4"/>
      <c r="L118" s="4"/>
      <c r="M118" s="4"/>
      <c r="N118" s="4"/>
      <c r="O118" s="4"/>
      <c r="P118" s="3"/>
      <c r="Q118" s="3"/>
    </row>
    <row r="119" spans="1:17" s="5" customFormat="1" ht="22.15" customHeight="1" x14ac:dyDescent="0.2">
      <c r="A119" s="13"/>
      <c r="B119" s="22" t="s">
        <v>49</v>
      </c>
      <c r="C119" s="36" t="s">
        <v>3</v>
      </c>
      <c r="D119" s="36" t="s">
        <v>4</v>
      </c>
      <c r="E119" s="36" t="s">
        <v>5</v>
      </c>
      <c r="F119" s="36" t="s">
        <v>6</v>
      </c>
      <c r="G119" s="36" t="s">
        <v>7</v>
      </c>
      <c r="H119" s="36" t="s">
        <v>8</v>
      </c>
      <c r="I119" s="36" t="s">
        <v>9</v>
      </c>
      <c r="J119" s="36" t="s">
        <v>10</v>
      </c>
      <c r="K119" s="36" t="s">
        <v>11</v>
      </c>
      <c r="L119" s="36" t="s">
        <v>12</v>
      </c>
      <c r="M119" s="36" t="s">
        <v>13</v>
      </c>
      <c r="N119" s="36" t="s">
        <v>14</v>
      </c>
      <c r="O119" s="36" t="s">
        <v>15</v>
      </c>
      <c r="P119" s="37" t="s">
        <v>0</v>
      </c>
      <c r="Q119" s="3"/>
    </row>
    <row r="120" spans="1:17" s="5" customFormat="1" ht="22.15" customHeight="1" x14ac:dyDescent="0.2">
      <c r="A120" s="13"/>
      <c r="B120" s="38" t="s">
        <v>181</v>
      </c>
      <c r="C120" s="15"/>
      <c r="D120" s="15"/>
      <c r="E120" s="15"/>
      <c r="F120" s="15"/>
      <c r="G120" s="15"/>
      <c r="H120" s="15"/>
      <c r="I120" s="15"/>
      <c r="J120" s="15"/>
      <c r="K120" s="15"/>
      <c r="L120" s="15"/>
      <c r="M120" s="15"/>
      <c r="N120" s="15"/>
      <c r="O120" s="15">
        <f>SUM(tblPersonal[[#This Row],[JAN]:[DEC]])</f>
        <v>0</v>
      </c>
      <c r="P120" s="16"/>
      <c r="Q120" s="3"/>
    </row>
    <row r="121" spans="1:17" s="5" customFormat="1" ht="22.15" customHeight="1" x14ac:dyDescent="0.2">
      <c r="A121" s="13"/>
      <c r="B121" s="38" t="s">
        <v>29</v>
      </c>
      <c r="C121" s="15"/>
      <c r="D121" s="15"/>
      <c r="E121" s="15"/>
      <c r="F121" s="15"/>
      <c r="G121" s="15"/>
      <c r="H121" s="15"/>
      <c r="I121" s="15"/>
      <c r="J121" s="15"/>
      <c r="K121" s="15"/>
      <c r="L121" s="15"/>
      <c r="M121" s="15"/>
      <c r="N121" s="15"/>
      <c r="O121" s="15">
        <f>SUM(tblPersonal[[#This Row],[JAN]:[DEC]])</f>
        <v>0</v>
      </c>
      <c r="P121" s="16"/>
      <c r="Q121" s="3"/>
    </row>
    <row r="122" spans="1:17" ht="22.15" customHeight="1" x14ac:dyDescent="0.2">
      <c r="B122" s="14"/>
      <c r="C122" s="15"/>
      <c r="D122" s="15"/>
      <c r="E122" s="15"/>
      <c r="F122" s="15"/>
      <c r="G122" s="15"/>
      <c r="H122" s="15"/>
      <c r="I122" s="15"/>
      <c r="J122" s="15"/>
      <c r="K122" s="15"/>
      <c r="L122" s="15"/>
      <c r="M122" s="15"/>
      <c r="N122" s="15"/>
      <c r="O122" s="15">
        <f>SUM(tblPersonal[[#This Row],[JAN]:[DEC]])</f>
        <v>0</v>
      </c>
      <c r="P122" s="16"/>
    </row>
    <row r="123" spans="1:17" s="25" customFormat="1" ht="22.15" customHeight="1" x14ac:dyDescent="0.45">
      <c r="A123" s="21"/>
      <c r="B123" s="14"/>
      <c r="C123" s="15"/>
      <c r="D123" s="15"/>
      <c r="E123" s="15"/>
      <c r="F123" s="15"/>
      <c r="G123" s="15"/>
      <c r="H123" s="15"/>
      <c r="I123" s="15"/>
      <c r="J123" s="15"/>
      <c r="K123" s="15"/>
      <c r="L123" s="15"/>
      <c r="M123" s="15"/>
      <c r="N123" s="15"/>
      <c r="O123" s="15">
        <f>SUM(tblPersonal[[#This Row],[JAN]:[DEC]])</f>
        <v>0</v>
      </c>
      <c r="P123" s="16"/>
      <c r="Q123" s="23"/>
    </row>
    <row r="124" spans="1:17" s="5" customFormat="1" ht="21.95" customHeight="1" x14ac:dyDescent="0.2">
      <c r="A124" s="13"/>
      <c r="B124" s="14"/>
      <c r="C124" s="15"/>
      <c r="D124" s="15"/>
      <c r="E124" s="15"/>
      <c r="F124" s="15"/>
      <c r="G124" s="15"/>
      <c r="H124" s="15"/>
      <c r="I124" s="15"/>
      <c r="J124" s="15"/>
      <c r="K124" s="15"/>
      <c r="L124" s="15"/>
      <c r="M124" s="15"/>
      <c r="N124" s="15"/>
      <c r="O124" s="15">
        <f>SUM(tblPersonal[[#This Row],[JAN]:[DEC]])</f>
        <v>0</v>
      </c>
      <c r="P124" s="16"/>
      <c r="Q124" s="3"/>
    </row>
    <row r="125" spans="1:17" s="5" customFormat="1" ht="30" customHeight="1" x14ac:dyDescent="0.2">
      <c r="A125" s="13"/>
      <c r="B125" s="14" t="s">
        <v>25</v>
      </c>
      <c r="C125" s="15">
        <f>SUBTOTAL(109,tblPersonal[JAN])</f>
        <v>0</v>
      </c>
      <c r="D125" s="15">
        <f>SUBTOTAL(109,tblPersonal[FEB])</f>
        <v>0</v>
      </c>
      <c r="E125" s="15">
        <f>SUBTOTAL(109,tblPersonal[MAR])</f>
        <v>0</v>
      </c>
      <c r="F125" s="15">
        <f>SUBTOTAL(109,tblPersonal[APR])</f>
        <v>0</v>
      </c>
      <c r="G125" s="15">
        <f>SUBTOTAL(109,tblPersonal[MAY])</f>
        <v>0</v>
      </c>
      <c r="H125" s="15">
        <f>SUBTOTAL(109,tblPersonal[JUN])</f>
        <v>0</v>
      </c>
      <c r="I125" s="15">
        <f>SUBTOTAL(109,tblPersonal[JUL])</f>
        <v>0</v>
      </c>
      <c r="J125" s="15">
        <f>SUBTOTAL(109,tblPersonal[AUG])</f>
        <v>0</v>
      </c>
      <c r="K125" s="15">
        <f>SUBTOTAL(109,tblPersonal[SEP])</f>
        <v>0</v>
      </c>
      <c r="L125" s="15">
        <f>SUBTOTAL(109,tblPersonal[OCT])</f>
        <v>0</v>
      </c>
      <c r="M125" s="15">
        <f>SUBTOTAL(109,tblPersonal[NOV])</f>
        <v>0</v>
      </c>
      <c r="N125" s="15">
        <f>SUBTOTAL(109,tblPersonal[DEC])</f>
        <v>0</v>
      </c>
      <c r="O125" s="15">
        <f>SUBTOTAL(109,tblPersonal[YEAR])</f>
        <v>0</v>
      </c>
      <c r="P125" s="17"/>
      <c r="Q125" s="3"/>
    </row>
    <row r="126" spans="1:17" s="5" customFormat="1" ht="22.15" customHeight="1" x14ac:dyDescent="0.2">
      <c r="A126" s="13"/>
      <c r="B126" s="3"/>
      <c r="C126" s="4"/>
      <c r="D126" s="4"/>
      <c r="E126" s="4"/>
      <c r="F126" s="4"/>
      <c r="G126" s="4"/>
      <c r="H126" s="4"/>
      <c r="I126" s="4"/>
      <c r="J126" s="4"/>
      <c r="K126" s="4"/>
      <c r="L126" s="4"/>
      <c r="M126" s="4"/>
      <c r="N126" s="4"/>
      <c r="O126" s="4"/>
      <c r="P126" s="3"/>
      <c r="Q126" s="3"/>
    </row>
    <row r="127" spans="1:17" s="5" customFormat="1" ht="22.15" customHeight="1" x14ac:dyDescent="0.2">
      <c r="A127" s="13"/>
      <c r="B127" s="22" t="s">
        <v>50</v>
      </c>
      <c r="C127" s="36" t="s">
        <v>3</v>
      </c>
      <c r="D127" s="36" t="s">
        <v>4</v>
      </c>
      <c r="E127" s="36" t="s">
        <v>5</v>
      </c>
      <c r="F127" s="36" t="s">
        <v>6</v>
      </c>
      <c r="G127" s="36" t="s">
        <v>7</v>
      </c>
      <c r="H127" s="36" t="s">
        <v>8</v>
      </c>
      <c r="I127" s="36" t="s">
        <v>9</v>
      </c>
      <c r="J127" s="36" t="s">
        <v>10</v>
      </c>
      <c r="K127" s="36" t="s">
        <v>11</v>
      </c>
      <c r="L127" s="36" t="s">
        <v>12</v>
      </c>
      <c r="M127" s="36" t="s">
        <v>13</v>
      </c>
      <c r="N127" s="36" t="s">
        <v>14</v>
      </c>
      <c r="O127" s="36" t="s">
        <v>15</v>
      </c>
      <c r="P127" s="37" t="s">
        <v>0</v>
      </c>
      <c r="Q127" s="3"/>
    </row>
    <row r="128" spans="1:17" s="5" customFormat="1" ht="22.15" customHeight="1" x14ac:dyDescent="0.2">
      <c r="A128" s="13"/>
      <c r="B128" s="14"/>
      <c r="C128" s="15"/>
      <c r="D128" s="15"/>
      <c r="E128" s="15"/>
      <c r="F128" s="15"/>
      <c r="G128" s="15"/>
      <c r="H128" s="15"/>
      <c r="I128" s="15"/>
      <c r="J128" s="15"/>
      <c r="K128" s="15"/>
      <c r="L128" s="15"/>
      <c r="M128" s="15"/>
      <c r="N128" s="15"/>
      <c r="O128" s="15">
        <f>SUM(tblFinancial[[#This Row],[JAN]:[DEC]])</f>
        <v>0</v>
      </c>
      <c r="P128" s="16"/>
      <c r="Q128" s="3"/>
    </row>
    <row r="129" spans="1:17" s="5" customFormat="1" ht="22.15" customHeight="1" x14ac:dyDescent="0.2">
      <c r="A129" s="13"/>
      <c r="B129" s="14"/>
      <c r="C129" s="15"/>
      <c r="D129" s="15"/>
      <c r="E129" s="15"/>
      <c r="F129" s="15"/>
      <c r="G129" s="15"/>
      <c r="H129" s="15"/>
      <c r="I129" s="15"/>
      <c r="J129" s="15"/>
      <c r="K129" s="15"/>
      <c r="L129" s="15"/>
      <c r="M129" s="15"/>
      <c r="N129" s="15"/>
      <c r="O129" s="15">
        <f>SUM(tblFinancial[[#This Row],[JAN]:[DEC]])</f>
        <v>0</v>
      </c>
      <c r="P129" s="16"/>
      <c r="Q129" s="3"/>
    </row>
    <row r="130" spans="1:17" ht="22.15" customHeight="1" x14ac:dyDescent="0.2">
      <c r="B130" s="14"/>
      <c r="C130" s="15"/>
      <c r="D130" s="15"/>
      <c r="E130" s="15"/>
      <c r="F130" s="15"/>
      <c r="G130" s="15"/>
      <c r="H130" s="15"/>
      <c r="I130" s="15"/>
      <c r="J130" s="15"/>
      <c r="K130" s="15"/>
      <c r="L130" s="15"/>
      <c r="M130" s="15"/>
      <c r="N130" s="15"/>
      <c r="O130" s="15">
        <f>SUM(tblFinancial[[#This Row],[JAN]:[DEC]])</f>
        <v>0</v>
      </c>
      <c r="P130" s="16"/>
    </row>
    <row r="131" spans="1:17" s="25" customFormat="1" ht="22.15" customHeight="1" x14ac:dyDescent="0.45">
      <c r="A131" s="21"/>
      <c r="B131" s="14"/>
      <c r="C131" s="15"/>
      <c r="D131" s="15"/>
      <c r="E131" s="15"/>
      <c r="F131" s="15"/>
      <c r="G131" s="15"/>
      <c r="H131" s="15"/>
      <c r="I131" s="15"/>
      <c r="J131" s="15"/>
      <c r="K131" s="15"/>
      <c r="L131" s="15"/>
      <c r="M131" s="15"/>
      <c r="N131" s="15"/>
      <c r="O131" s="15">
        <f>SUM(tblFinancial[[#This Row],[JAN]:[DEC]])</f>
        <v>0</v>
      </c>
      <c r="P131" s="16"/>
      <c r="Q131" s="23"/>
    </row>
    <row r="132" spans="1:17" s="5" customFormat="1" ht="21.95" customHeight="1" x14ac:dyDescent="0.2">
      <c r="A132" s="13"/>
      <c r="B132" s="14"/>
      <c r="C132" s="15"/>
      <c r="D132" s="15"/>
      <c r="E132" s="15"/>
      <c r="F132" s="15"/>
      <c r="G132" s="15"/>
      <c r="H132" s="15"/>
      <c r="I132" s="15"/>
      <c r="J132" s="15"/>
      <c r="K132" s="15"/>
      <c r="L132" s="15"/>
      <c r="M132" s="15"/>
      <c r="N132" s="15"/>
      <c r="O132" s="15">
        <f>SUM(tblFinancial[[#This Row],[JAN]:[DEC]])</f>
        <v>0</v>
      </c>
      <c r="P132" s="16"/>
      <c r="Q132" s="3"/>
    </row>
    <row r="133" spans="1:17" s="5" customFormat="1" ht="30" customHeight="1" x14ac:dyDescent="0.2">
      <c r="A133" s="13"/>
      <c r="B133" s="14" t="s">
        <v>25</v>
      </c>
      <c r="C133" s="15">
        <f>SUBTOTAL(109,tblFinancial[JAN])</f>
        <v>0</v>
      </c>
      <c r="D133" s="15">
        <f>SUBTOTAL(109,tblFinancial[FEB])</f>
        <v>0</v>
      </c>
      <c r="E133" s="15">
        <f>SUBTOTAL(109,tblFinancial[MAR])</f>
        <v>0</v>
      </c>
      <c r="F133" s="15">
        <f>SUBTOTAL(109,tblFinancial[APR])</f>
        <v>0</v>
      </c>
      <c r="G133" s="15">
        <f>SUBTOTAL(109,tblFinancial[MAY])</f>
        <v>0</v>
      </c>
      <c r="H133" s="15">
        <f>SUBTOTAL(109,tblFinancial[JUN])</f>
        <v>0</v>
      </c>
      <c r="I133" s="15">
        <f>SUBTOTAL(109,tblFinancial[JUL])</f>
        <v>0</v>
      </c>
      <c r="J133" s="15">
        <f>SUBTOTAL(109,tblFinancial[AUG])</f>
        <v>0</v>
      </c>
      <c r="K133" s="15">
        <f>SUBTOTAL(109,tblFinancial[SEP])</f>
        <v>0</v>
      </c>
      <c r="L133" s="15">
        <f>SUBTOTAL(109,tblFinancial[OCT])</f>
        <v>0</v>
      </c>
      <c r="M133" s="15">
        <f>SUBTOTAL(109,tblFinancial[NOV])</f>
        <v>0</v>
      </c>
      <c r="N133" s="15">
        <f>SUBTOTAL(109,tblFinancial[DEC])</f>
        <v>0</v>
      </c>
      <c r="O133" s="15">
        <f>SUBTOTAL(109,tblFinancial[YEAR])</f>
        <v>0</v>
      </c>
      <c r="P133" s="17"/>
      <c r="Q133" s="3"/>
    </row>
    <row r="134" spans="1:17" s="5" customFormat="1" ht="22.15" customHeight="1" x14ac:dyDescent="0.2">
      <c r="A134" s="13"/>
      <c r="B134" s="3"/>
      <c r="C134" s="4"/>
      <c r="D134" s="4"/>
      <c r="E134" s="4"/>
      <c r="F134" s="4"/>
      <c r="G134" s="4"/>
      <c r="H134" s="4"/>
      <c r="I134" s="4"/>
      <c r="J134" s="4"/>
      <c r="K134" s="4"/>
      <c r="L134" s="4"/>
      <c r="M134" s="4"/>
      <c r="N134" s="4"/>
      <c r="O134" s="4"/>
      <c r="P134" s="3"/>
      <c r="Q134" s="3"/>
    </row>
    <row r="135" spans="1:17" s="5" customFormat="1" ht="22.15" customHeight="1" x14ac:dyDescent="0.2">
      <c r="A135" s="13"/>
      <c r="B135" s="22" t="s">
        <v>51</v>
      </c>
      <c r="C135" s="36" t="s">
        <v>3</v>
      </c>
      <c r="D135" s="36" t="s">
        <v>4</v>
      </c>
      <c r="E135" s="36" t="s">
        <v>5</v>
      </c>
      <c r="F135" s="36" t="s">
        <v>6</v>
      </c>
      <c r="G135" s="36" t="s">
        <v>7</v>
      </c>
      <c r="H135" s="36" t="s">
        <v>8</v>
      </c>
      <c r="I135" s="36" t="s">
        <v>9</v>
      </c>
      <c r="J135" s="36" t="s">
        <v>10</v>
      </c>
      <c r="K135" s="36" t="s">
        <v>11</v>
      </c>
      <c r="L135" s="36" t="s">
        <v>12</v>
      </c>
      <c r="M135" s="36" t="s">
        <v>13</v>
      </c>
      <c r="N135" s="36" t="s">
        <v>14</v>
      </c>
      <c r="O135" s="36" t="s">
        <v>15</v>
      </c>
      <c r="P135" s="37" t="s">
        <v>0</v>
      </c>
      <c r="Q135" s="3"/>
    </row>
    <row r="136" spans="1:17" s="5" customFormat="1" ht="22.15" customHeight="1" x14ac:dyDescent="0.2">
      <c r="A136" s="13"/>
      <c r="B136" s="53" t="s">
        <v>208</v>
      </c>
      <c r="C136" s="41"/>
      <c r="D136" s="42"/>
      <c r="E136" s="41"/>
      <c r="F136" s="42"/>
      <c r="G136" s="41"/>
      <c r="H136" s="42"/>
      <c r="I136" s="41"/>
      <c r="J136" s="42"/>
      <c r="K136" s="41"/>
      <c r="L136" s="42"/>
      <c r="M136" s="41">
        <v>1370</v>
      </c>
      <c r="N136" s="15"/>
      <c r="O136" s="15">
        <f>SUM(tblMisc[[#This Row],[JAN]:[DEC]])</f>
        <v>1370</v>
      </c>
      <c r="P136" s="16"/>
      <c r="Q136" s="3"/>
    </row>
    <row r="137" spans="1:17" s="5" customFormat="1" ht="22.15" customHeight="1" x14ac:dyDescent="0.2">
      <c r="A137" s="13"/>
      <c r="B137" s="127" t="s">
        <v>29</v>
      </c>
      <c r="C137" s="15"/>
      <c r="D137" s="15"/>
      <c r="E137" s="15"/>
      <c r="F137" s="15"/>
      <c r="G137" s="15"/>
      <c r="H137" s="15"/>
      <c r="I137" s="15"/>
      <c r="J137" s="15"/>
      <c r="K137" s="15"/>
      <c r="L137" s="15"/>
      <c r="M137" s="15"/>
      <c r="N137" s="15"/>
      <c r="O137" s="15">
        <f>SUM(tblMisc[[#This Row],[JAN]:[DEC]])</f>
        <v>0</v>
      </c>
      <c r="P137" s="16"/>
      <c r="Q137" s="3"/>
    </row>
    <row r="138" spans="1:17" ht="22.15" customHeight="1" x14ac:dyDescent="0.2">
      <c r="B138" s="127" t="s">
        <v>29</v>
      </c>
      <c r="C138" s="15"/>
      <c r="D138" s="15"/>
      <c r="E138" s="15"/>
      <c r="F138" s="15"/>
      <c r="G138" s="15"/>
      <c r="H138" s="15"/>
      <c r="I138" s="15"/>
      <c r="J138" s="15"/>
      <c r="K138" s="15"/>
      <c r="L138" s="15"/>
      <c r="M138" s="15"/>
      <c r="N138" s="15"/>
      <c r="O138" s="15">
        <f>SUM(tblMisc[[#This Row],[JAN]:[DEC]])</f>
        <v>0</v>
      </c>
      <c r="P138" s="16"/>
    </row>
    <row r="139" spans="1:17" s="26" customFormat="1" ht="22.15" customHeight="1" x14ac:dyDescent="0.45">
      <c r="A139" s="19"/>
      <c r="B139" s="18" t="s">
        <v>52</v>
      </c>
      <c r="C139" s="15"/>
      <c r="D139" s="15"/>
      <c r="E139" s="15"/>
      <c r="F139" s="15"/>
      <c r="G139" s="15"/>
      <c r="H139" s="15"/>
      <c r="I139" s="15"/>
      <c r="J139" s="15"/>
      <c r="K139" s="15"/>
      <c r="L139" s="15"/>
      <c r="M139" s="15"/>
      <c r="N139" s="15"/>
      <c r="O139" s="15">
        <f>SUM(tblMisc[[#This Row],[JAN]:[DEC]])</f>
        <v>0</v>
      </c>
      <c r="P139" s="16"/>
      <c r="Q139" s="20"/>
    </row>
    <row r="140" spans="1:17" ht="21.95" customHeight="1" x14ac:dyDescent="0.2">
      <c r="B140" s="18" t="s">
        <v>52</v>
      </c>
      <c r="C140" s="15"/>
      <c r="D140" s="15"/>
      <c r="E140" s="15"/>
      <c r="F140" s="15"/>
      <c r="G140" s="15"/>
      <c r="H140" s="15"/>
      <c r="I140" s="15"/>
      <c r="J140" s="15"/>
      <c r="K140" s="15"/>
      <c r="L140" s="15"/>
      <c r="M140" s="15"/>
      <c r="N140" s="15"/>
      <c r="O140" s="15">
        <f>SUM(tblMisc[[#This Row],[JAN]:[DEC]])</f>
        <v>0</v>
      </c>
      <c r="P140" s="16"/>
    </row>
    <row r="141" spans="1:17" ht="30" customHeight="1" x14ac:dyDescent="0.2">
      <c r="B141" s="14" t="s">
        <v>25</v>
      </c>
      <c r="C141" s="15">
        <f>SUBTOTAL(109,tblMisc[JAN])</f>
        <v>0</v>
      </c>
      <c r="D141" s="15">
        <f>SUBTOTAL(109,tblMisc[FEB])</f>
        <v>0</v>
      </c>
      <c r="E141" s="15">
        <f>SUBTOTAL(109,tblMisc[MAR])</f>
        <v>0</v>
      </c>
      <c r="F141" s="15">
        <f>SUBTOTAL(109,tblMisc[APR])</f>
        <v>0</v>
      </c>
      <c r="G141" s="15">
        <f>SUBTOTAL(109,tblMisc[MAY])</f>
        <v>0</v>
      </c>
      <c r="H141" s="15">
        <f>SUBTOTAL(109,tblMisc[JUN])</f>
        <v>0</v>
      </c>
      <c r="I141" s="15">
        <f>SUBTOTAL(109,tblMisc[JUL])</f>
        <v>0</v>
      </c>
      <c r="J141" s="15">
        <f>SUBTOTAL(109,tblMisc[AUG])</f>
        <v>0</v>
      </c>
      <c r="K141" s="15">
        <f>SUBTOTAL(109,tblMisc[SEP])</f>
        <v>0</v>
      </c>
      <c r="L141" s="15">
        <f>SUBTOTAL(109,tblMisc[OCT])</f>
        <v>0</v>
      </c>
      <c r="M141" s="15">
        <f>SUBTOTAL(109,tblMisc[NOV])</f>
        <v>1370</v>
      </c>
      <c r="N141" s="15">
        <f>SUBTOTAL(109,tblMisc[DEC])</f>
        <v>0</v>
      </c>
      <c r="O141" s="15">
        <f>SUBTOTAL(109,tblMisc[YEAR])</f>
        <v>1370</v>
      </c>
      <c r="P141" s="17"/>
    </row>
    <row r="142" spans="1:17" ht="21.95" customHeight="1" x14ac:dyDescent="0.2">
      <c r="B142" s="3"/>
      <c r="C142" s="4"/>
      <c r="D142" s="4"/>
      <c r="E142" s="4"/>
      <c r="F142" s="4"/>
      <c r="G142" s="4"/>
      <c r="H142" s="4"/>
      <c r="I142" s="4"/>
      <c r="J142" s="4"/>
      <c r="K142" s="4"/>
      <c r="L142" s="4"/>
      <c r="M142" s="4"/>
      <c r="N142" s="4"/>
      <c r="O142" s="4"/>
      <c r="P142" s="3"/>
    </row>
    <row r="143" spans="1:17" ht="21.95" customHeight="1" x14ac:dyDescent="0.2">
      <c r="B143" s="27" t="s">
        <v>53</v>
      </c>
      <c r="C143" s="28" t="s">
        <v>3</v>
      </c>
      <c r="D143" s="29" t="s">
        <v>4</v>
      </c>
      <c r="E143" s="28" t="s">
        <v>5</v>
      </c>
      <c r="F143" s="29" t="s">
        <v>6</v>
      </c>
      <c r="G143" s="28" t="s">
        <v>7</v>
      </c>
      <c r="H143" s="29" t="s">
        <v>8</v>
      </c>
      <c r="I143" s="28" t="s">
        <v>9</v>
      </c>
      <c r="J143" s="29" t="s">
        <v>10</v>
      </c>
      <c r="K143" s="28" t="s">
        <v>11</v>
      </c>
      <c r="L143" s="29" t="s">
        <v>12</v>
      </c>
      <c r="M143" s="28" t="s">
        <v>13</v>
      </c>
      <c r="N143" s="29" t="s">
        <v>14</v>
      </c>
      <c r="O143" s="28" t="s">
        <v>15</v>
      </c>
      <c r="P143" s="27" t="s">
        <v>0</v>
      </c>
    </row>
    <row r="144" spans="1:17" ht="21.95" customHeight="1" x14ac:dyDescent="0.2">
      <c r="B144" s="6" t="s">
        <v>54</v>
      </c>
      <c r="C144" s="7">
        <f>SUM(tblMisc[[#Totals],[JAN]],tblFinancial[[#Totals],[JAN]],tblPersonal[[#Totals],[JAN]],tblDues[[#Totals],[JAN]],tblRecreation[[#Totals],[JAN]],tblVacations[[#Totals],[JAN]],tblHealth[[#Totals],[JAN]],tblEntertainment[[#Totals],[JAN]],tblTransportation[[#Totals],[JAN]],tblDaily[[#Totals],[JAN]],tblHome[[#Totals],[JAN]])</f>
        <v>0</v>
      </c>
      <c r="D144" s="8">
        <f>SUM(tblMisc[[#Totals],[FEB]],tblFinancial[[#Totals],[FEB]],tblPersonal[[#Totals],[FEB]],tblDues[[#Totals],[FEB]],tblRecreation[[#Totals],[FEB]],tblVacations[[#Totals],[FEB]],tblHealth[[#Totals],[FEB]],tblEntertainment[[#Totals],[FEB]],tblTransportation[[#Totals],[FEB]],tblDaily[[#Totals],[FEB]],tblHome[[#Totals],[FEB]])</f>
        <v>0</v>
      </c>
      <c r="E144" s="7">
        <f>SUM(tblMisc[[#Totals],[MAR]],tblFinancial[[#Totals],[MAR]],tblPersonal[[#Totals],[MAR]],tblDues[[#Totals],[MAR]],tblRecreation[[#Totals],[MAR]],tblVacations[[#Totals],[MAR]],tblHealth[[#Totals],[MAR]],tblEntertainment[[#Totals],[MAR]],tblTransportation[[#Totals],[MAR]],tblDaily[[#Totals],[MAR]],tblHome[[#Totals],[MAR]])</f>
        <v>0</v>
      </c>
      <c r="F144" s="8">
        <f>SUM(tblMisc[[#Totals],[APR]],tblFinancial[[#Totals],[APR]],tblPersonal[[#Totals],[APR]],tblDues[[#Totals],[APR]],tblRecreation[[#Totals],[APR]],tblVacations[[#Totals],[APR]],tblHealth[[#Totals],[APR]],tblEntertainment[[#Totals],[APR]],tblTransportation[[#Totals],[APR]],tblDaily[[#Totals],[APR]],tblHome[[#Totals],[APR]])</f>
        <v>0</v>
      </c>
      <c r="G144" s="7">
        <f>SUM(tblMisc[[#Totals],[MAY]],tblFinancial[[#Totals],[MAY]],tblPersonal[[#Totals],[MAY]],tblDues[[#Totals],[MAY]],tblRecreation[[#Totals],[MAY]],tblVacations[[#Totals],[MAY]],tblHealth[[#Totals],[MAY]],tblEntertainment[[#Totals],[MAY]],tblTransportation[[#Totals],[MAY]],tblDaily[[#Totals],[MAY]],tblHome[[#Totals],[MAY]])</f>
        <v>0</v>
      </c>
      <c r="H144" s="8">
        <f>SUM(tblMisc[[#Totals],[JUN]],tblFinancial[[#Totals],[JUN]],tblPersonal[[#Totals],[JUN]],tblDues[[#Totals],[JUN]],tblRecreation[[#Totals],[JUN]],tblVacations[[#Totals],[JUN]],tblHealth[[#Totals],[JUN]],tblEntertainment[[#Totals],[JUN]],tblTransportation[[#Totals],[JUN]],tblDaily[[#Totals],[JUN]],tblHome[[#Totals],[JUN]])</f>
        <v>0</v>
      </c>
      <c r="I144" s="7">
        <f>SUM(tblMisc[[#Totals],[JUL]],tblFinancial[[#Totals],[JUL]],tblPersonal[[#Totals],[JUL]],tblDues[[#Totals],[JUL]],tblRecreation[[#Totals],[JUL]],tblVacations[[#Totals],[JUL]],tblHealth[[#Totals],[JUL]],tblEntertainment[[#Totals],[JUL]],tblTransportation[[#Totals],[JUL]],tblDaily[[#Totals],[JUL]],tblHome[[#Totals],[JUL]])</f>
        <v>0</v>
      </c>
      <c r="J144" s="8">
        <f>SUM(tblMisc[[#Totals],[AUG]],tblFinancial[[#Totals],[AUG]],tblPersonal[[#Totals],[AUG]],tblDues[[#Totals],[AUG]],tblRecreation[[#Totals],[AUG]],tblVacations[[#Totals],[AUG]],tblHealth[[#Totals],[AUG]],tblEntertainment[[#Totals],[AUG]],tblTransportation[[#Totals],[AUG]],tblDaily[[#Totals],[AUG]],tblHome[[#Totals],[AUG]])</f>
        <v>0</v>
      </c>
      <c r="K144" s="7">
        <f>SUM(tblMisc[[#Totals],[SEP]],tblFinancial[[#Totals],[SEP]],tblPersonal[[#Totals],[SEP]],tblDues[[#Totals],[SEP]],tblRecreation[[#Totals],[SEP]],tblVacations[[#Totals],[SEP]],tblHealth[[#Totals],[SEP]],tblEntertainment[[#Totals],[SEP]],tblTransportation[[#Totals],[SEP]],tblDaily[[#Totals],[SEP]],tblHome[[#Totals],[SEP]])</f>
        <v>0</v>
      </c>
      <c r="L144" s="8">
        <f>SUM(tblMisc[[#Totals],[OCT]],tblFinancial[[#Totals],[OCT]],tblPersonal[[#Totals],[OCT]],tblDues[[#Totals],[OCT]],tblRecreation[[#Totals],[OCT]],tblVacations[[#Totals],[OCT]],tblHealth[[#Totals],[OCT]],tblEntertainment[[#Totals],[OCT]],tblTransportation[[#Totals],[OCT]],tblDaily[[#Totals],[OCT]],tblHome[[#Totals],[OCT]])</f>
        <v>0</v>
      </c>
      <c r="M144" s="7">
        <f>SUM(tblMisc[[#Totals],[NOV]],tblFinancial[[#Totals],[NOV]],tblPersonal[[#Totals],[NOV]],tblDues[[#Totals],[NOV]],tblRecreation[[#Totals],[NOV]],tblVacations[[#Totals],[NOV]],tblHealth[[#Totals],[NOV]],tblEntertainment[[#Totals],[NOV]],tblTransportation[[#Totals],[NOV]],tblDaily[[#Totals],[NOV]],tblHome[[#Totals],[NOV]])</f>
        <v>1370</v>
      </c>
      <c r="N144" s="8">
        <f>SUM(tblMisc[[#Totals],[DEC]],tblFinancial[[#Totals],[DEC]],tblPersonal[[#Totals],[DEC]],tblDues[[#Totals],[DEC]],tblRecreation[[#Totals],[DEC]],tblVacations[[#Totals],[DEC]],tblHealth[[#Totals],[DEC]],tblEntertainment[[#Totals],[DEC]],tblTransportation[[#Totals],[DEC]],tblDaily[[#Totals],[DEC]],tblHome[[#Totals],[DEC]])</f>
        <v>0</v>
      </c>
      <c r="O144" s="7">
        <f>SUM(tblMisc[[#Totals],[YEAR]],tblFinancial[[#Totals],[YEAR]],tblPersonal[[#Totals],[YEAR]],tblDues[[#Totals],[YEAR]],tblRecreation[[#Totals],[YEAR]],tblVacations[[#Totals],[YEAR]],tblHealth[[#Totals],[YEAR]],tblEntertainment[[#Totals],[YEAR]],tblTransportation[[#Totals],[YEAR]],tblDaily[[#Totals],[YEAR]],tblHome[[#Totals],[YEAR]])</f>
        <v>1370</v>
      </c>
      <c r="P144" s="9"/>
    </row>
    <row r="145" spans="1:16" ht="21.95" customHeight="1" x14ac:dyDescent="0.2">
      <c r="A145" s="11"/>
      <c r="B145" s="6" t="s">
        <v>55</v>
      </c>
      <c r="C145" s="7">
        <f>tblIncome[[#Totals],[JAN]]-C144</f>
        <v>0</v>
      </c>
      <c r="D145" s="8">
        <f>tblIncome[[#Totals],[FEB]]-D144</f>
        <v>0</v>
      </c>
      <c r="E145" s="7">
        <f>tblIncome[[#Totals],[MAR]]-E144</f>
        <v>0</v>
      </c>
      <c r="F145" s="8">
        <f>tblIncome[[#Totals],[APR]]-F144</f>
        <v>0</v>
      </c>
      <c r="G145" s="7">
        <f>tblIncome[[#Totals],[MAY]]-G144</f>
        <v>0</v>
      </c>
      <c r="H145" s="8">
        <f>tblIncome[[#Totals],[JUN]]-H144</f>
        <v>0</v>
      </c>
      <c r="I145" s="7">
        <f>tblIncome[[#Totals],[JUL]]-I144</f>
        <v>0</v>
      </c>
      <c r="J145" s="8">
        <f>tblIncome[[#Totals],[AUG]]-J144</f>
        <v>0</v>
      </c>
      <c r="K145" s="7">
        <f>tblIncome[[#Totals],[SEP]]-K144</f>
        <v>0</v>
      </c>
      <c r="L145" s="8">
        <f>tblIncome[[#Totals],[OCT]]-L144</f>
        <v>0</v>
      </c>
      <c r="M145" s="7">
        <f>tblIncome[[#Totals],[NOV]]-M144</f>
        <v>-1370</v>
      </c>
      <c r="N145" s="8">
        <f>tblIncome[[#Totals],[DEC]]-N144</f>
        <v>0</v>
      </c>
      <c r="O145" s="7">
        <f>tblIncome[[#Totals],[YEAR]]-O144</f>
        <v>-1370</v>
      </c>
      <c r="P145" s="9"/>
    </row>
    <row r="146" spans="1:16" ht="21.95" customHeight="1" x14ac:dyDescent="0.2">
      <c r="A146" s="11"/>
    </row>
    <row r="147" spans="1:16" ht="21.95" customHeight="1" x14ac:dyDescent="0.2">
      <c r="A147" s="11"/>
    </row>
    <row r="148" spans="1:16" ht="39.75" customHeight="1" x14ac:dyDescent="0.2">
      <c r="B148" s="118"/>
    </row>
  </sheetData>
  <mergeCells count="1">
    <mergeCell ref="B2:P2"/>
  </mergeCells>
  <conditionalFormatting sqref="C145:O145">
    <cfRule type="cellIs" dxfId="166" priority="1" operator="lessThan">
      <formula>0</formula>
    </cfRule>
  </conditionalFormatting>
  <dataValidations count="1">
    <dataValidation allowBlank="1" showInputMessage="1" showErrorMessage="1" prompt="Manage your personal budget using this spreadsheet. Enter your income and expenses details in the tables below. Totals for each table are auto calculated. Summary for income vs total expenses starts at row 105._x000a_" sqref="A1" xr:uid="{F32C70B7-BEBC-4556-9D21-8DD3A3533DF2}"/>
  </dataValidations>
  <printOptions horizontalCentered="1"/>
  <pageMargins left="0.25" right="0.25" top="0.75" bottom="0.75" header="0.3" footer="0.3"/>
  <pageSetup fitToHeight="0" orientation="landscape" r:id="rId1"/>
  <headerFooter differentFirst="1"/>
  <ignoredErrors>
    <ignoredError sqref="C144:O144" calculatedColumn="1"/>
  </ignoredErrors>
  <tableParts count="13">
    <tablePart r:id="rId2"/>
    <tablePart r:id="rId3"/>
    <tablePart r:id="rId4"/>
    <tablePart r:id="rId5"/>
    <tablePart r:id="rId6"/>
    <tablePart r:id="rId7"/>
    <tablePart r:id="rId8"/>
    <tablePart r:id="rId9"/>
    <tablePart r:id="rId10"/>
    <tablePart r:id="rId11"/>
    <tablePart r:id="rId12"/>
    <tablePart r:id="rId13"/>
    <tablePart r:id="rId14"/>
  </tableParts>
  <extLst>
    <ext xmlns:x14="http://schemas.microsoft.com/office/spreadsheetml/2009/9/main" uri="{05C60535-1F16-4fd2-B633-F4F36F0B64E0}">
      <x14:sparklineGroups xmlns:xm="http://schemas.microsoft.com/office/excel/2006/main">
        <x14:sparklineGroup displayEmptyCellsAs="gap" high="1" low="1" xr2:uid="{00000000-0003-0000-0000-000000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'2024 BUDGET'!C51:N51</xm:f>
              <xm:sqref>P51</xm:sqref>
            </x14:sparkline>
            <x14:sparkline>
              <xm:f>'2024 BUDGET'!C52:N52</xm:f>
              <xm:sqref>P52</xm:sqref>
            </x14:sparkline>
            <x14:sparkline>
              <xm:f>'2024 BUDGET'!C53:N53</xm:f>
              <xm:sqref>P53</xm:sqref>
            </x14:sparkline>
            <x14:sparkline>
              <xm:f>'2024 BUDGET'!C54:N54</xm:f>
              <xm:sqref>P54</xm:sqref>
            </x14:sparkline>
            <x14:sparkline>
              <xm:f>'2024 BUDGET'!C55:N55</xm:f>
              <xm:sqref>P55</xm:sqref>
            </x14:sparkline>
            <x14:sparkline>
              <xm:f>'2024 BUDGET'!C56:N56</xm:f>
              <xm:sqref>P56</xm:sqref>
            </x14:sparkline>
          </x14:sparklines>
        </x14:sparklineGroup>
        <x14:sparklineGroup displayEmptyCellsAs="gap" high="1" low="1" xr2:uid="{00000000-0003-0000-0000-000002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'2024 BUDGET'!C59:N59</xm:f>
              <xm:sqref>P59</xm:sqref>
            </x14:sparkline>
            <x14:sparkline>
              <xm:f>'2024 BUDGET'!C60:N60</xm:f>
              <xm:sqref>P60</xm:sqref>
            </x14:sparkline>
            <x14:sparkline>
              <xm:f>'2024 BUDGET'!C61:N61</xm:f>
              <xm:sqref>P61</xm:sqref>
            </x14:sparkline>
            <x14:sparkline>
              <xm:f>'2024 BUDGET'!C62:N62</xm:f>
              <xm:sqref>P62</xm:sqref>
            </x14:sparkline>
            <x14:sparkline>
              <xm:f>'2024 BUDGET'!C63:N63</xm:f>
              <xm:sqref>P63</xm:sqref>
            </x14:sparkline>
            <x14:sparkline>
              <xm:f>'2024 BUDGET'!C64:N64</xm:f>
              <xm:sqref>P64</xm:sqref>
            </x14:sparkline>
            <x14:sparkline>
              <xm:f>'2024 BUDGET'!C65:N65</xm:f>
              <xm:sqref>P65</xm:sqref>
            </x14:sparkline>
            <x14:sparkline>
              <xm:f>'2024 BUDGET'!C66:N66</xm:f>
              <xm:sqref>P66</xm:sqref>
            </x14:sparkline>
            <x14:sparkline>
              <xm:f>'2024 BUDGET'!C67:N67</xm:f>
              <xm:sqref>P67</xm:sqref>
            </x14:sparkline>
          </x14:sparklines>
        </x14:sparklineGroup>
        <x14:sparklineGroup displayEmptyCellsAs="gap" high="1" low="1" xr2:uid="{00000000-0003-0000-0000-000003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'2024 BUDGET'!C70:N70</xm:f>
              <xm:sqref>P70</xm:sqref>
            </x14:sparkline>
            <x14:sparkline>
              <xm:f>'2024 BUDGET'!C71:N71</xm:f>
              <xm:sqref>P71</xm:sqref>
            </x14:sparkline>
            <x14:sparkline>
              <xm:f>'2024 BUDGET'!C72:N72</xm:f>
              <xm:sqref>P72</xm:sqref>
            </x14:sparkline>
            <x14:sparkline>
              <xm:f>'2024 BUDGET'!C73:N73</xm:f>
              <xm:sqref>P73</xm:sqref>
            </x14:sparkline>
          </x14:sparklines>
        </x14:sparklineGroup>
        <x14:sparklineGroup displayEmptyCellsAs="gap" high="1" low="1" xr2:uid="{00000000-0003-0000-0000-000004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'2024 BUDGET'!C76:N76</xm:f>
              <xm:sqref>P76</xm:sqref>
            </x14:sparkline>
            <x14:sparkline>
              <xm:f>'2024 BUDGET'!C77:N77</xm:f>
              <xm:sqref>P77</xm:sqref>
            </x14:sparkline>
            <x14:sparkline>
              <xm:f>'2024 BUDGET'!C78:N78</xm:f>
              <xm:sqref>P78</xm:sqref>
            </x14:sparkline>
            <x14:sparkline>
              <xm:f>'2024 BUDGET'!C79:N79</xm:f>
              <xm:sqref>P79</xm:sqref>
            </x14:sparkline>
            <x14:sparkline>
              <xm:f>'2024 BUDGET'!C80:N80</xm:f>
              <xm:sqref>P80</xm:sqref>
            </x14:sparkline>
            <x14:sparkline>
              <xm:f>'2024 BUDGET'!C81:N81</xm:f>
              <xm:sqref>P81</xm:sqref>
            </x14:sparkline>
            <x14:sparkline>
              <xm:f>'2024 BUDGET'!C82:N82</xm:f>
              <xm:sqref>P82</xm:sqref>
            </x14:sparkline>
          </x14:sparklines>
        </x14:sparklineGroup>
        <x14:sparklineGroup displayEmptyCellsAs="gap" high="1" low="1" xr2:uid="{00000000-0003-0000-0000-000005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'2024 BUDGET'!C85:N85</xm:f>
              <xm:sqref>P85</xm:sqref>
            </x14:sparkline>
            <x14:sparkline>
              <xm:f>'2024 BUDGET'!C86:N86</xm:f>
              <xm:sqref>P86</xm:sqref>
            </x14:sparkline>
            <x14:sparkline>
              <xm:f>'2024 BUDGET'!C87:N87</xm:f>
              <xm:sqref>P87</xm:sqref>
            </x14:sparkline>
            <x14:sparkline>
              <xm:f>'2024 BUDGET'!C88:N88</xm:f>
              <xm:sqref>P88</xm:sqref>
            </x14:sparkline>
            <x14:sparkline>
              <xm:f>'2024 BUDGET'!C89:N89</xm:f>
              <xm:sqref>P89</xm:sqref>
            </x14:sparkline>
            <x14:sparkline>
              <xm:f>'2024 BUDGET'!C90:N90</xm:f>
              <xm:sqref>P90</xm:sqref>
            </x14:sparkline>
          </x14:sparklines>
        </x14:sparklineGroup>
        <x14:sparklineGroup displayEmptyCellsAs="gap" high="1" low="1" xr2:uid="{00000000-0003-0000-0000-000006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'2024 BUDGET'!C93:N93</xm:f>
              <xm:sqref>P93</xm:sqref>
            </x14:sparkline>
            <x14:sparkline>
              <xm:f>'2024 BUDGET'!C94:N94</xm:f>
              <xm:sqref>P94</xm:sqref>
            </x14:sparkline>
            <x14:sparkline>
              <xm:f>'2024 BUDGET'!C95:N95</xm:f>
              <xm:sqref>P95</xm:sqref>
            </x14:sparkline>
            <x14:sparkline>
              <xm:f>'2024 BUDGET'!C96:N96</xm:f>
              <xm:sqref>P96</xm:sqref>
            </x14:sparkline>
            <x14:sparkline>
              <xm:f>'2024 BUDGET'!C97:N97</xm:f>
              <xm:sqref>P97</xm:sqref>
            </x14:sparkline>
            <x14:sparkline>
              <xm:f>'2024 BUDGET'!C98:N98</xm:f>
              <xm:sqref>P98</xm:sqref>
            </x14:sparkline>
            <x14:sparkline>
              <xm:f>'2024 BUDGET'!C99:N99</xm:f>
              <xm:sqref>P99</xm:sqref>
            </x14:sparkline>
          </x14:sparklines>
        </x14:sparklineGroup>
        <x14:sparklineGroup displayEmptyCellsAs="gap" high="1" low="1" xr2:uid="{00000000-0003-0000-0000-000007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'2024 BUDGET'!C102:N102</xm:f>
              <xm:sqref>P102</xm:sqref>
            </x14:sparkline>
            <x14:sparkline>
              <xm:f>'2024 BUDGET'!C103:N103</xm:f>
              <xm:sqref>P103</xm:sqref>
            </x14:sparkline>
            <x14:sparkline>
              <xm:f>'2024 BUDGET'!C104:N104</xm:f>
              <xm:sqref>P104</xm:sqref>
            </x14:sparkline>
            <x14:sparkline>
              <xm:f>'2024 BUDGET'!C105:N105</xm:f>
              <xm:sqref>P105</xm:sqref>
            </x14:sparkline>
            <x14:sparkline>
              <xm:f>'2024 BUDGET'!C106:N106</xm:f>
              <xm:sqref>P106</xm:sqref>
            </x14:sparkline>
            <x14:sparkline>
              <xm:f>'2024 BUDGET'!C107:N107</xm:f>
              <xm:sqref>P107</xm:sqref>
            </x14:sparkline>
            <x14:sparkline>
              <xm:f>'2024 BUDGET'!C108:N108</xm:f>
              <xm:sqref>P108</xm:sqref>
            </x14:sparkline>
            <x14:sparkline>
              <xm:f>'2024 BUDGET'!C109:N109</xm:f>
              <xm:sqref>P109</xm:sqref>
            </x14:sparkline>
            <x14:sparkline>
              <xm:f>'2024 BUDGET'!C110:N110</xm:f>
              <xm:sqref>P110</xm:sqref>
            </x14:sparkline>
            <x14:sparkline>
              <xm:f>'2024 BUDGET'!C111:N111</xm:f>
              <xm:sqref>P111</xm:sqref>
            </x14:sparkline>
          </x14:sparklines>
        </x14:sparklineGroup>
        <x14:sparklineGroup displayEmptyCellsAs="gap" high="1" low="1" xr2:uid="{00000000-0003-0000-0000-000008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'2024 BUDGET'!C114:N114</xm:f>
              <xm:sqref>P114</xm:sqref>
            </x14:sparkline>
            <x14:sparkline>
              <xm:f>'2024 BUDGET'!C115:N115</xm:f>
              <xm:sqref>P115</xm:sqref>
            </x14:sparkline>
            <x14:sparkline>
              <xm:f>'2024 BUDGET'!C116:N116</xm:f>
              <xm:sqref>P116</xm:sqref>
            </x14:sparkline>
            <x14:sparkline>
              <xm:f>'2024 BUDGET'!C117:N117</xm:f>
              <xm:sqref>P117</xm:sqref>
            </x14:sparkline>
          </x14:sparklines>
        </x14:sparklineGroup>
        <x14:sparklineGroup displayEmptyCellsAs="gap" high="1" low="1" xr2:uid="{00000000-0003-0000-0000-000009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'2024 BUDGET'!C120:N120</xm:f>
              <xm:sqref>P120</xm:sqref>
            </x14:sparkline>
            <x14:sparkline>
              <xm:f>'2024 BUDGET'!C121:N121</xm:f>
              <xm:sqref>P121</xm:sqref>
            </x14:sparkline>
            <x14:sparkline>
              <xm:f>'2024 BUDGET'!C122:N122</xm:f>
              <xm:sqref>P122</xm:sqref>
            </x14:sparkline>
            <x14:sparkline>
              <xm:f>'2024 BUDGET'!C123:N123</xm:f>
              <xm:sqref>P123</xm:sqref>
            </x14:sparkline>
            <x14:sparkline>
              <xm:f>'2024 BUDGET'!C124:N124</xm:f>
              <xm:sqref>P124</xm:sqref>
            </x14:sparkline>
            <x14:sparkline>
              <xm:f>'2024 BUDGET'!C125:N125</xm:f>
              <xm:sqref>P125</xm:sqref>
            </x14:sparkline>
          </x14:sparklines>
        </x14:sparklineGroup>
        <x14:sparklineGroup displayEmptyCellsAs="gap" high="1" low="1" xr2:uid="{00000000-0003-0000-0000-00000A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'2024 BUDGET'!C128:N128</xm:f>
              <xm:sqref>P128</xm:sqref>
            </x14:sparkline>
            <x14:sparkline>
              <xm:f>'2024 BUDGET'!C129:N129</xm:f>
              <xm:sqref>P129</xm:sqref>
            </x14:sparkline>
            <x14:sparkline>
              <xm:f>'2024 BUDGET'!C130:N130</xm:f>
              <xm:sqref>P130</xm:sqref>
            </x14:sparkline>
            <x14:sparkline>
              <xm:f>'2024 BUDGET'!C131:N131</xm:f>
              <xm:sqref>P131</xm:sqref>
            </x14:sparkline>
            <x14:sparkline>
              <xm:f>'2024 BUDGET'!C132:N132</xm:f>
              <xm:sqref>P132</xm:sqref>
            </x14:sparkline>
            <x14:sparkline>
              <xm:f>'2024 BUDGET'!C133:N133</xm:f>
              <xm:sqref>P133</xm:sqref>
            </x14:sparkline>
          </x14:sparklines>
        </x14:sparklineGroup>
        <x14:sparklineGroup displayEmptyCellsAs="gap" markers="1" high="1" low="1" xr2:uid="{00000000-0003-0000-0000-00000B000000}">
          <x14:colorSeries theme="0"/>
          <x14:colorNegative theme="6"/>
          <x14:colorAxis rgb="FF000000"/>
          <x14:colorMarkers theme="0"/>
          <x14:colorFirst theme="5" tint="0.39997558519241921"/>
          <x14:colorLast theme="5" tint="0.39997558519241921"/>
          <x14:colorHigh theme="5"/>
          <x14:colorLow theme="5"/>
          <x14:sparklines>
            <x14:sparkline>
              <xm:f>'2024 BUDGET'!C144:N144</xm:f>
              <xm:sqref>P144</xm:sqref>
            </x14:sparkline>
            <x14:sparkline>
              <xm:f>'2024 BUDGET'!C145:N145</xm:f>
              <xm:sqref>P145</xm:sqref>
            </x14:sparkline>
          </x14:sparklines>
        </x14:sparklineGroup>
        <x14:sparklineGroup displayEmptyCellsAs="gap" high="1" low="1" xr2:uid="{00000000-0003-0000-0000-00000D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'2024 BUDGET'!C136:N136</xm:f>
              <xm:sqref>P136</xm:sqref>
            </x14:sparkline>
            <x14:sparkline>
              <xm:f>'2024 BUDGET'!C137:N137</xm:f>
              <xm:sqref>P137</xm:sqref>
            </x14:sparkline>
            <x14:sparkline>
              <xm:f>'2024 BUDGET'!C138:N138</xm:f>
              <xm:sqref>P138</xm:sqref>
            </x14:sparkline>
            <x14:sparkline>
              <xm:f>'2024 BUDGET'!C139:N139</xm:f>
              <xm:sqref>P139</xm:sqref>
            </x14:sparkline>
            <x14:sparkline>
              <xm:f>'2024 BUDGET'!C140:N140</xm:f>
              <xm:sqref>P140</xm:sqref>
            </x14:sparkline>
            <x14:sparkline>
              <xm:f>'2024 BUDGET'!C141:N141</xm:f>
              <xm:sqref>P141</xm:sqref>
            </x14:sparkline>
          </x14:sparklines>
        </x14:sparklineGroup>
        <x14:sparklineGroup displayEmptyCellsAs="gap" high="1" low="1" xr2:uid="{00000000-0003-0000-0000-00000C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'2024 BUDGET'!C6:N6</xm:f>
              <xm:sqref>P6</xm:sqref>
            </x14:sparkline>
            <x14:sparkline>
              <xm:f>'2024 BUDGET'!C7:N7</xm:f>
              <xm:sqref>P7</xm:sqref>
            </x14:sparkline>
            <x14:sparkline>
              <xm:f>'2024 BUDGET'!C8:N8</xm:f>
              <xm:sqref>P8</xm:sqref>
            </x14:sparkline>
            <x14:sparkline>
              <xm:f>'2024 BUDGET'!C9:N9</xm:f>
              <xm:sqref>P9</xm:sqref>
            </x14:sparkline>
            <x14:sparkline>
              <xm:f>'2024 BUDGET'!C10:N10</xm:f>
              <xm:sqref>P10</xm:sqref>
            </x14:sparkline>
            <x14:sparkline>
              <xm:f>'2024 BUDGET'!C11:N11</xm:f>
              <xm:sqref>P11</xm:sqref>
            </x14:sparkline>
            <x14:sparkline>
              <xm:f>'2024 BUDGET'!C12:N12</xm:f>
              <xm:sqref>P12</xm:sqref>
            </x14:sparkline>
            <x14:sparkline>
              <xm:f>'2024 BUDGET'!C13:N13</xm:f>
              <xm:sqref>P13</xm:sqref>
            </x14:sparkline>
            <x14:sparkline>
              <xm:f>'2024 BUDGET'!C14:N14</xm:f>
              <xm:sqref>P14</xm:sqref>
            </x14:sparkline>
            <x14:sparkline>
              <xm:f>'2024 BUDGET'!C15:N15</xm:f>
              <xm:sqref>P15</xm:sqref>
            </x14:sparkline>
            <x14:sparkline>
              <xm:f>'2024 BUDGET'!C16:N16</xm:f>
              <xm:sqref>P16</xm:sqref>
            </x14:sparkline>
            <x14:sparkline>
              <xm:f>'2024 BUDGET'!C17:N17</xm:f>
              <xm:sqref>P17</xm:sqref>
            </x14:sparkline>
            <x14:sparkline>
              <xm:f>'2024 BUDGET'!C18:N18</xm:f>
              <xm:sqref>P18</xm:sqref>
            </x14:sparkline>
            <x14:sparkline>
              <xm:f>'2024 BUDGET'!C19:N19</xm:f>
              <xm:sqref>P19</xm:sqref>
            </x14:sparkline>
            <x14:sparkline>
              <xm:f>'2024 BUDGET'!C20:N20</xm:f>
              <xm:sqref>P20</xm:sqref>
            </x14:sparkline>
            <x14:sparkline>
              <xm:f>'2024 BUDGET'!C21:N21</xm:f>
              <xm:sqref>P21</xm:sqref>
            </x14:sparkline>
            <x14:sparkline>
              <xm:f>'2024 BUDGET'!C22:N22</xm:f>
              <xm:sqref>P22</xm:sqref>
            </x14:sparkline>
            <x14:sparkline>
              <xm:f>'2024 BUDGET'!C23:N23</xm:f>
              <xm:sqref>P23</xm:sqref>
            </x14:sparkline>
            <x14:sparkline>
              <xm:f>'2024 BUDGET'!C24:N24</xm:f>
              <xm:sqref>P24</xm:sqref>
            </x14:sparkline>
            <x14:sparkline>
              <xm:f>'2024 BUDGET'!C25:N25</xm:f>
              <xm:sqref>P25</xm:sqref>
            </x14:sparkline>
            <x14:sparkline>
              <xm:f>'2024 BUDGET'!C26:N26</xm:f>
              <xm:sqref>P26</xm:sqref>
            </x14:sparkline>
            <x14:sparkline>
              <xm:f>'2024 BUDGET'!C27:N27</xm:f>
              <xm:sqref>P27</xm:sqref>
            </x14:sparkline>
            <x14:sparkline>
              <xm:f>'2024 BUDGET'!C28:N28</xm:f>
              <xm:sqref>P28</xm:sqref>
            </x14:sparkline>
            <x14:sparkline>
              <xm:f>'2024 BUDGET'!C29:N29</xm:f>
              <xm:sqref>P29</xm:sqref>
            </x14:sparkline>
            <x14:sparkline>
              <xm:f>'2024 BUDGET'!C30:N30</xm:f>
              <xm:sqref>P30</xm:sqref>
            </x14:sparkline>
            <x14:sparkline>
              <xm:f>'2024 BUDGET'!C31:N31</xm:f>
              <xm:sqref>P31</xm:sqref>
            </x14:sparkline>
            <x14:sparkline>
              <xm:f>'2024 BUDGET'!C32:N32</xm:f>
              <xm:sqref>P32</xm:sqref>
            </x14:sparkline>
            <x14:sparkline>
              <xm:f>'2024 BUDGET'!C33:N33</xm:f>
              <xm:sqref>P33</xm:sqref>
            </x14:sparkline>
            <x14:sparkline>
              <xm:f>'2024 BUDGET'!C34:N34</xm:f>
              <xm:sqref>P34</xm:sqref>
            </x14:sparkline>
            <x14:sparkline>
              <xm:f>'2024 BUDGET'!C35:N35</xm:f>
              <xm:sqref>P35</xm:sqref>
            </x14:sparkline>
            <x14:sparkline>
              <xm:f>'2024 BUDGET'!C36:N36</xm:f>
              <xm:sqref>P36</xm:sqref>
            </x14:sparkline>
            <x14:sparkline>
              <xm:f>'2024 BUDGET'!C37:N37</xm:f>
              <xm:sqref>P37</xm:sqref>
            </x14:sparkline>
            <x14:sparkline>
              <xm:f>'2024 BUDGET'!C38:N38</xm:f>
              <xm:sqref>P38</xm:sqref>
            </x14:sparkline>
            <x14:sparkline>
              <xm:f>'2024 BUDGET'!C39:N39</xm:f>
              <xm:sqref>P39</xm:sqref>
            </x14:sparkline>
            <x14:sparkline>
              <xm:f>'2024 BUDGET'!C40:N40</xm:f>
              <xm:sqref>P40</xm:sqref>
            </x14:sparkline>
            <x14:sparkline>
              <xm:f>'2024 BUDGET'!C41:N41</xm:f>
              <xm:sqref>P41</xm:sqref>
            </x14:sparkline>
            <x14:sparkline>
              <xm:f>'2024 BUDGET'!C42:N42</xm:f>
              <xm:sqref>P42</xm:sqref>
            </x14:sparkline>
            <x14:sparkline>
              <xm:f>'2024 BUDGET'!C43:N43</xm:f>
              <xm:sqref>P43</xm:sqref>
            </x14:sparkline>
            <x14:sparkline>
              <xm:f>'2024 BUDGET'!C44:N44</xm:f>
              <xm:sqref>P44</xm:sqref>
            </x14:sparkline>
            <x14:sparkline>
              <xm:f>'2024 BUDGET'!C45:N45</xm:f>
              <xm:sqref>P45</xm:sqref>
            </x14:sparkline>
            <x14:sparkline>
              <xm:f>'2024 BUDGET'!C46:N46</xm:f>
              <xm:sqref>P46</xm:sqref>
            </x14:sparkline>
            <x14:sparkline>
              <xm:f>'2024 BUDGET'!C47:N47</xm:f>
              <xm:sqref>P47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A97E1-AE6D-4266-A7B1-5D94BCDE97EE}">
  <sheetPr>
    <tabColor theme="4"/>
    <pageSetUpPr fitToPage="1"/>
  </sheetPr>
  <dimension ref="A1:P54"/>
  <sheetViews>
    <sheetView showGridLines="0" zoomScale="90" zoomScaleNormal="90" workbookViewId="0">
      <pane xSplit="2" topLeftCell="C1" activePane="topRight" state="frozen"/>
      <selection activeCell="A6" sqref="A6"/>
      <selection pane="topRight" activeCell="B2" sqref="B2:O2"/>
    </sheetView>
  </sheetViews>
  <sheetFormatPr defaultColWidth="10.125" defaultRowHeight="22.15" customHeight="1" x14ac:dyDescent="0.2"/>
  <cols>
    <col min="1" max="1" width="2" style="54" customWidth="1"/>
    <col min="2" max="2" width="42.5" style="56" customWidth="1"/>
    <col min="3" max="14" width="12.875" style="57" customWidth="1"/>
    <col min="15" max="15" width="14.375" style="57" customWidth="1"/>
    <col min="16" max="16" width="2" style="54" customWidth="1"/>
    <col min="17" max="16384" width="10.125" style="54"/>
  </cols>
  <sheetData>
    <row r="1" spans="1:16" s="55" customFormat="1" ht="70.150000000000006" customHeight="1" x14ac:dyDescent="0.8">
      <c r="A1" s="54"/>
      <c r="B1" s="132" t="s">
        <v>206</v>
      </c>
      <c r="C1" s="132"/>
      <c r="D1" s="132"/>
      <c r="E1" s="132"/>
      <c r="F1" s="132"/>
      <c r="G1" s="132"/>
      <c r="H1" s="132"/>
      <c r="I1" s="132"/>
      <c r="J1" s="132"/>
      <c r="K1" s="132"/>
      <c r="L1" s="132"/>
      <c r="M1" s="132"/>
      <c r="N1" s="132"/>
      <c r="O1" s="132"/>
    </row>
    <row r="2" spans="1:16" ht="90" customHeight="1" x14ac:dyDescent="0.8">
      <c r="B2" s="133" t="s">
        <v>56</v>
      </c>
      <c r="C2" s="134"/>
      <c r="D2" s="134"/>
      <c r="E2" s="134"/>
      <c r="F2" s="134"/>
      <c r="G2" s="134"/>
      <c r="H2" s="134"/>
      <c r="I2" s="134"/>
      <c r="J2" s="134"/>
      <c r="K2" s="134"/>
      <c r="L2" s="134"/>
      <c r="M2" s="134"/>
      <c r="N2" s="134"/>
      <c r="O2" s="134"/>
      <c r="P2" s="54" t="s">
        <v>0</v>
      </c>
    </row>
    <row r="3" spans="1:16" ht="21" customHeight="1" x14ac:dyDescent="0.2"/>
    <row r="4" spans="1:16" ht="32.25" customHeight="1" x14ac:dyDescent="0.2">
      <c r="B4" s="56" t="s">
        <v>57</v>
      </c>
      <c r="C4" s="58">
        <v>0</v>
      </c>
      <c r="E4" s="59" t="s">
        <v>58</v>
      </c>
      <c r="F4" s="60">
        <v>45292</v>
      </c>
      <c r="G4" s="61"/>
      <c r="H4" s="62" t="s">
        <v>59</v>
      </c>
      <c r="J4" s="58">
        <v>2000</v>
      </c>
      <c r="K4" s="61"/>
      <c r="L4" s="61"/>
      <c r="M4" s="61"/>
      <c r="N4" s="61"/>
      <c r="O4" s="61"/>
    </row>
    <row r="5" spans="1:16" ht="32.25" customHeight="1" x14ac:dyDescent="0.2">
      <c r="B5" s="63"/>
      <c r="C5" s="64"/>
      <c r="D5" s="64"/>
      <c r="E5" s="65"/>
      <c r="F5" s="66"/>
      <c r="G5" s="67"/>
      <c r="H5" s="68"/>
      <c r="I5" s="64"/>
      <c r="J5" s="64"/>
      <c r="K5" s="67"/>
      <c r="L5" s="67"/>
      <c r="M5" s="67"/>
      <c r="N5" s="67"/>
      <c r="O5" s="67"/>
    </row>
    <row r="6" spans="1:16" ht="22.15" customHeight="1" x14ac:dyDescent="0.2">
      <c r="C6" s="62"/>
      <c r="D6" s="62"/>
      <c r="E6" s="62"/>
      <c r="F6" s="62"/>
      <c r="G6" s="62"/>
      <c r="H6" s="62"/>
      <c r="I6" s="62"/>
      <c r="J6" s="62"/>
      <c r="K6" s="62"/>
      <c r="L6" s="62"/>
      <c r="M6" s="62"/>
      <c r="N6" s="62"/>
      <c r="O6" s="62"/>
    </row>
    <row r="7" spans="1:16" customFormat="1" ht="32.25" customHeight="1" x14ac:dyDescent="0.2">
      <c r="B7" s="69"/>
      <c r="C7" s="70">
        <f>IF(Start_Date="","",Start_Date)</f>
        <v>45292</v>
      </c>
      <c r="D7" s="71">
        <f>IF(C7="","",DATE(YEAR(C7),MONTH(C7)+1,1))</f>
        <v>45323</v>
      </c>
      <c r="E7" s="71">
        <f t="shared" ref="E7:N7" si="0">IF(D7="","",DATE(YEAR(D7),MONTH(D7)+1,1))</f>
        <v>45352</v>
      </c>
      <c r="F7" s="71">
        <f t="shared" si="0"/>
        <v>45383</v>
      </c>
      <c r="G7" s="71">
        <f t="shared" si="0"/>
        <v>45413</v>
      </c>
      <c r="H7" s="71">
        <f t="shared" si="0"/>
        <v>45444</v>
      </c>
      <c r="I7" s="71">
        <f t="shared" si="0"/>
        <v>45474</v>
      </c>
      <c r="J7" s="71">
        <f t="shared" si="0"/>
        <v>45505</v>
      </c>
      <c r="K7" s="71">
        <f t="shared" si="0"/>
        <v>45536</v>
      </c>
      <c r="L7" s="71">
        <f t="shared" si="0"/>
        <v>45566</v>
      </c>
      <c r="M7" s="71">
        <f t="shared" si="0"/>
        <v>45597</v>
      </c>
      <c r="N7" s="71">
        <f t="shared" si="0"/>
        <v>45627</v>
      </c>
      <c r="O7" s="135" t="s">
        <v>25</v>
      </c>
    </row>
    <row r="8" spans="1:16" ht="32.25" customHeight="1" x14ac:dyDescent="0.2">
      <c r="B8" s="56" t="s">
        <v>60</v>
      </c>
      <c r="C8" s="72">
        <f>C4</f>
        <v>0</v>
      </c>
      <c r="D8" s="73">
        <f t="shared" ref="D8:N8" si="1">C45</f>
        <v>0</v>
      </c>
      <c r="E8" s="73">
        <f t="shared" si="1"/>
        <v>0</v>
      </c>
      <c r="F8" s="73">
        <f t="shared" si="1"/>
        <v>0</v>
      </c>
      <c r="G8" s="73">
        <f t="shared" si="1"/>
        <v>0</v>
      </c>
      <c r="H8" s="73">
        <f t="shared" si="1"/>
        <v>0</v>
      </c>
      <c r="I8" s="73">
        <f t="shared" si="1"/>
        <v>0</v>
      </c>
      <c r="J8" s="73">
        <f t="shared" si="1"/>
        <v>0</v>
      </c>
      <c r="K8" s="73">
        <f t="shared" si="1"/>
        <v>0</v>
      </c>
      <c r="L8" s="73">
        <f t="shared" si="1"/>
        <v>0</v>
      </c>
      <c r="M8" s="73">
        <f t="shared" si="1"/>
        <v>0</v>
      </c>
      <c r="N8" s="73">
        <f t="shared" si="1"/>
        <v>0</v>
      </c>
      <c r="O8" s="135"/>
    </row>
    <row r="9" spans="1:16" ht="30" customHeight="1" x14ac:dyDescent="0.2"/>
    <row r="10" spans="1:16" ht="22.15" customHeight="1" x14ac:dyDescent="0.2">
      <c r="B10" s="74" t="s">
        <v>61</v>
      </c>
      <c r="C10" s="75"/>
      <c r="D10" s="75"/>
      <c r="E10" s="75"/>
      <c r="F10" s="75"/>
      <c r="G10" s="75"/>
      <c r="H10" s="75"/>
      <c r="I10" s="75"/>
      <c r="J10" s="75"/>
      <c r="K10" s="75"/>
      <c r="L10" s="75"/>
      <c r="M10" s="75"/>
      <c r="N10" s="75"/>
      <c r="O10" s="75"/>
    </row>
    <row r="11" spans="1:16" ht="19.899999999999999" customHeight="1" x14ac:dyDescent="0.2"/>
    <row r="12" spans="1:16" ht="22.15" customHeight="1" x14ac:dyDescent="0.2">
      <c r="B12" s="56" t="s">
        <v>62</v>
      </c>
      <c r="C12" s="76"/>
      <c r="D12" s="76"/>
      <c r="E12" s="76"/>
      <c r="F12" s="76"/>
      <c r="G12" s="76"/>
      <c r="H12" s="76"/>
      <c r="I12" s="76"/>
      <c r="J12" s="76"/>
      <c r="K12" s="76"/>
      <c r="L12" s="76"/>
      <c r="M12" s="76"/>
      <c r="O12" s="77">
        <f t="shared" ref="O12:O18" si="2">SUM(C12:N12)</f>
        <v>0</v>
      </c>
    </row>
    <row r="13" spans="1:16" ht="22.15" customHeight="1" x14ac:dyDescent="0.2">
      <c r="B13" s="111" t="s">
        <v>63</v>
      </c>
      <c r="C13" s="112"/>
      <c r="D13" s="112"/>
      <c r="E13" s="112"/>
      <c r="F13" s="112"/>
      <c r="G13" s="112"/>
      <c r="H13" s="112"/>
      <c r="I13" s="112"/>
      <c r="J13" s="112"/>
      <c r="K13" s="112"/>
      <c r="L13" s="112"/>
      <c r="M13" s="112"/>
      <c r="N13" s="112"/>
      <c r="O13" s="79">
        <f t="shared" si="2"/>
        <v>0</v>
      </c>
    </row>
    <row r="14" spans="1:16" ht="22.15" customHeight="1" x14ac:dyDescent="0.2">
      <c r="B14" s="56" t="s">
        <v>18</v>
      </c>
      <c r="C14" s="76"/>
      <c r="D14" s="76"/>
      <c r="E14" s="76"/>
      <c r="F14" s="76"/>
      <c r="G14" s="76"/>
      <c r="H14" s="76"/>
      <c r="I14" s="76"/>
      <c r="J14" s="76"/>
      <c r="K14" s="76"/>
      <c r="L14" s="76"/>
      <c r="M14" s="76"/>
      <c r="N14" s="76"/>
      <c r="O14" s="79">
        <f>SUM(C14:N14)</f>
        <v>0</v>
      </c>
    </row>
    <row r="15" spans="1:16" ht="22.15" customHeight="1" x14ac:dyDescent="0.2">
      <c r="B15" s="56" t="s">
        <v>64</v>
      </c>
      <c r="C15" s="78"/>
      <c r="D15" s="78"/>
      <c r="E15" s="78"/>
      <c r="F15" s="78"/>
      <c r="G15" s="78"/>
      <c r="H15" s="78"/>
      <c r="I15" s="78"/>
      <c r="J15" s="78"/>
      <c r="K15" s="78"/>
      <c r="L15" s="78"/>
      <c r="M15" s="78"/>
      <c r="N15" s="78"/>
      <c r="O15" s="79">
        <f t="shared" si="2"/>
        <v>0</v>
      </c>
    </row>
    <row r="16" spans="1:16" ht="22.15" customHeight="1" x14ac:dyDescent="0.2">
      <c r="B16" s="56" t="s">
        <v>65</v>
      </c>
      <c r="C16" s="76"/>
      <c r="D16" s="76"/>
      <c r="E16" s="76"/>
      <c r="F16" s="76"/>
      <c r="G16" s="76"/>
      <c r="H16" s="76"/>
      <c r="I16" s="76"/>
      <c r="J16" s="76"/>
      <c r="K16" s="76"/>
      <c r="L16" s="76"/>
      <c r="M16" s="76"/>
      <c r="N16" s="76"/>
      <c r="O16" s="79">
        <f t="shared" si="2"/>
        <v>0</v>
      </c>
    </row>
    <row r="17" spans="1:16" ht="22.15" customHeight="1" x14ac:dyDescent="0.2">
      <c r="B17" s="56" t="s">
        <v>66</v>
      </c>
      <c r="C17" s="78"/>
      <c r="D17" s="78"/>
      <c r="E17" s="78"/>
      <c r="F17" s="78"/>
      <c r="G17" s="78"/>
      <c r="H17" s="78"/>
      <c r="I17" s="78"/>
      <c r="J17" s="78"/>
      <c r="K17" s="78"/>
      <c r="L17" s="78"/>
      <c r="M17" s="78"/>
      <c r="N17" s="78"/>
      <c r="O17" s="79">
        <f t="shared" si="2"/>
        <v>0</v>
      </c>
    </row>
    <row r="18" spans="1:16" ht="22.15" customHeight="1" x14ac:dyDescent="0.2">
      <c r="B18" s="56" t="s">
        <v>67</v>
      </c>
      <c r="C18" s="76"/>
      <c r="D18" s="76"/>
      <c r="E18" s="76"/>
      <c r="F18" s="76"/>
      <c r="G18" s="76"/>
      <c r="H18" s="76"/>
      <c r="I18" s="76"/>
      <c r="J18" s="76"/>
      <c r="K18" s="76"/>
      <c r="L18" s="76"/>
      <c r="M18" s="76"/>
      <c r="N18" s="76"/>
      <c r="O18" s="79">
        <f t="shared" si="2"/>
        <v>0</v>
      </c>
    </row>
    <row r="19" spans="1:16" ht="32.25" customHeight="1" x14ac:dyDescent="0.2">
      <c r="B19" s="80" t="s">
        <v>68</v>
      </c>
      <c r="C19" s="81">
        <f>SUM(C12,C14:C18,(C13*-1))</f>
        <v>0</v>
      </c>
      <c r="D19" s="82">
        <f t="shared" ref="D19:M19" si="3">SUM(D12,D14:D18,(D13*-1))</f>
        <v>0</v>
      </c>
      <c r="E19" s="82">
        <f t="shared" si="3"/>
        <v>0</v>
      </c>
      <c r="F19" s="82">
        <f t="shared" si="3"/>
        <v>0</v>
      </c>
      <c r="G19" s="82">
        <f t="shared" si="3"/>
        <v>0</v>
      </c>
      <c r="H19" s="82">
        <f t="shared" si="3"/>
        <v>0</v>
      </c>
      <c r="I19" s="82">
        <f t="shared" si="3"/>
        <v>0</v>
      </c>
      <c r="J19" s="82">
        <f t="shared" si="3"/>
        <v>0</v>
      </c>
      <c r="K19" s="82">
        <f t="shared" si="3"/>
        <v>0</v>
      </c>
      <c r="L19" s="82">
        <f t="shared" si="3"/>
        <v>0</v>
      </c>
      <c r="M19" s="82">
        <f t="shared" si="3"/>
        <v>0</v>
      </c>
      <c r="N19" s="82">
        <v>34757</v>
      </c>
      <c r="O19" s="83">
        <f>SUM(O12:O18)</f>
        <v>0</v>
      </c>
    </row>
    <row r="20" spans="1:16" ht="32.25" customHeight="1" x14ac:dyDescent="0.2">
      <c r="B20" s="80" t="s">
        <v>69</v>
      </c>
      <c r="C20" s="84">
        <f t="shared" ref="C20:N20" si="4">(C8+C19)</f>
        <v>0</v>
      </c>
      <c r="D20" s="85">
        <f t="shared" si="4"/>
        <v>0</v>
      </c>
      <c r="E20" s="85">
        <f t="shared" si="4"/>
        <v>0</v>
      </c>
      <c r="F20" s="85">
        <f t="shared" si="4"/>
        <v>0</v>
      </c>
      <c r="G20" s="85">
        <f t="shared" si="4"/>
        <v>0</v>
      </c>
      <c r="H20" s="85">
        <f t="shared" si="4"/>
        <v>0</v>
      </c>
      <c r="I20" s="85">
        <f t="shared" si="4"/>
        <v>0</v>
      </c>
      <c r="J20" s="85">
        <f t="shared" si="4"/>
        <v>0</v>
      </c>
      <c r="K20" s="85">
        <f t="shared" si="4"/>
        <v>0</v>
      </c>
      <c r="L20" s="85">
        <f t="shared" si="4"/>
        <v>0</v>
      </c>
      <c r="M20" s="85">
        <f t="shared" si="4"/>
        <v>0</v>
      </c>
      <c r="N20" s="85">
        <f t="shared" si="4"/>
        <v>34757</v>
      </c>
      <c r="O20" s="86"/>
    </row>
    <row r="21" spans="1:16" ht="30" customHeight="1" x14ac:dyDescent="0.2">
      <c r="A21"/>
      <c r="B21" s="69"/>
      <c r="C21" s="70">
        <f>IF(Start_Date="","",Start_Date)</f>
        <v>45292</v>
      </c>
      <c r="D21" s="71">
        <f>IF(C21="","",DATE(YEAR(C21),MONTH(C21)+1,1))</f>
        <v>45323</v>
      </c>
      <c r="E21" s="71">
        <f t="shared" ref="E21" si="5">IF(D21="","",DATE(YEAR(D21),MONTH(D21)+1,1))</f>
        <v>45352</v>
      </c>
      <c r="F21" s="71">
        <f t="shared" ref="F21" si="6">IF(E21="","",DATE(YEAR(E21),MONTH(E21)+1,1))</f>
        <v>45383</v>
      </c>
      <c r="G21" s="71">
        <f t="shared" ref="G21" si="7">IF(F21="","",DATE(YEAR(F21),MONTH(F21)+1,1))</f>
        <v>45413</v>
      </c>
      <c r="H21" s="71">
        <f t="shared" ref="H21" si="8">IF(G21="","",DATE(YEAR(G21),MONTH(G21)+1,1))</f>
        <v>45444</v>
      </c>
      <c r="I21" s="71">
        <f t="shared" ref="I21" si="9">IF(H21="","",DATE(YEAR(H21),MONTH(H21)+1,1))</f>
        <v>45474</v>
      </c>
      <c r="J21" s="71">
        <f t="shared" ref="J21" si="10">IF(I21="","",DATE(YEAR(I21),MONTH(I21)+1,1))</f>
        <v>45505</v>
      </c>
      <c r="K21" s="71">
        <f t="shared" ref="K21" si="11">IF(J21="","",DATE(YEAR(J21),MONTH(J21)+1,1))</f>
        <v>45536</v>
      </c>
      <c r="L21" s="71">
        <f t="shared" ref="L21" si="12">IF(K21="","",DATE(YEAR(K21),MONTH(K21)+1,1))</f>
        <v>45566</v>
      </c>
      <c r="M21" s="71">
        <f t="shared" ref="M21" si="13">IF(L21="","",DATE(YEAR(L21),MONTH(L21)+1,1))</f>
        <v>45597</v>
      </c>
      <c r="N21" s="71">
        <f t="shared" ref="N21" si="14">IF(M21="","",DATE(YEAR(M21),MONTH(M21)+1,1))</f>
        <v>45627</v>
      </c>
      <c r="O21" s="130" t="s">
        <v>25</v>
      </c>
      <c r="P21"/>
    </row>
    <row r="22" spans="1:16" ht="22.15" customHeight="1" x14ac:dyDescent="0.2">
      <c r="B22" s="116" t="s">
        <v>70</v>
      </c>
      <c r="C22" s="64"/>
      <c r="D22" s="64"/>
      <c r="E22" s="64"/>
      <c r="F22" s="64"/>
      <c r="G22" s="64"/>
      <c r="H22" s="64"/>
      <c r="I22" s="64"/>
      <c r="J22" s="64"/>
      <c r="K22" s="64"/>
      <c r="L22" s="64"/>
      <c r="M22" s="64"/>
      <c r="N22" s="64"/>
      <c r="O22" s="64"/>
    </row>
    <row r="23" spans="1:16" ht="19.899999999999999" customHeight="1" x14ac:dyDescent="0.2">
      <c r="B23" s="113"/>
    </row>
    <row r="24" spans="1:16" ht="22.15" customHeight="1" x14ac:dyDescent="0.2">
      <c r="B24" s="113" t="s">
        <v>27</v>
      </c>
      <c r="C24" s="114"/>
      <c r="D24" s="76"/>
      <c r="E24" s="76"/>
      <c r="F24" s="76"/>
      <c r="G24" s="76"/>
      <c r="H24" s="76"/>
      <c r="I24" s="76"/>
      <c r="J24" s="76"/>
      <c r="K24" s="76"/>
      <c r="L24" s="76"/>
      <c r="M24" s="76"/>
      <c r="N24" s="76"/>
      <c r="O24" s="77">
        <f t="shared" ref="O24:O43" si="15">SUM(C24:N24)</f>
        <v>0</v>
      </c>
    </row>
    <row r="25" spans="1:16" ht="22.15" customHeight="1" x14ac:dyDescent="0.2">
      <c r="B25" s="113" t="s">
        <v>71</v>
      </c>
      <c r="C25" s="115"/>
      <c r="D25" s="78"/>
      <c r="E25" s="78"/>
      <c r="F25" s="78"/>
      <c r="G25" s="78"/>
      <c r="H25" s="78"/>
      <c r="I25" s="78"/>
      <c r="J25" s="78"/>
      <c r="K25" s="78"/>
      <c r="L25" s="78"/>
      <c r="M25" s="78"/>
      <c r="N25" s="78"/>
      <c r="O25" s="79">
        <f t="shared" si="15"/>
        <v>0</v>
      </c>
    </row>
    <row r="26" spans="1:16" ht="22.15" customHeight="1" x14ac:dyDescent="0.2">
      <c r="B26" s="113" t="s">
        <v>72</v>
      </c>
      <c r="C26" s="114"/>
      <c r="D26" s="76"/>
      <c r="E26" s="76"/>
      <c r="F26" s="76"/>
      <c r="G26" s="76"/>
      <c r="H26" s="76"/>
      <c r="I26" s="76"/>
      <c r="J26" s="76"/>
      <c r="K26" s="76"/>
      <c r="L26" s="76"/>
      <c r="M26" s="76"/>
      <c r="N26" s="76"/>
      <c r="O26" s="79">
        <f t="shared" si="15"/>
        <v>0</v>
      </c>
    </row>
    <row r="27" spans="1:16" ht="22.15" customHeight="1" x14ac:dyDescent="0.2">
      <c r="B27" s="113" t="s">
        <v>33</v>
      </c>
      <c r="C27" s="115"/>
      <c r="D27" s="78"/>
      <c r="E27" s="78"/>
      <c r="F27" s="78"/>
      <c r="G27" s="78"/>
      <c r="H27" s="78"/>
      <c r="I27" s="78"/>
      <c r="J27" s="78"/>
      <c r="K27" s="78"/>
      <c r="L27" s="78"/>
      <c r="M27" s="78"/>
      <c r="N27" s="78"/>
      <c r="O27" s="79">
        <f t="shared" si="15"/>
        <v>0</v>
      </c>
    </row>
    <row r="28" spans="1:16" ht="22.15" customHeight="1" x14ac:dyDescent="0.2">
      <c r="B28" s="113" t="s">
        <v>34</v>
      </c>
      <c r="C28" s="114"/>
      <c r="D28" s="76"/>
      <c r="E28" s="76"/>
      <c r="F28" s="76"/>
      <c r="G28" s="76"/>
      <c r="H28" s="76"/>
      <c r="I28" s="76"/>
      <c r="J28" s="76"/>
      <c r="K28" s="76"/>
      <c r="L28" s="76"/>
      <c r="M28" s="76"/>
      <c r="N28" s="76"/>
      <c r="O28" s="79">
        <f t="shared" si="15"/>
        <v>0</v>
      </c>
    </row>
    <row r="29" spans="1:16" ht="22.15" customHeight="1" x14ac:dyDescent="0.2">
      <c r="B29" s="113" t="s">
        <v>38</v>
      </c>
      <c r="C29" s="115"/>
      <c r="D29" s="78"/>
      <c r="E29" s="78"/>
      <c r="F29" s="78"/>
      <c r="G29" s="78"/>
      <c r="H29" s="78"/>
      <c r="I29" s="78"/>
      <c r="J29" s="78"/>
      <c r="K29" s="78"/>
      <c r="L29" s="78"/>
      <c r="M29" s="78"/>
      <c r="N29" s="78"/>
      <c r="O29" s="79">
        <f t="shared" si="15"/>
        <v>0</v>
      </c>
    </row>
    <row r="30" spans="1:16" ht="22.15" customHeight="1" x14ac:dyDescent="0.2">
      <c r="B30" s="113" t="s">
        <v>39</v>
      </c>
      <c r="C30" s="114"/>
      <c r="D30" s="76"/>
      <c r="E30" s="76"/>
      <c r="F30" s="76"/>
      <c r="G30" s="76"/>
      <c r="H30" s="76"/>
      <c r="I30" s="76"/>
      <c r="J30" s="76"/>
      <c r="K30" s="76"/>
      <c r="L30" s="76"/>
      <c r="M30" s="76"/>
      <c r="N30" s="76"/>
      <c r="O30" s="79">
        <f t="shared" si="15"/>
        <v>0</v>
      </c>
    </row>
    <row r="31" spans="1:16" ht="22.15" customHeight="1" x14ac:dyDescent="0.2">
      <c r="B31" s="113" t="s">
        <v>48</v>
      </c>
      <c r="C31" s="115"/>
      <c r="D31" s="78"/>
      <c r="E31" s="78"/>
      <c r="F31" s="78"/>
      <c r="G31" s="78"/>
      <c r="H31" s="78"/>
      <c r="I31" s="78"/>
      <c r="J31" s="78"/>
      <c r="K31" s="78"/>
      <c r="L31" s="78"/>
      <c r="M31" s="78"/>
      <c r="N31" s="78"/>
      <c r="O31" s="79">
        <f t="shared" si="15"/>
        <v>0</v>
      </c>
    </row>
    <row r="32" spans="1:16" ht="22.15" customHeight="1" x14ac:dyDescent="0.2">
      <c r="B32" s="113" t="s">
        <v>49</v>
      </c>
      <c r="C32" s="114"/>
      <c r="D32" s="76"/>
      <c r="E32" s="76"/>
      <c r="F32" s="76"/>
      <c r="G32" s="76"/>
      <c r="H32" s="76"/>
      <c r="I32" s="76"/>
      <c r="J32" s="76"/>
      <c r="K32" s="76"/>
      <c r="L32" s="76"/>
      <c r="M32" s="76"/>
      <c r="N32" s="76"/>
      <c r="O32" s="79">
        <f t="shared" si="15"/>
        <v>0</v>
      </c>
    </row>
    <row r="33" spans="2:15" ht="22.15" customHeight="1" x14ac:dyDescent="0.2">
      <c r="B33" s="113" t="s">
        <v>182</v>
      </c>
      <c r="C33" s="115"/>
      <c r="D33" s="78"/>
      <c r="E33" s="78"/>
      <c r="F33" s="78"/>
      <c r="G33" s="78"/>
      <c r="H33" s="78"/>
      <c r="I33" s="78"/>
      <c r="J33" s="78"/>
      <c r="K33" s="78"/>
      <c r="L33" s="78"/>
      <c r="M33" s="78"/>
      <c r="N33" s="78"/>
      <c r="O33" s="79">
        <f t="shared" si="15"/>
        <v>0</v>
      </c>
    </row>
    <row r="34" spans="2:15" ht="22.15" customHeight="1" x14ac:dyDescent="0.2">
      <c r="B34" s="113" t="s">
        <v>73</v>
      </c>
      <c r="C34" s="114"/>
      <c r="D34" s="76"/>
      <c r="E34" s="76"/>
      <c r="F34" s="76"/>
      <c r="G34" s="76"/>
      <c r="H34" s="76"/>
      <c r="I34" s="76"/>
      <c r="J34" s="76"/>
      <c r="K34" s="76"/>
      <c r="L34" s="76"/>
      <c r="M34" s="76"/>
      <c r="N34" s="76"/>
      <c r="O34" s="79">
        <f t="shared" si="15"/>
        <v>0</v>
      </c>
    </row>
    <row r="35" spans="2:15" ht="22.15" customHeight="1" x14ac:dyDescent="0.2">
      <c r="B35" s="113" t="s">
        <v>73</v>
      </c>
      <c r="C35" s="115"/>
      <c r="D35" s="78"/>
      <c r="E35" s="78"/>
      <c r="F35" s="78"/>
      <c r="G35" s="78"/>
      <c r="H35" s="78"/>
      <c r="I35" s="78"/>
      <c r="J35" s="78"/>
      <c r="K35" s="78"/>
      <c r="L35" s="78"/>
      <c r="M35" s="78"/>
      <c r="N35" s="78"/>
      <c r="O35" s="79">
        <f t="shared" si="15"/>
        <v>0</v>
      </c>
    </row>
    <row r="36" spans="2:15" ht="22.15" customHeight="1" x14ac:dyDescent="0.2">
      <c r="B36" s="113" t="s">
        <v>24</v>
      </c>
      <c r="C36" s="114"/>
      <c r="D36" s="76"/>
      <c r="E36" s="76"/>
      <c r="F36" s="76"/>
      <c r="G36" s="76"/>
      <c r="H36" s="76"/>
      <c r="I36" s="76"/>
      <c r="J36" s="76"/>
      <c r="K36" s="76"/>
      <c r="L36" s="76"/>
      <c r="M36" s="76"/>
      <c r="N36" s="76"/>
      <c r="O36" s="79">
        <f t="shared" si="15"/>
        <v>0</v>
      </c>
    </row>
    <row r="37" spans="2:15" ht="30" customHeight="1" x14ac:dyDescent="0.2">
      <c r="B37" s="80" t="s">
        <v>74</v>
      </c>
      <c r="C37" s="87">
        <f t="shared" ref="C37:N37" si="16">SUM(C24:C36)</f>
        <v>0</v>
      </c>
      <c r="D37" s="88">
        <f t="shared" si="16"/>
        <v>0</v>
      </c>
      <c r="E37" s="88">
        <f t="shared" si="16"/>
        <v>0</v>
      </c>
      <c r="F37" s="88">
        <f t="shared" si="16"/>
        <v>0</v>
      </c>
      <c r="G37" s="88">
        <f t="shared" si="16"/>
        <v>0</v>
      </c>
      <c r="H37" s="88">
        <f t="shared" si="16"/>
        <v>0</v>
      </c>
      <c r="I37" s="88">
        <f t="shared" si="16"/>
        <v>0</v>
      </c>
      <c r="J37" s="88">
        <f t="shared" si="16"/>
        <v>0</v>
      </c>
      <c r="K37" s="88">
        <f t="shared" si="16"/>
        <v>0</v>
      </c>
      <c r="L37" s="88">
        <f t="shared" si="16"/>
        <v>0</v>
      </c>
      <c r="M37" s="88">
        <f t="shared" si="16"/>
        <v>0</v>
      </c>
      <c r="N37" s="88">
        <f t="shared" si="16"/>
        <v>0</v>
      </c>
      <c r="O37" s="86">
        <f t="shared" si="15"/>
        <v>0</v>
      </c>
    </row>
    <row r="38" spans="2:15" ht="19.899999999999999" customHeight="1" x14ac:dyDescent="0.2"/>
    <row r="39" spans="2:15" ht="22.15" customHeight="1" x14ac:dyDescent="0.2">
      <c r="B39" s="56" t="s">
        <v>75</v>
      </c>
      <c r="C39" s="89"/>
      <c r="D39" s="90"/>
      <c r="E39" s="90"/>
      <c r="F39" s="90"/>
      <c r="G39" s="90"/>
      <c r="H39" s="90"/>
      <c r="I39" s="90"/>
      <c r="J39" s="90"/>
      <c r="K39" s="90"/>
      <c r="L39" s="90"/>
      <c r="M39" s="90"/>
      <c r="N39" s="90"/>
      <c r="O39" s="91">
        <f t="shared" si="15"/>
        <v>0</v>
      </c>
    </row>
    <row r="40" spans="2:15" ht="22.15" customHeight="1" x14ac:dyDescent="0.2">
      <c r="B40" s="56" t="s">
        <v>76</v>
      </c>
      <c r="C40" s="78"/>
      <c r="D40" s="78"/>
      <c r="E40" s="78"/>
      <c r="F40" s="78"/>
      <c r="G40" s="78"/>
      <c r="H40" s="78"/>
      <c r="I40" s="78"/>
      <c r="J40" s="78"/>
      <c r="K40" s="78"/>
      <c r="L40" s="78"/>
      <c r="M40" s="78"/>
      <c r="N40" s="78"/>
      <c r="O40" s="79">
        <f t="shared" si="15"/>
        <v>0</v>
      </c>
    </row>
    <row r="41" spans="2:15" ht="22.15" customHeight="1" x14ac:dyDescent="0.2">
      <c r="B41" s="56" t="s">
        <v>77</v>
      </c>
      <c r="C41" s="92"/>
      <c r="D41" s="76"/>
      <c r="E41" s="76"/>
      <c r="F41" s="76"/>
      <c r="G41" s="76"/>
      <c r="H41" s="76"/>
      <c r="I41" s="76"/>
      <c r="J41" s="76"/>
      <c r="K41" s="76"/>
      <c r="L41" s="76"/>
      <c r="M41" s="76"/>
      <c r="N41" s="76"/>
      <c r="O41" s="93">
        <f t="shared" si="15"/>
        <v>0</v>
      </c>
    </row>
    <row r="42" spans="2:15" ht="22.15" customHeight="1" x14ac:dyDescent="0.2">
      <c r="B42" s="56" t="s">
        <v>78</v>
      </c>
      <c r="C42" s="78"/>
      <c r="D42" s="78"/>
      <c r="E42" s="78"/>
      <c r="F42" s="78"/>
      <c r="G42" s="78"/>
      <c r="H42" s="78"/>
      <c r="I42" s="78"/>
      <c r="J42" s="78"/>
      <c r="K42" s="78"/>
      <c r="L42" s="78"/>
      <c r="M42" s="78"/>
      <c r="N42" s="78"/>
      <c r="O42" s="79">
        <f t="shared" si="15"/>
        <v>0</v>
      </c>
    </row>
    <row r="43" spans="2:15" ht="22.15" customHeight="1" x14ac:dyDescent="0.2">
      <c r="B43" s="56" t="s">
        <v>79</v>
      </c>
      <c r="C43" s="92"/>
      <c r="D43" s="76"/>
      <c r="E43" s="76"/>
      <c r="F43" s="76"/>
      <c r="G43" s="76"/>
      <c r="H43" s="76"/>
      <c r="I43" s="76"/>
      <c r="J43" s="76"/>
      <c r="K43" s="76"/>
      <c r="L43" s="76"/>
      <c r="M43" s="76"/>
      <c r="N43" s="76"/>
      <c r="O43" s="93">
        <f t="shared" si="15"/>
        <v>0</v>
      </c>
    </row>
    <row r="44" spans="2:15" ht="30" customHeight="1" x14ac:dyDescent="0.2">
      <c r="B44" s="80" t="s">
        <v>80</v>
      </c>
      <c r="C44" s="94">
        <f>C37-SUM(C39:C43)</f>
        <v>0</v>
      </c>
      <c r="D44" s="82">
        <f t="shared" ref="D44:N44" si="17">D37-SUM(D39:D43)</f>
        <v>0</v>
      </c>
      <c r="E44" s="82">
        <f t="shared" si="17"/>
        <v>0</v>
      </c>
      <c r="F44" s="82">
        <f t="shared" si="17"/>
        <v>0</v>
      </c>
      <c r="G44" s="82">
        <f t="shared" si="17"/>
        <v>0</v>
      </c>
      <c r="H44" s="82">
        <f t="shared" si="17"/>
        <v>0</v>
      </c>
      <c r="I44" s="82">
        <f t="shared" si="17"/>
        <v>0</v>
      </c>
      <c r="J44" s="82">
        <f t="shared" si="17"/>
        <v>0</v>
      </c>
      <c r="K44" s="82">
        <f t="shared" si="17"/>
        <v>0</v>
      </c>
      <c r="L44" s="82">
        <f t="shared" si="17"/>
        <v>0</v>
      </c>
      <c r="M44" s="82">
        <f t="shared" si="17"/>
        <v>0</v>
      </c>
      <c r="N44" s="82">
        <f t="shared" si="17"/>
        <v>0</v>
      </c>
      <c r="O44" s="95">
        <f>SUM(O37:O43)</f>
        <v>0</v>
      </c>
    </row>
    <row r="45" spans="2:15" ht="30" customHeight="1" x14ac:dyDescent="0.2">
      <c r="B45" s="80" t="s">
        <v>81</v>
      </c>
      <c r="C45" s="96">
        <f t="shared" ref="C45:N45" si="18">(C20-C44)</f>
        <v>0</v>
      </c>
      <c r="D45" s="97">
        <f t="shared" si="18"/>
        <v>0</v>
      </c>
      <c r="E45" s="97">
        <f t="shared" si="18"/>
        <v>0</v>
      </c>
      <c r="F45" s="97">
        <f t="shared" si="18"/>
        <v>0</v>
      </c>
      <c r="G45" s="97">
        <f t="shared" si="18"/>
        <v>0</v>
      </c>
      <c r="H45" s="97">
        <f t="shared" si="18"/>
        <v>0</v>
      </c>
      <c r="I45" s="97">
        <f t="shared" si="18"/>
        <v>0</v>
      </c>
      <c r="J45" s="97">
        <f t="shared" si="18"/>
        <v>0</v>
      </c>
      <c r="K45" s="97">
        <f t="shared" si="18"/>
        <v>0</v>
      </c>
      <c r="L45" s="97">
        <f t="shared" si="18"/>
        <v>0</v>
      </c>
      <c r="M45" s="97">
        <f t="shared" si="18"/>
        <v>0</v>
      </c>
      <c r="N45" s="97">
        <f t="shared" si="18"/>
        <v>34757</v>
      </c>
      <c r="O45" s="98"/>
    </row>
    <row r="46" spans="2:15" ht="30" customHeight="1" x14ac:dyDescent="0.2"/>
    <row r="47" spans="2:15" ht="22.15" customHeight="1" x14ac:dyDescent="0.2">
      <c r="B47" s="74" t="s">
        <v>82</v>
      </c>
      <c r="C47" s="75"/>
      <c r="D47" s="75"/>
      <c r="E47" s="75"/>
      <c r="F47" s="75"/>
      <c r="G47" s="75"/>
      <c r="H47" s="75"/>
      <c r="I47" s="75"/>
      <c r="J47" s="75"/>
      <c r="K47" s="75"/>
      <c r="L47" s="75"/>
      <c r="M47" s="75"/>
      <c r="N47" s="75"/>
      <c r="O47" s="75"/>
    </row>
    <row r="48" spans="2:15" ht="19.899999999999999" customHeight="1" x14ac:dyDescent="0.2"/>
    <row r="49" spans="2:15" ht="22.15" customHeight="1" x14ac:dyDescent="0.2">
      <c r="B49" s="56" t="s">
        <v>183</v>
      </c>
      <c r="C49" s="99"/>
      <c r="D49" s="100"/>
      <c r="E49" s="100"/>
      <c r="F49" s="100"/>
      <c r="G49" s="100"/>
      <c r="H49" s="100"/>
      <c r="I49" s="100"/>
      <c r="J49" s="100"/>
      <c r="K49" s="100"/>
      <c r="L49" s="100"/>
      <c r="M49" s="100"/>
      <c r="N49" s="101"/>
      <c r="O49" s="102"/>
    </row>
    <row r="50" spans="2:15" ht="22.15" customHeight="1" x14ac:dyDescent="0.2">
      <c r="B50" s="56" t="s">
        <v>184</v>
      </c>
      <c r="C50" s="103"/>
      <c r="D50" s="78"/>
      <c r="E50" s="78"/>
      <c r="F50" s="78"/>
      <c r="G50" s="78"/>
      <c r="H50" s="78"/>
      <c r="I50" s="78"/>
      <c r="J50" s="78"/>
      <c r="K50" s="78"/>
      <c r="L50" s="78"/>
      <c r="M50" s="78"/>
      <c r="N50" s="78"/>
      <c r="O50" s="104"/>
    </row>
    <row r="51" spans="2:15" ht="22.15" customHeight="1" x14ac:dyDescent="0.2">
      <c r="B51" s="56" t="s">
        <v>83</v>
      </c>
      <c r="C51" s="105"/>
      <c r="D51" s="90"/>
      <c r="E51" s="90"/>
      <c r="F51" s="90"/>
      <c r="G51" s="90"/>
      <c r="H51" s="90"/>
      <c r="I51" s="90"/>
      <c r="J51" s="90"/>
      <c r="K51" s="90"/>
      <c r="L51" s="90"/>
      <c r="M51" s="90"/>
      <c r="N51" s="106"/>
      <c r="O51" s="107"/>
    </row>
    <row r="52" spans="2:15" ht="22.15" customHeight="1" x14ac:dyDescent="0.2">
      <c r="B52" s="56" t="s">
        <v>84</v>
      </c>
      <c r="C52" s="103"/>
      <c r="D52" s="78"/>
      <c r="E52" s="78"/>
      <c r="F52" s="78"/>
      <c r="G52" s="78"/>
      <c r="H52" s="78"/>
      <c r="I52" s="78"/>
      <c r="J52" s="78"/>
      <c r="K52" s="78"/>
      <c r="L52" s="78"/>
      <c r="M52" s="78"/>
      <c r="N52" s="78"/>
      <c r="O52" s="104"/>
    </row>
    <row r="53" spans="2:15" ht="22.15" customHeight="1" x14ac:dyDescent="0.2">
      <c r="B53" s="56" t="s">
        <v>85</v>
      </c>
      <c r="C53" s="105"/>
      <c r="D53" s="90"/>
      <c r="E53" s="90"/>
      <c r="F53" s="90"/>
      <c r="G53" s="90"/>
      <c r="H53" s="90"/>
      <c r="I53" s="90"/>
      <c r="J53" s="90"/>
      <c r="K53" s="90"/>
      <c r="L53" s="90"/>
      <c r="M53" s="90"/>
      <c r="N53" s="106"/>
      <c r="O53" s="107"/>
    </row>
    <row r="54" spans="2:15" ht="22.15" customHeight="1" x14ac:dyDescent="0.2">
      <c r="B54" s="56" t="s">
        <v>86</v>
      </c>
      <c r="C54" s="108"/>
      <c r="D54" s="109"/>
      <c r="E54" s="109"/>
      <c r="F54" s="109"/>
      <c r="G54" s="109"/>
      <c r="H54" s="109"/>
      <c r="I54" s="109"/>
      <c r="J54" s="109"/>
      <c r="K54" s="109"/>
      <c r="L54" s="109"/>
      <c r="M54" s="109"/>
      <c r="N54" s="109"/>
      <c r="O54" s="110"/>
    </row>
  </sheetData>
  <mergeCells count="3">
    <mergeCell ref="B1:O1"/>
    <mergeCell ref="B2:O2"/>
    <mergeCell ref="O7:O8"/>
  </mergeCells>
  <conditionalFormatting sqref="O12:O20 C19:N20 O24:O36 C37:O37 O39:O45 C44:N45">
    <cfRule type="cellIs" dxfId="165" priority="1" operator="lessThan">
      <formula>0</formula>
    </cfRule>
  </conditionalFormatting>
  <dataValidations count="8">
    <dataValidation allowBlank="1" showInputMessage="1" showErrorMessage="1" prompt="Enter insurance expense such as liability and fire insurance" sqref="C28:N28" xr:uid="{AEF3EA41-408E-4372-A58C-9F58C88F9175}"/>
    <dataValidation allowBlank="1" showInputMessage="1" showErrorMessage="1" promptTitle="Cash Flow Forecast Template" prompt="Enter your company name in cell B1, starting cash on hand in cell C4, starting date in cell F4, and a cash minimum balance alert in cell J4._x000a__x000a_Enter the values for your Cash Receipts and Cash Paid Out items for each month in the tables below._x000a_" sqref="A1" xr:uid="{6C2830E8-17DD-415A-9B5C-CC039494D622}"/>
    <dataValidation allowBlank="1" showInputMessage="1" showErrorMessage="1" prompt="Enter the starting cash amount during the starting date" sqref="C4" xr:uid="{666E76AC-71EA-455C-8643-B4787240CF7E}"/>
    <dataValidation allowBlank="1" showInputMessage="1" showErrorMessage="1" prompt="Enter a starting date from when a one-year forecast schedule will begin" sqref="F4" xr:uid="{AC1AD9F9-F7F5-4AA6-A5F8-4CB98797AF4C}"/>
    <dataValidation allowBlank="1" showInputMessage="1" showErrorMessage="1" prompt="Enter a minimum balance alert. The template will highlight if the cash balance is below the alert minimum value." sqref="J4" xr:uid="{1F10A6DB-C4C4-45B0-9140-AD2CF858D079}"/>
    <dataValidation allowBlank="1" showInputMessage="1" showErrorMessage="1" prompt="Enter the cash receipts items for each month._x000a__x000a_For Returns and allowances, enter the values as positive numbers._x000a_" sqref="B10" xr:uid="{89A025E0-D165-4DD6-8741-41BEF277A6DE}"/>
    <dataValidation allowBlank="1" showInputMessage="1" showErrorMessage="1" prompt="Enter the cash paid out items for each month_x000a_" sqref="B22" xr:uid="{4122DA28-4B28-4E9D-BCC4-CAAF2D74B1C2}"/>
    <dataValidation allowBlank="1" showInputMessage="1" showErrorMessage="1" prompt="Enter other operating values that you want to track across each month" sqref="B47" xr:uid="{E4613E73-4562-4160-BE28-8127689AEC94}"/>
  </dataValidations>
  <printOptions horizontalCentered="1"/>
  <pageMargins left="0.3" right="0.3" top="0.5" bottom="0.5" header="0.3" footer="0.3"/>
  <pageSetup scale="48"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4D204-E127-4C59-A0A9-6D6ECB62E836}">
  <sheetPr>
    <tabColor theme="3" tint="0.749992370372631"/>
  </sheetPr>
  <dimension ref="A1:D216"/>
  <sheetViews>
    <sheetView topLeftCell="A98" workbookViewId="0">
      <selection activeCell="D194" sqref="D194"/>
    </sheetView>
  </sheetViews>
  <sheetFormatPr defaultColWidth="9" defaultRowHeight="12.75" x14ac:dyDescent="0.2"/>
  <cols>
    <col min="1" max="1" width="35" style="117" customWidth="1"/>
    <col min="2" max="2" width="25.875" style="117" customWidth="1"/>
    <col min="3" max="3" width="8" style="117" customWidth="1"/>
    <col min="4" max="4" width="15.75" style="117" customWidth="1"/>
    <col min="5" max="16384" width="9" style="117"/>
  </cols>
  <sheetData>
    <row r="1" spans="1:4" ht="14.25" x14ac:dyDescent="0.2">
      <c r="A1" s="119" t="s">
        <v>90</v>
      </c>
      <c r="B1" s="119" t="s">
        <v>91</v>
      </c>
      <c r="C1" s="119" t="s">
        <v>92</v>
      </c>
      <c r="D1" s="119" t="s">
        <v>93</v>
      </c>
    </row>
    <row r="2" spans="1:4" ht="14.25" x14ac:dyDescent="0.2">
      <c r="A2" s="119" t="s">
        <v>185</v>
      </c>
      <c r="B2" s="120" t="s">
        <v>94</v>
      </c>
      <c r="C2" s="120" t="s">
        <v>95</v>
      </c>
      <c r="D2" s="120">
        <v>55000</v>
      </c>
    </row>
    <row r="3" spans="1:4" x14ac:dyDescent="0.2">
      <c r="A3" s="120"/>
      <c r="B3" s="120" t="s">
        <v>96</v>
      </c>
      <c r="C3" s="120" t="s">
        <v>97</v>
      </c>
      <c r="D3" s="121">
        <v>50000</v>
      </c>
    </row>
    <row r="4" spans="1:4" x14ac:dyDescent="0.2">
      <c r="A4" s="120"/>
      <c r="B4" s="120" t="s">
        <v>98</v>
      </c>
      <c r="C4" s="120" t="s">
        <v>97</v>
      </c>
      <c r="D4" s="121">
        <v>50000</v>
      </c>
    </row>
    <row r="5" spans="1:4" x14ac:dyDescent="0.2">
      <c r="A5" s="120"/>
      <c r="B5" s="120" t="s">
        <v>99</v>
      </c>
      <c r="C5" s="120" t="s">
        <v>97</v>
      </c>
      <c r="D5" s="121">
        <v>50000</v>
      </c>
    </row>
    <row r="6" spans="1:4" x14ac:dyDescent="0.2">
      <c r="A6" s="120"/>
      <c r="B6" s="120" t="s">
        <v>100</v>
      </c>
      <c r="C6" s="120" t="s">
        <v>101</v>
      </c>
      <c r="D6" s="121">
        <v>9000</v>
      </c>
    </row>
    <row r="7" spans="1:4" x14ac:dyDescent="0.2">
      <c r="A7" s="122"/>
      <c r="B7" s="120" t="s">
        <v>102</v>
      </c>
      <c r="C7" s="120" t="s">
        <v>103</v>
      </c>
      <c r="D7" s="121">
        <v>7500</v>
      </c>
    </row>
    <row r="8" spans="1:4" x14ac:dyDescent="0.2">
      <c r="A8" s="123"/>
      <c r="B8" s="124" t="s">
        <v>104</v>
      </c>
      <c r="C8" s="120" t="s">
        <v>105</v>
      </c>
      <c r="D8" s="121">
        <v>15000</v>
      </c>
    </row>
    <row r="9" spans="1:4" x14ac:dyDescent="0.2">
      <c r="A9" s="125"/>
      <c r="B9" s="120" t="s">
        <v>106</v>
      </c>
      <c r="C9" s="120" t="s">
        <v>101</v>
      </c>
      <c r="D9" s="121">
        <v>4000</v>
      </c>
    </row>
    <row r="10" spans="1:4" ht="14.25" x14ac:dyDescent="0.2">
      <c r="A10" s="119" t="s">
        <v>107</v>
      </c>
      <c r="B10" s="120"/>
      <c r="C10" s="120"/>
      <c r="D10" s="126">
        <v>240500</v>
      </c>
    </row>
    <row r="11" spans="1:4" x14ac:dyDescent="0.2">
      <c r="A11" s="120"/>
      <c r="B11" s="120"/>
      <c r="C11" s="120"/>
      <c r="D11" s="120"/>
    </row>
    <row r="12" spans="1:4" ht="14.25" x14ac:dyDescent="0.2">
      <c r="A12" s="119" t="s">
        <v>186</v>
      </c>
      <c r="B12" s="120" t="s">
        <v>94</v>
      </c>
      <c r="C12" s="120" t="s">
        <v>108</v>
      </c>
      <c r="D12" s="121">
        <v>55000</v>
      </c>
    </row>
    <row r="13" spans="1:4" x14ac:dyDescent="0.2">
      <c r="A13" s="120"/>
      <c r="B13" s="120" t="s">
        <v>96</v>
      </c>
      <c r="C13" s="120" t="s">
        <v>109</v>
      </c>
      <c r="D13" s="121">
        <v>50000</v>
      </c>
    </row>
    <row r="14" spans="1:4" x14ac:dyDescent="0.2">
      <c r="A14" s="120"/>
      <c r="B14" s="120" t="s">
        <v>98</v>
      </c>
      <c r="C14" s="120" t="s">
        <v>109</v>
      </c>
      <c r="D14" s="121">
        <v>50000</v>
      </c>
    </row>
    <row r="15" spans="1:4" x14ac:dyDescent="0.2">
      <c r="A15" s="120"/>
      <c r="B15" s="120" t="s">
        <v>99</v>
      </c>
      <c r="C15" s="120" t="s">
        <v>109</v>
      </c>
      <c r="D15" s="121">
        <v>50000</v>
      </c>
    </row>
    <row r="16" spans="1:4" x14ac:dyDescent="0.2">
      <c r="A16" s="120"/>
      <c r="B16" s="120" t="s">
        <v>100</v>
      </c>
      <c r="C16" s="120" t="s">
        <v>101</v>
      </c>
      <c r="D16" s="121">
        <v>9000</v>
      </c>
    </row>
    <row r="17" spans="1:4" x14ac:dyDescent="0.2">
      <c r="A17" s="120"/>
      <c r="B17" s="120" t="s">
        <v>102</v>
      </c>
      <c r="C17" s="120" t="s">
        <v>110</v>
      </c>
      <c r="D17" s="121">
        <v>7500</v>
      </c>
    </row>
    <row r="18" spans="1:4" x14ac:dyDescent="0.2">
      <c r="A18" s="120"/>
      <c r="B18" s="120" t="s">
        <v>111</v>
      </c>
      <c r="C18" s="120" t="s">
        <v>112</v>
      </c>
      <c r="D18" s="121">
        <v>15000</v>
      </c>
    </row>
    <row r="19" spans="1:4" x14ac:dyDescent="0.2">
      <c r="A19" s="120"/>
      <c r="B19" s="120" t="s">
        <v>106</v>
      </c>
      <c r="C19" s="120" t="s">
        <v>101</v>
      </c>
      <c r="D19" s="121">
        <v>4000</v>
      </c>
    </row>
    <row r="20" spans="1:4" ht="14.25" x14ac:dyDescent="0.2">
      <c r="A20" s="120"/>
      <c r="B20" s="120"/>
      <c r="C20" s="120"/>
      <c r="D20" s="126">
        <v>240500</v>
      </c>
    </row>
    <row r="21" spans="1:4" x14ac:dyDescent="0.2">
      <c r="A21" s="120"/>
      <c r="B21" s="120"/>
      <c r="C21" s="120"/>
      <c r="D21" s="120"/>
    </row>
    <row r="22" spans="1:4" ht="14.25" x14ac:dyDescent="0.2">
      <c r="A22" s="119" t="s">
        <v>187</v>
      </c>
      <c r="B22" s="120" t="s">
        <v>94</v>
      </c>
      <c r="C22" s="120" t="s">
        <v>108</v>
      </c>
      <c r="D22" s="121">
        <v>55000</v>
      </c>
    </row>
    <row r="23" spans="1:4" x14ac:dyDescent="0.2">
      <c r="A23" s="120"/>
      <c r="B23" s="120" t="s">
        <v>96</v>
      </c>
      <c r="C23" s="120" t="s">
        <v>109</v>
      </c>
      <c r="D23" s="121">
        <v>50000</v>
      </c>
    </row>
    <row r="24" spans="1:4" x14ac:dyDescent="0.2">
      <c r="A24" s="120"/>
      <c r="B24" s="120" t="s">
        <v>98</v>
      </c>
      <c r="C24" s="120" t="s">
        <v>109</v>
      </c>
      <c r="D24" s="121">
        <v>50000</v>
      </c>
    </row>
    <row r="25" spans="1:4" x14ac:dyDescent="0.2">
      <c r="A25" s="120"/>
      <c r="B25" s="120" t="s">
        <v>99</v>
      </c>
      <c r="C25" s="120" t="s">
        <v>109</v>
      </c>
      <c r="D25" s="121">
        <v>50000</v>
      </c>
    </row>
    <row r="26" spans="1:4" x14ac:dyDescent="0.2">
      <c r="A26" s="120"/>
      <c r="B26" s="120" t="s">
        <v>100</v>
      </c>
      <c r="C26" s="120" t="s">
        <v>101</v>
      </c>
      <c r="D26" s="121">
        <v>9000</v>
      </c>
    </row>
    <row r="27" spans="1:4" x14ac:dyDescent="0.2">
      <c r="A27" s="120"/>
      <c r="B27" s="120" t="s">
        <v>102</v>
      </c>
      <c r="C27" s="120" t="s">
        <v>110</v>
      </c>
      <c r="D27" s="121">
        <v>7500</v>
      </c>
    </row>
    <row r="28" spans="1:4" x14ac:dyDescent="0.2">
      <c r="A28" s="120"/>
      <c r="B28" s="120" t="s">
        <v>111</v>
      </c>
      <c r="C28" s="120" t="s">
        <v>112</v>
      </c>
      <c r="D28" s="121">
        <v>15000</v>
      </c>
    </row>
    <row r="29" spans="1:4" x14ac:dyDescent="0.2">
      <c r="A29" s="120"/>
      <c r="B29" s="120" t="s">
        <v>106</v>
      </c>
      <c r="C29" s="120" t="s">
        <v>101</v>
      </c>
      <c r="D29" s="121">
        <v>4000</v>
      </c>
    </row>
    <row r="30" spans="1:4" ht="14.25" x14ac:dyDescent="0.2">
      <c r="A30" s="120"/>
      <c r="B30" s="120"/>
      <c r="C30" s="120"/>
      <c r="D30" s="126">
        <v>240500</v>
      </c>
    </row>
    <row r="31" spans="1:4" x14ac:dyDescent="0.2">
      <c r="A31" s="120"/>
      <c r="B31" s="120"/>
      <c r="C31" s="120"/>
      <c r="D31" s="120"/>
    </row>
    <row r="32" spans="1:4" x14ac:dyDescent="0.2">
      <c r="A32" s="120" t="s">
        <v>188</v>
      </c>
      <c r="B32" s="120" t="s">
        <v>94</v>
      </c>
      <c r="C32" s="120" t="s">
        <v>109</v>
      </c>
      <c r="D32" s="121">
        <v>22000</v>
      </c>
    </row>
    <row r="33" spans="1:4" x14ac:dyDescent="0.2">
      <c r="A33" s="120"/>
      <c r="B33" s="120" t="s">
        <v>96</v>
      </c>
      <c r="C33" s="120" t="s">
        <v>113</v>
      </c>
      <c r="D33" s="121">
        <v>45000</v>
      </c>
    </row>
    <row r="34" spans="1:4" x14ac:dyDescent="0.2">
      <c r="A34" s="120"/>
      <c r="B34" s="120" t="s">
        <v>98</v>
      </c>
      <c r="C34" s="120" t="s">
        <v>113</v>
      </c>
      <c r="D34" s="121">
        <v>40000</v>
      </c>
    </row>
    <row r="35" spans="1:4" x14ac:dyDescent="0.2">
      <c r="A35" s="120"/>
      <c r="B35" s="120" t="s">
        <v>99</v>
      </c>
      <c r="C35" s="120" t="s">
        <v>113</v>
      </c>
      <c r="D35" s="121">
        <v>40000</v>
      </c>
    </row>
    <row r="36" spans="1:4" x14ac:dyDescent="0.2">
      <c r="A36" s="120"/>
      <c r="B36" s="120" t="s">
        <v>102</v>
      </c>
      <c r="C36" s="120" t="s">
        <v>114</v>
      </c>
      <c r="D36" s="121">
        <v>5000</v>
      </c>
    </row>
    <row r="37" spans="1:4" x14ac:dyDescent="0.2">
      <c r="A37" s="120"/>
      <c r="B37" s="120" t="s">
        <v>100</v>
      </c>
      <c r="C37" s="120" t="s">
        <v>115</v>
      </c>
      <c r="D37" s="121">
        <v>6000</v>
      </c>
    </row>
    <row r="38" spans="1:4" x14ac:dyDescent="0.2">
      <c r="A38" s="120"/>
      <c r="B38" s="120" t="s">
        <v>116</v>
      </c>
      <c r="C38" s="120" t="s">
        <v>112</v>
      </c>
      <c r="D38" s="121">
        <v>15000</v>
      </c>
    </row>
    <row r="39" spans="1:4" x14ac:dyDescent="0.2">
      <c r="A39" s="120"/>
      <c r="B39" s="120" t="s">
        <v>106</v>
      </c>
      <c r="C39" s="120" t="s">
        <v>115</v>
      </c>
      <c r="D39" s="121">
        <v>3000</v>
      </c>
    </row>
    <row r="40" spans="1:4" ht="14.25" x14ac:dyDescent="0.2">
      <c r="A40" s="120"/>
      <c r="B40" s="120"/>
      <c r="C40" s="120"/>
      <c r="D40" s="126">
        <v>176000</v>
      </c>
    </row>
    <row r="41" spans="1:4" x14ac:dyDescent="0.2">
      <c r="A41" s="120"/>
      <c r="B41" s="120"/>
      <c r="C41" s="120"/>
      <c r="D41" s="120"/>
    </row>
    <row r="42" spans="1:4" x14ac:dyDescent="0.2">
      <c r="A42" s="120" t="s">
        <v>189</v>
      </c>
      <c r="B42" s="120" t="s">
        <v>94</v>
      </c>
      <c r="C42" s="120" t="s">
        <v>109</v>
      </c>
      <c r="D42" s="121">
        <v>22000</v>
      </c>
    </row>
    <row r="43" spans="1:4" x14ac:dyDescent="0.2">
      <c r="A43" s="120"/>
      <c r="B43" s="120" t="s">
        <v>96</v>
      </c>
      <c r="C43" s="120" t="s">
        <v>113</v>
      </c>
      <c r="D43" s="121">
        <v>45000</v>
      </c>
    </row>
    <row r="44" spans="1:4" x14ac:dyDescent="0.2">
      <c r="A44" s="120"/>
      <c r="B44" s="120" t="s">
        <v>98</v>
      </c>
      <c r="C44" s="120" t="s">
        <v>113</v>
      </c>
      <c r="D44" s="121">
        <v>40000</v>
      </c>
    </row>
    <row r="45" spans="1:4" x14ac:dyDescent="0.2">
      <c r="A45" s="120"/>
      <c r="B45" s="120" t="s">
        <v>99</v>
      </c>
      <c r="C45" s="120" t="s">
        <v>113</v>
      </c>
      <c r="D45" s="121">
        <v>40000</v>
      </c>
    </row>
    <row r="46" spans="1:4" x14ac:dyDescent="0.2">
      <c r="A46" s="120"/>
      <c r="B46" s="120" t="s">
        <v>102</v>
      </c>
      <c r="C46" s="120" t="s">
        <v>117</v>
      </c>
      <c r="D46" s="121">
        <v>5000</v>
      </c>
    </row>
    <row r="47" spans="1:4" x14ac:dyDescent="0.2">
      <c r="A47" s="120"/>
      <c r="B47" s="120" t="s">
        <v>100</v>
      </c>
      <c r="C47" s="120" t="s">
        <v>115</v>
      </c>
      <c r="D47" s="121">
        <v>6000</v>
      </c>
    </row>
    <row r="48" spans="1:4" x14ac:dyDescent="0.2">
      <c r="A48" s="120"/>
      <c r="B48" s="120" t="s">
        <v>116</v>
      </c>
      <c r="C48" s="120" t="s">
        <v>112</v>
      </c>
      <c r="D48" s="121">
        <v>15000</v>
      </c>
    </row>
    <row r="49" spans="1:4" x14ac:dyDescent="0.2">
      <c r="A49" s="120"/>
      <c r="B49" s="120" t="s">
        <v>106</v>
      </c>
      <c r="C49" s="120" t="s">
        <v>115</v>
      </c>
      <c r="D49" s="121">
        <v>3000</v>
      </c>
    </row>
    <row r="50" spans="1:4" ht="14.25" x14ac:dyDescent="0.2">
      <c r="A50" s="120"/>
      <c r="B50" s="120"/>
      <c r="C50" s="120"/>
      <c r="D50" s="126">
        <v>176000</v>
      </c>
    </row>
    <row r="51" spans="1:4" x14ac:dyDescent="0.2">
      <c r="A51" s="120"/>
      <c r="B51" s="120"/>
      <c r="C51" s="120"/>
      <c r="D51" s="120"/>
    </row>
    <row r="52" spans="1:4" x14ac:dyDescent="0.2">
      <c r="A52" s="120" t="s">
        <v>190</v>
      </c>
      <c r="B52" s="120" t="s">
        <v>94</v>
      </c>
      <c r="C52" s="120" t="s">
        <v>109</v>
      </c>
      <c r="D52" s="121">
        <v>22000</v>
      </c>
    </row>
    <row r="53" spans="1:4" x14ac:dyDescent="0.2">
      <c r="A53" s="120"/>
      <c r="B53" s="120" t="s">
        <v>96</v>
      </c>
      <c r="C53" s="120" t="s">
        <v>113</v>
      </c>
      <c r="D53" s="121">
        <v>45000</v>
      </c>
    </row>
    <row r="54" spans="1:4" x14ac:dyDescent="0.2">
      <c r="A54" s="120"/>
      <c r="B54" s="120" t="s">
        <v>98</v>
      </c>
      <c r="C54" s="120" t="s">
        <v>113</v>
      </c>
      <c r="D54" s="121">
        <v>40000</v>
      </c>
    </row>
    <row r="55" spans="1:4" x14ac:dyDescent="0.2">
      <c r="A55" s="120"/>
      <c r="B55" s="120" t="s">
        <v>99</v>
      </c>
      <c r="C55" s="120" t="s">
        <v>113</v>
      </c>
      <c r="D55" s="121">
        <v>40000</v>
      </c>
    </row>
    <row r="56" spans="1:4" x14ac:dyDescent="0.2">
      <c r="A56" s="120"/>
      <c r="B56" s="120" t="s">
        <v>102</v>
      </c>
      <c r="C56" s="120" t="s">
        <v>117</v>
      </c>
      <c r="D56" s="121">
        <v>5000</v>
      </c>
    </row>
    <row r="57" spans="1:4" x14ac:dyDescent="0.2">
      <c r="A57" s="120"/>
      <c r="B57" s="120" t="s">
        <v>100</v>
      </c>
      <c r="C57" s="120" t="s">
        <v>115</v>
      </c>
      <c r="D57" s="121">
        <v>6000</v>
      </c>
    </row>
    <row r="58" spans="1:4" x14ac:dyDescent="0.2">
      <c r="A58" s="120"/>
      <c r="B58" s="120" t="s">
        <v>116</v>
      </c>
      <c r="C58" s="120" t="s">
        <v>112</v>
      </c>
      <c r="D58" s="121">
        <v>15000</v>
      </c>
    </row>
    <row r="59" spans="1:4" x14ac:dyDescent="0.2">
      <c r="A59" s="120"/>
      <c r="B59" s="120" t="s">
        <v>106</v>
      </c>
      <c r="C59" s="120" t="s">
        <v>115</v>
      </c>
      <c r="D59" s="121">
        <v>3000</v>
      </c>
    </row>
    <row r="60" spans="1:4" ht="14.25" x14ac:dyDescent="0.2">
      <c r="A60" s="120"/>
      <c r="B60" s="120"/>
      <c r="C60" s="120"/>
      <c r="D60" s="126">
        <v>176000</v>
      </c>
    </row>
    <row r="61" spans="1:4" x14ac:dyDescent="0.2">
      <c r="A61" s="120"/>
      <c r="B61" s="120"/>
      <c r="C61" s="120"/>
      <c r="D61" s="120"/>
    </row>
    <row r="62" spans="1:4" x14ac:dyDescent="0.2">
      <c r="A62" s="120" t="s">
        <v>191</v>
      </c>
      <c r="B62" s="120" t="s">
        <v>94</v>
      </c>
      <c r="C62" s="120" t="s">
        <v>109</v>
      </c>
      <c r="D62" s="121">
        <v>22000</v>
      </c>
    </row>
    <row r="63" spans="1:4" x14ac:dyDescent="0.2">
      <c r="A63" s="120"/>
      <c r="B63" s="120" t="s">
        <v>96</v>
      </c>
      <c r="C63" s="120" t="s">
        <v>113</v>
      </c>
      <c r="D63" s="121">
        <v>45000</v>
      </c>
    </row>
    <row r="64" spans="1:4" x14ac:dyDescent="0.2">
      <c r="A64" s="120"/>
      <c r="B64" s="120" t="s">
        <v>98</v>
      </c>
      <c r="C64" s="120" t="s">
        <v>113</v>
      </c>
      <c r="D64" s="121">
        <v>40000</v>
      </c>
    </row>
    <row r="65" spans="1:4" x14ac:dyDescent="0.2">
      <c r="A65" s="120"/>
      <c r="B65" s="120" t="s">
        <v>99</v>
      </c>
      <c r="C65" s="120" t="s">
        <v>113</v>
      </c>
      <c r="D65" s="121">
        <v>40000</v>
      </c>
    </row>
    <row r="66" spans="1:4" x14ac:dyDescent="0.2">
      <c r="A66" s="120"/>
      <c r="B66" s="120" t="s">
        <v>102</v>
      </c>
      <c r="C66" s="120" t="s">
        <v>117</v>
      </c>
      <c r="D66" s="121">
        <v>5000</v>
      </c>
    </row>
    <row r="67" spans="1:4" x14ac:dyDescent="0.2">
      <c r="A67" s="120"/>
      <c r="B67" s="120" t="s">
        <v>100</v>
      </c>
      <c r="C67" s="120" t="s">
        <v>115</v>
      </c>
      <c r="D67" s="121">
        <v>6000</v>
      </c>
    </row>
    <row r="68" spans="1:4" x14ac:dyDescent="0.2">
      <c r="A68" s="120"/>
      <c r="B68" s="120" t="s">
        <v>116</v>
      </c>
      <c r="C68" s="120" t="s">
        <v>112</v>
      </c>
      <c r="D68" s="121">
        <v>15000</v>
      </c>
    </row>
    <row r="69" spans="1:4" x14ac:dyDescent="0.2">
      <c r="A69" s="120"/>
      <c r="B69" s="120" t="s">
        <v>106</v>
      </c>
      <c r="C69" s="120" t="s">
        <v>115</v>
      </c>
      <c r="D69" s="121">
        <v>3000</v>
      </c>
    </row>
    <row r="70" spans="1:4" ht="14.25" x14ac:dyDescent="0.2">
      <c r="A70" s="120"/>
      <c r="B70" s="120"/>
      <c r="C70" s="120"/>
      <c r="D70" s="126">
        <v>176000</v>
      </c>
    </row>
    <row r="71" spans="1:4" x14ac:dyDescent="0.2">
      <c r="A71" s="120"/>
      <c r="B71" s="120"/>
      <c r="C71" s="120"/>
      <c r="D71" s="120"/>
    </row>
    <row r="72" spans="1:4" x14ac:dyDescent="0.2">
      <c r="A72" s="120" t="s">
        <v>192</v>
      </c>
      <c r="B72" s="120" t="s">
        <v>94</v>
      </c>
      <c r="C72" s="120" t="s">
        <v>109</v>
      </c>
      <c r="D72" s="121">
        <v>22000</v>
      </c>
    </row>
    <row r="73" spans="1:4" x14ac:dyDescent="0.2">
      <c r="A73" s="120"/>
      <c r="B73" s="120" t="s">
        <v>96</v>
      </c>
      <c r="C73" s="120" t="s">
        <v>113</v>
      </c>
      <c r="D73" s="121">
        <v>45000</v>
      </c>
    </row>
    <row r="74" spans="1:4" x14ac:dyDescent="0.2">
      <c r="A74" s="120"/>
      <c r="B74" s="120" t="s">
        <v>98</v>
      </c>
      <c r="C74" s="120" t="s">
        <v>113</v>
      </c>
      <c r="D74" s="121">
        <v>40000</v>
      </c>
    </row>
    <row r="75" spans="1:4" x14ac:dyDescent="0.2">
      <c r="A75" s="120"/>
      <c r="B75" s="120" t="s">
        <v>99</v>
      </c>
      <c r="C75" s="120" t="s">
        <v>113</v>
      </c>
      <c r="D75" s="121">
        <v>40000</v>
      </c>
    </row>
    <row r="76" spans="1:4" x14ac:dyDescent="0.2">
      <c r="A76" s="120"/>
      <c r="B76" s="120" t="s">
        <v>102</v>
      </c>
      <c r="C76" s="120" t="s">
        <v>117</v>
      </c>
      <c r="D76" s="121">
        <v>5000</v>
      </c>
    </row>
    <row r="77" spans="1:4" x14ac:dyDescent="0.2">
      <c r="A77" s="120"/>
      <c r="B77" s="120" t="s">
        <v>100</v>
      </c>
      <c r="C77" s="120" t="s">
        <v>115</v>
      </c>
      <c r="D77" s="121">
        <v>6000</v>
      </c>
    </row>
    <row r="78" spans="1:4" x14ac:dyDescent="0.2">
      <c r="A78" s="120"/>
      <c r="B78" s="120" t="s">
        <v>116</v>
      </c>
      <c r="C78" s="120" t="s">
        <v>112</v>
      </c>
      <c r="D78" s="121">
        <v>15000</v>
      </c>
    </row>
    <row r="79" spans="1:4" x14ac:dyDescent="0.2">
      <c r="A79" s="120"/>
      <c r="B79" s="120" t="s">
        <v>106</v>
      </c>
      <c r="C79" s="120" t="s">
        <v>115</v>
      </c>
      <c r="D79" s="121">
        <v>3000</v>
      </c>
    </row>
    <row r="80" spans="1:4" ht="14.25" x14ac:dyDescent="0.2">
      <c r="A80" s="120"/>
      <c r="B80" s="120"/>
      <c r="C80" s="120"/>
      <c r="D80" s="126">
        <v>176000</v>
      </c>
    </row>
    <row r="81" spans="1:4" x14ac:dyDescent="0.2">
      <c r="A81" s="120"/>
      <c r="B81" s="120"/>
      <c r="C81" s="120"/>
      <c r="D81" s="120"/>
    </row>
    <row r="82" spans="1:4" x14ac:dyDescent="0.2">
      <c r="A82" s="120" t="s">
        <v>189</v>
      </c>
      <c r="B82" s="120" t="s">
        <v>94</v>
      </c>
      <c r="C82" s="120" t="s">
        <v>109</v>
      </c>
      <c r="D82" s="121">
        <v>22000</v>
      </c>
    </row>
    <row r="83" spans="1:4" x14ac:dyDescent="0.2">
      <c r="A83" s="120"/>
      <c r="B83" s="120" t="s">
        <v>96</v>
      </c>
      <c r="C83" s="120" t="s">
        <v>113</v>
      </c>
      <c r="D83" s="121">
        <v>45000</v>
      </c>
    </row>
    <row r="84" spans="1:4" x14ac:dyDescent="0.2">
      <c r="A84" s="120"/>
      <c r="B84" s="120" t="s">
        <v>98</v>
      </c>
      <c r="C84" s="120" t="s">
        <v>113</v>
      </c>
      <c r="D84" s="121">
        <v>40000</v>
      </c>
    </row>
    <row r="85" spans="1:4" x14ac:dyDescent="0.2">
      <c r="A85" s="120"/>
      <c r="B85" s="120" t="s">
        <v>99</v>
      </c>
      <c r="C85" s="120" t="s">
        <v>113</v>
      </c>
      <c r="D85" s="121">
        <v>40000</v>
      </c>
    </row>
    <row r="86" spans="1:4" x14ac:dyDescent="0.2">
      <c r="A86" s="120"/>
      <c r="B86" s="120" t="s">
        <v>102</v>
      </c>
      <c r="C86" s="120" t="s">
        <v>117</v>
      </c>
      <c r="D86" s="121">
        <v>5000</v>
      </c>
    </row>
    <row r="87" spans="1:4" x14ac:dyDescent="0.2">
      <c r="A87" s="120"/>
      <c r="B87" s="120" t="s">
        <v>100</v>
      </c>
      <c r="C87" s="120" t="s">
        <v>115</v>
      </c>
      <c r="D87" s="121">
        <v>6000</v>
      </c>
    </row>
    <row r="88" spans="1:4" x14ac:dyDescent="0.2">
      <c r="A88" s="120"/>
      <c r="B88" s="120" t="s">
        <v>116</v>
      </c>
      <c r="C88" s="120" t="s">
        <v>112</v>
      </c>
      <c r="D88" s="121">
        <v>15000</v>
      </c>
    </row>
    <row r="89" spans="1:4" x14ac:dyDescent="0.2">
      <c r="A89" s="120"/>
      <c r="B89" s="120" t="s">
        <v>106</v>
      </c>
      <c r="C89" s="120" t="s">
        <v>115</v>
      </c>
      <c r="D89" s="121">
        <v>3000</v>
      </c>
    </row>
    <row r="90" spans="1:4" ht="14.25" x14ac:dyDescent="0.2">
      <c r="A90" s="120"/>
      <c r="B90" s="120"/>
      <c r="C90" s="120"/>
      <c r="D90" s="126">
        <v>176000</v>
      </c>
    </row>
    <row r="91" spans="1:4" x14ac:dyDescent="0.2">
      <c r="A91" s="120"/>
      <c r="B91" s="120"/>
      <c r="C91" s="120"/>
      <c r="D91" s="120"/>
    </row>
    <row r="92" spans="1:4" x14ac:dyDescent="0.2">
      <c r="A92" s="120" t="s">
        <v>193</v>
      </c>
      <c r="B92" s="120" t="s">
        <v>94</v>
      </c>
      <c r="C92" s="120" t="s">
        <v>109</v>
      </c>
      <c r="D92" s="121">
        <v>22000</v>
      </c>
    </row>
    <row r="93" spans="1:4" x14ac:dyDescent="0.2">
      <c r="A93" s="120"/>
      <c r="B93" s="120" t="s">
        <v>96</v>
      </c>
      <c r="C93" s="120" t="s">
        <v>113</v>
      </c>
      <c r="D93" s="121">
        <v>45000</v>
      </c>
    </row>
    <row r="94" spans="1:4" x14ac:dyDescent="0.2">
      <c r="A94" s="120"/>
      <c r="B94" s="120" t="s">
        <v>98</v>
      </c>
      <c r="C94" s="120" t="s">
        <v>113</v>
      </c>
      <c r="D94" s="121">
        <v>40000</v>
      </c>
    </row>
    <row r="95" spans="1:4" x14ac:dyDescent="0.2">
      <c r="A95" s="120"/>
      <c r="B95" s="120" t="s">
        <v>99</v>
      </c>
      <c r="C95" s="120" t="s">
        <v>113</v>
      </c>
      <c r="D95" s="121">
        <v>40000</v>
      </c>
    </row>
    <row r="96" spans="1:4" x14ac:dyDescent="0.2">
      <c r="A96" s="120"/>
      <c r="B96" s="120" t="s">
        <v>102</v>
      </c>
      <c r="C96" s="120" t="s">
        <v>117</v>
      </c>
      <c r="D96" s="121">
        <v>5000</v>
      </c>
    </row>
    <row r="97" spans="1:4" x14ac:dyDescent="0.2">
      <c r="A97" s="120"/>
      <c r="B97" s="120" t="s">
        <v>100</v>
      </c>
      <c r="C97" s="120" t="s">
        <v>115</v>
      </c>
      <c r="D97" s="121">
        <v>6000</v>
      </c>
    </row>
    <row r="98" spans="1:4" x14ac:dyDescent="0.2">
      <c r="A98" s="120"/>
      <c r="B98" s="120" t="s">
        <v>116</v>
      </c>
      <c r="C98" s="120" t="s">
        <v>112</v>
      </c>
      <c r="D98" s="121">
        <v>15000</v>
      </c>
    </row>
    <row r="99" spans="1:4" x14ac:dyDescent="0.2">
      <c r="A99" s="120"/>
      <c r="B99" s="120" t="s">
        <v>106</v>
      </c>
      <c r="C99" s="120" t="s">
        <v>115</v>
      </c>
      <c r="D99" s="121">
        <v>3000</v>
      </c>
    </row>
    <row r="100" spans="1:4" ht="14.25" x14ac:dyDescent="0.2">
      <c r="A100" s="120"/>
      <c r="B100" s="120"/>
      <c r="C100" s="120"/>
      <c r="D100" s="126">
        <v>176000</v>
      </c>
    </row>
    <row r="101" spans="1:4" x14ac:dyDescent="0.2">
      <c r="A101" s="120"/>
      <c r="B101" s="120"/>
      <c r="C101" s="120"/>
      <c r="D101" s="120"/>
    </row>
    <row r="102" spans="1:4" x14ac:dyDescent="0.2">
      <c r="A102" s="120" t="s">
        <v>194</v>
      </c>
      <c r="B102" s="120" t="s">
        <v>94</v>
      </c>
      <c r="C102" s="120" t="s">
        <v>109</v>
      </c>
      <c r="D102" s="121">
        <v>22000</v>
      </c>
    </row>
    <row r="103" spans="1:4" x14ac:dyDescent="0.2">
      <c r="A103" s="120"/>
      <c r="B103" s="120" t="s">
        <v>96</v>
      </c>
      <c r="C103" s="120" t="s">
        <v>113</v>
      </c>
      <c r="D103" s="121">
        <v>45000</v>
      </c>
    </row>
    <row r="104" spans="1:4" x14ac:dyDescent="0.2">
      <c r="A104" s="120"/>
      <c r="B104" s="120" t="s">
        <v>98</v>
      </c>
      <c r="C104" s="120" t="s">
        <v>113</v>
      </c>
      <c r="D104" s="121">
        <v>40000</v>
      </c>
    </row>
    <row r="105" spans="1:4" x14ac:dyDescent="0.2">
      <c r="A105" s="120"/>
      <c r="B105" s="120" t="s">
        <v>99</v>
      </c>
      <c r="C105" s="120" t="s">
        <v>113</v>
      </c>
      <c r="D105" s="121">
        <v>40000</v>
      </c>
    </row>
    <row r="106" spans="1:4" x14ac:dyDescent="0.2">
      <c r="A106" s="120"/>
      <c r="B106" s="120" t="s">
        <v>118</v>
      </c>
      <c r="C106" s="120" t="s">
        <v>117</v>
      </c>
      <c r="D106" s="121">
        <v>5000</v>
      </c>
    </row>
    <row r="107" spans="1:4" x14ac:dyDescent="0.2">
      <c r="A107" s="120"/>
      <c r="B107" s="120" t="s">
        <v>100</v>
      </c>
      <c r="C107" s="120" t="s">
        <v>115</v>
      </c>
      <c r="D107" s="121">
        <v>6000</v>
      </c>
    </row>
    <row r="108" spans="1:4" x14ac:dyDescent="0.2">
      <c r="A108" s="120"/>
      <c r="B108" s="120" t="s">
        <v>116</v>
      </c>
      <c r="C108" s="120" t="s">
        <v>112</v>
      </c>
      <c r="D108" s="121">
        <v>15000</v>
      </c>
    </row>
    <row r="109" spans="1:4" x14ac:dyDescent="0.2">
      <c r="A109" s="120"/>
      <c r="B109" s="120" t="s">
        <v>106</v>
      </c>
      <c r="C109" s="120" t="s">
        <v>115</v>
      </c>
      <c r="D109" s="121">
        <v>3000</v>
      </c>
    </row>
    <row r="110" spans="1:4" ht="14.25" x14ac:dyDescent="0.2">
      <c r="A110" s="120"/>
      <c r="B110" s="120"/>
      <c r="C110" s="120"/>
      <c r="D110" s="126">
        <v>176000</v>
      </c>
    </row>
    <row r="111" spans="1:4" x14ac:dyDescent="0.2">
      <c r="A111" s="120"/>
      <c r="B111" s="120"/>
      <c r="C111" s="120"/>
      <c r="D111" s="120"/>
    </row>
    <row r="112" spans="1:4" x14ac:dyDescent="0.2">
      <c r="A112" s="120" t="s">
        <v>195</v>
      </c>
      <c r="B112" s="120" t="s">
        <v>94</v>
      </c>
      <c r="C112" s="120" t="s">
        <v>109</v>
      </c>
      <c r="D112" s="121">
        <v>22000</v>
      </c>
    </row>
    <row r="113" spans="1:4" x14ac:dyDescent="0.2">
      <c r="A113" s="120"/>
      <c r="B113" s="120" t="s">
        <v>96</v>
      </c>
      <c r="C113" s="120" t="s">
        <v>113</v>
      </c>
      <c r="D113" s="121">
        <v>45000</v>
      </c>
    </row>
    <row r="114" spans="1:4" x14ac:dyDescent="0.2">
      <c r="A114" s="120"/>
      <c r="B114" s="120" t="s">
        <v>98</v>
      </c>
      <c r="C114" s="120" t="s">
        <v>113</v>
      </c>
      <c r="D114" s="121">
        <v>40000</v>
      </c>
    </row>
    <row r="115" spans="1:4" x14ac:dyDescent="0.2">
      <c r="A115" s="120"/>
      <c r="B115" s="120" t="s">
        <v>99</v>
      </c>
      <c r="C115" s="120" t="s">
        <v>113</v>
      </c>
      <c r="D115" s="121">
        <v>40000</v>
      </c>
    </row>
    <row r="116" spans="1:4" x14ac:dyDescent="0.2">
      <c r="A116" s="120"/>
      <c r="B116" s="120" t="s">
        <v>102</v>
      </c>
      <c r="C116" s="120" t="s">
        <v>117</v>
      </c>
      <c r="D116" s="121">
        <v>5000</v>
      </c>
    </row>
    <row r="117" spans="1:4" x14ac:dyDescent="0.2">
      <c r="A117" s="120"/>
      <c r="B117" s="120" t="s">
        <v>100</v>
      </c>
      <c r="C117" s="120" t="s">
        <v>115</v>
      </c>
      <c r="D117" s="121">
        <v>6000</v>
      </c>
    </row>
    <row r="118" spans="1:4" x14ac:dyDescent="0.2">
      <c r="A118" s="120"/>
      <c r="B118" s="120" t="s">
        <v>116</v>
      </c>
      <c r="C118" s="120" t="s">
        <v>112</v>
      </c>
      <c r="D118" s="121">
        <v>15000</v>
      </c>
    </row>
    <row r="119" spans="1:4" x14ac:dyDescent="0.2">
      <c r="A119" s="120"/>
      <c r="B119" s="120" t="s">
        <v>106</v>
      </c>
      <c r="C119" s="120" t="s">
        <v>115</v>
      </c>
      <c r="D119" s="121">
        <v>3000</v>
      </c>
    </row>
    <row r="120" spans="1:4" ht="14.25" x14ac:dyDescent="0.2">
      <c r="A120" s="120"/>
      <c r="B120" s="120"/>
      <c r="C120" s="120"/>
      <c r="D120" s="126">
        <v>176000</v>
      </c>
    </row>
    <row r="121" spans="1:4" x14ac:dyDescent="0.2">
      <c r="A121" s="120"/>
      <c r="B121" s="120"/>
      <c r="C121" s="120"/>
      <c r="D121" s="120"/>
    </row>
    <row r="122" spans="1:4" x14ac:dyDescent="0.2">
      <c r="A122" s="120" t="s">
        <v>196</v>
      </c>
      <c r="B122" s="120" t="s">
        <v>94</v>
      </c>
      <c r="C122" s="120" t="s">
        <v>109</v>
      </c>
      <c r="D122" s="121">
        <v>22000</v>
      </c>
    </row>
    <row r="123" spans="1:4" x14ac:dyDescent="0.2">
      <c r="A123" s="120"/>
      <c r="B123" s="120" t="s">
        <v>96</v>
      </c>
      <c r="C123" s="120" t="s">
        <v>113</v>
      </c>
      <c r="D123" s="121">
        <v>45000</v>
      </c>
    </row>
    <row r="124" spans="1:4" x14ac:dyDescent="0.2">
      <c r="A124" s="120"/>
      <c r="B124" s="120" t="s">
        <v>98</v>
      </c>
      <c r="C124" s="120" t="s">
        <v>113</v>
      </c>
      <c r="D124" s="121">
        <v>40000</v>
      </c>
    </row>
    <row r="125" spans="1:4" x14ac:dyDescent="0.2">
      <c r="A125" s="120"/>
      <c r="B125" s="120" t="s">
        <v>99</v>
      </c>
      <c r="C125" s="120" t="s">
        <v>113</v>
      </c>
      <c r="D125" s="121">
        <v>40000</v>
      </c>
    </row>
    <row r="126" spans="1:4" x14ac:dyDescent="0.2">
      <c r="A126" s="120"/>
      <c r="B126" s="120" t="s">
        <v>102</v>
      </c>
      <c r="C126" s="120" t="s">
        <v>117</v>
      </c>
      <c r="D126" s="121">
        <v>5000</v>
      </c>
    </row>
    <row r="127" spans="1:4" x14ac:dyDescent="0.2">
      <c r="A127" s="120"/>
      <c r="B127" s="120" t="s">
        <v>100</v>
      </c>
      <c r="C127" s="120" t="s">
        <v>115</v>
      </c>
      <c r="D127" s="121">
        <v>6000</v>
      </c>
    </row>
    <row r="128" spans="1:4" x14ac:dyDescent="0.2">
      <c r="A128" s="120"/>
      <c r="B128" s="120" t="s">
        <v>116</v>
      </c>
      <c r="C128" s="120" t="s">
        <v>112</v>
      </c>
      <c r="D128" s="121">
        <v>15000</v>
      </c>
    </row>
    <row r="129" spans="1:4" x14ac:dyDescent="0.2">
      <c r="A129" s="120"/>
      <c r="B129" s="120" t="s">
        <v>106</v>
      </c>
      <c r="C129" s="120" t="s">
        <v>115</v>
      </c>
      <c r="D129" s="121">
        <v>3000</v>
      </c>
    </row>
    <row r="130" spans="1:4" ht="14.25" x14ac:dyDescent="0.2">
      <c r="A130" s="120"/>
      <c r="B130" s="120"/>
      <c r="C130" s="120"/>
      <c r="D130" s="126">
        <v>176000</v>
      </c>
    </row>
    <row r="131" spans="1:4" x14ac:dyDescent="0.2">
      <c r="A131" s="120"/>
      <c r="B131" s="120"/>
      <c r="C131" s="120"/>
      <c r="D131" s="120"/>
    </row>
    <row r="132" spans="1:4" x14ac:dyDescent="0.2">
      <c r="A132" s="120" t="s">
        <v>197</v>
      </c>
      <c r="B132" s="120" t="s">
        <v>94</v>
      </c>
      <c r="C132" s="120" t="s">
        <v>109</v>
      </c>
      <c r="D132" s="121">
        <v>22000</v>
      </c>
    </row>
    <row r="133" spans="1:4" x14ac:dyDescent="0.2">
      <c r="A133" s="120"/>
      <c r="B133" s="120" t="s">
        <v>96</v>
      </c>
      <c r="C133" s="120" t="s">
        <v>113</v>
      </c>
      <c r="D133" s="121">
        <v>45000</v>
      </c>
    </row>
    <row r="134" spans="1:4" x14ac:dyDescent="0.2">
      <c r="A134" s="120"/>
      <c r="B134" s="120" t="s">
        <v>98</v>
      </c>
      <c r="C134" s="120" t="s">
        <v>113</v>
      </c>
      <c r="D134" s="121">
        <v>40000</v>
      </c>
    </row>
    <row r="135" spans="1:4" x14ac:dyDescent="0.2">
      <c r="A135" s="120"/>
      <c r="B135" s="120" t="s">
        <v>99</v>
      </c>
      <c r="C135" s="120" t="s">
        <v>113</v>
      </c>
      <c r="D135" s="121">
        <v>40000</v>
      </c>
    </row>
    <row r="136" spans="1:4" x14ac:dyDescent="0.2">
      <c r="A136" s="120"/>
      <c r="B136" s="120" t="s">
        <v>102</v>
      </c>
      <c r="C136" s="120" t="s">
        <v>117</v>
      </c>
      <c r="D136" s="121">
        <v>5000</v>
      </c>
    </row>
    <row r="137" spans="1:4" x14ac:dyDescent="0.2">
      <c r="A137" s="120"/>
      <c r="B137" s="120" t="s">
        <v>100</v>
      </c>
      <c r="C137" s="120" t="s">
        <v>115</v>
      </c>
      <c r="D137" s="121">
        <v>6000</v>
      </c>
    </row>
    <row r="138" spans="1:4" x14ac:dyDescent="0.2">
      <c r="A138" s="120"/>
      <c r="B138" s="120" t="s">
        <v>116</v>
      </c>
      <c r="C138" s="120" t="s">
        <v>112</v>
      </c>
      <c r="D138" s="121">
        <v>15000</v>
      </c>
    </row>
    <row r="139" spans="1:4" x14ac:dyDescent="0.2">
      <c r="A139" s="120"/>
      <c r="B139" s="120" t="s">
        <v>106</v>
      </c>
      <c r="C139" s="120" t="s">
        <v>115</v>
      </c>
      <c r="D139" s="121">
        <v>3000</v>
      </c>
    </row>
    <row r="140" spans="1:4" ht="14.25" x14ac:dyDescent="0.2">
      <c r="A140" s="120"/>
      <c r="B140" s="120"/>
      <c r="C140" s="120"/>
      <c r="D140" s="126">
        <v>176000</v>
      </c>
    </row>
    <row r="141" spans="1:4" x14ac:dyDescent="0.2">
      <c r="A141" s="120"/>
      <c r="B141" s="120"/>
      <c r="C141" s="120"/>
      <c r="D141" s="120"/>
    </row>
    <row r="142" spans="1:4" x14ac:dyDescent="0.2">
      <c r="A142" s="120" t="s">
        <v>198</v>
      </c>
      <c r="B142" s="120" t="s">
        <v>94</v>
      </c>
      <c r="C142" s="120" t="s">
        <v>109</v>
      </c>
      <c r="D142" s="121">
        <v>22000</v>
      </c>
    </row>
    <row r="143" spans="1:4" x14ac:dyDescent="0.2">
      <c r="A143" s="120"/>
      <c r="B143" s="120" t="s">
        <v>96</v>
      </c>
      <c r="C143" s="120" t="s">
        <v>113</v>
      </c>
      <c r="D143" s="121">
        <v>45000</v>
      </c>
    </row>
    <row r="144" spans="1:4" x14ac:dyDescent="0.2">
      <c r="A144" s="120"/>
      <c r="B144" s="120" t="s">
        <v>98</v>
      </c>
      <c r="C144" s="120" t="s">
        <v>113</v>
      </c>
      <c r="D144" s="121">
        <v>40000</v>
      </c>
    </row>
    <row r="145" spans="1:4" x14ac:dyDescent="0.2">
      <c r="A145" s="120"/>
      <c r="B145" s="120" t="s">
        <v>99</v>
      </c>
      <c r="C145" s="120" t="s">
        <v>113</v>
      </c>
      <c r="D145" s="121">
        <v>40000</v>
      </c>
    </row>
    <row r="146" spans="1:4" x14ac:dyDescent="0.2">
      <c r="A146" s="120"/>
      <c r="B146" s="120" t="s">
        <v>119</v>
      </c>
      <c r="C146" s="120" t="s">
        <v>117</v>
      </c>
      <c r="D146" s="121">
        <v>5000</v>
      </c>
    </row>
    <row r="147" spans="1:4" x14ac:dyDescent="0.2">
      <c r="A147" s="120"/>
      <c r="B147" s="120" t="s">
        <v>100</v>
      </c>
      <c r="C147" s="120" t="s">
        <v>115</v>
      </c>
      <c r="D147" s="121">
        <v>6000</v>
      </c>
    </row>
    <row r="148" spans="1:4" x14ac:dyDescent="0.2">
      <c r="A148" s="120"/>
      <c r="B148" s="120" t="s">
        <v>116</v>
      </c>
      <c r="C148" s="120" t="s">
        <v>112</v>
      </c>
      <c r="D148" s="121">
        <v>15000</v>
      </c>
    </row>
    <row r="149" spans="1:4" x14ac:dyDescent="0.2">
      <c r="A149" s="120"/>
      <c r="B149" s="120" t="s">
        <v>106</v>
      </c>
      <c r="C149" s="120" t="s">
        <v>115</v>
      </c>
      <c r="D149" s="121">
        <v>3000</v>
      </c>
    </row>
    <row r="150" spans="1:4" ht="14.25" x14ac:dyDescent="0.2">
      <c r="A150" s="120"/>
      <c r="B150" s="120"/>
      <c r="C150" s="120"/>
      <c r="D150" s="126">
        <v>176000</v>
      </c>
    </row>
    <row r="151" spans="1:4" x14ac:dyDescent="0.2">
      <c r="A151" s="120"/>
      <c r="B151" s="120"/>
      <c r="C151" s="120"/>
      <c r="D151" s="120"/>
    </row>
    <row r="152" spans="1:4" ht="15" x14ac:dyDescent="0.25">
      <c r="A152" s="136" t="s">
        <v>199</v>
      </c>
      <c r="B152" s="120" t="s">
        <v>94</v>
      </c>
      <c r="C152" s="120" t="s">
        <v>109</v>
      </c>
      <c r="D152" s="121">
        <v>22000</v>
      </c>
    </row>
    <row r="153" spans="1:4" x14ac:dyDescent="0.2">
      <c r="A153" s="120"/>
      <c r="B153" s="120" t="s">
        <v>96</v>
      </c>
      <c r="C153" s="120" t="s">
        <v>113</v>
      </c>
      <c r="D153" s="121">
        <v>45000</v>
      </c>
    </row>
    <row r="154" spans="1:4" x14ac:dyDescent="0.2">
      <c r="A154" s="120"/>
      <c r="B154" s="120" t="s">
        <v>98</v>
      </c>
      <c r="C154" s="120" t="s">
        <v>113</v>
      </c>
      <c r="D154" s="121">
        <v>40000</v>
      </c>
    </row>
    <row r="155" spans="1:4" x14ac:dyDescent="0.2">
      <c r="A155" s="120"/>
      <c r="B155" s="120" t="s">
        <v>99</v>
      </c>
      <c r="C155" s="120" t="s">
        <v>113</v>
      </c>
      <c r="D155" s="121">
        <v>40000</v>
      </c>
    </row>
    <row r="156" spans="1:4" x14ac:dyDescent="0.2">
      <c r="A156" s="120"/>
      <c r="B156" s="120" t="s">
        <v>102</v>
      </c>
      <c r="C156" s="120" t="s">
        <v>117</v>
      </c>
      <c r="D156" s="121">
        <v>5000</v>
      </c>
    </row>
    <row r="157" spans="1:4" x14ac:dyDescent="0.2">
      <c r="A157" s="120"/>
      <c r="B157" s="120" t="s">
        <v>100</v>
      </c>
      <c r="C157" s="120" t="s">
        <v>115</v>
      </c>
      <c r="D157" s="121">
        <v>6000</v>
      </c>
    </row>
    <row r="158" spans="1:4" x14ac:dyDescent="0.2">
      <c r="A158" s="120"/>
      <c r="B158" s="120" t="s">
        <v>120</v>
      </c>
      <c r="C158" s="120" t="s">
        <v>112</v>
      </c>
      <c r="D158" s="121">
        <v>15000</v>
      </c>
    </row>
    <row r="159" spans="1:4" x14ac:dyDescent="0.2">
      <c r="A159" s="120"/>
      <c r="B159" s="120" t="s">
        <v>106</v>
      </c>
      <c r="C159" s="120" t="s">
        <v>115</v>
      </c>
      <c r="D159" s="121">
        <v>3000</v>
      </c>
    </row>
    <row r="160" spans="1:4" ht="14.25" x14ac:dyDescent="0.2">
      <c r="A160" s="120"/>
      <c r="B160" s="120"/>
      <c r="C160" s="120"/>
      <c r="D160" s="126">
        <v>176000</v>
      </c>
    </row>
    <row r="161" spans="1:4" x14ac:dyDescent="0.2">
      <c r="A161" s="120"/>
      <c r="B161" s="120"/>
      <c r="C161" s="120"/>
      <c r="D161" s="120"/>
    </row>
    <row r="162" spans="1:4" ht="15" x14ac:dyDescent="0.25">
      <c r="A162" s="136" t="s">
        <v>200</v>
      </c>
      <c r="B162" s="120" t="s">
        <v>94</v>
      </c>
      <c r="C162" s="120" t="s">
        <v>109</v>
      </c>
      <c r="D162" s="121">
        <v>22000</v>
      </c>
    </row>
    <row r="163" spans="1:4" x14ac:dyDescent="0.2">
      <c r="A163" s="120"/>
      <c r="B163" s="120" t="s">
        <v>96</v>
      </c>
      <c r="C163" s="120" t="s">
        <v>113</v>
      </c>
      <c r="D163" s="121">
        <v>45000</v>
      </c>
    </row>
    <row r="164" spans="1:4" x14ac:dyDescent="0.2">
      <c r="A164" s="120"/>
      <c r="B164" s="120" t="s">
        <v>98</v>
      </c>
      <c r="C164" s="120" t="s">
        <v>113</v>
      </c>
      <c r="D164" s="121">
        <v>40000</v>
      </c>
    </row>
    <row r="165" spans="1:4" x14ac:dyDescent="0.2">
      <c r="A165" s="120"/>
      <c r="B165" s="120" t="s">
        <v>99</v>
      </c>
      <c r="C165" s="120" t="s">
        <v>113</v>
      </c>
      <c r="D165" s="121">
        <v>40000</v>
      </c>
    </row>
    <row r="166" spans="1:4" x14ac:dyDescent="0.2">
      <c r="A166" s="120"/>
      <c r="B166" s="120" t="s">
        <v>102</v>
      </c>
      <c r="C166" s="120" t="s">
        <v>117</v>
      </c>
      <c r="D166" s="121">
        <v>5000</v>
      </c>
    </row>
    <row r="167" spans="1:4" x14ac:dyDescent="0.2">
      <c r="A167" s="120"/>
      <c r="B167" s="120" t="s">
        <v>100</v>
      </c>
      <c r="C167" s="120" t="s">
        <v>115</v>
      </c>
      <c r="D167" s="121">
        <v>6000</v>
      </c>
    </row>
    <row r="168" spans="1:4" x14ac:dyDescent="0.2">
      <c r="A168" s="120"/>
      <c r="B168" s="120" t="s">
        <v>116</v>
      </c>
      <c r="C168" s="120" t="s">
        <v>112</v>
      </c>
      <c r="D168" s="121">
        <v>15000</v>
      </c>
    </row>
    <row r="169" spans="1:4" x14ac:dyDescent="0.2">
      <c r="A169" s="120"/>
      <c r="B169" s="120" t="s">
        <v>106</v>
      </c>
      <c r="C169" s="120" t="s">
        <v>115</v>
      </c>
      <c r="D169" s="121">
        <v>3000</v>
      </c>
    </row>
    <row r="170" spans="1:4" ht="14.25" x14ac:dyDescent="0.2">
      <c r="A170" s="120"/>
      <c r="B170" s="120"/>
      <c r="C170" s="120"/>
      <c r="D170" s="126">
        <v>176000</v>
      </c>
    </row>
    <row r="171" spans="1:4" x14ac:dyDescent="0.2">
      <c r="A171" s="120"/>
      <c r="B171" s="120"/>
      <c r="C171" s="120"/>
      <c r="D171" s="120"/>
    </row>
    <row r="172" spans="1:4" x14ac:dyDescent="0.2">
      <c r="A172" s="120" t="s">
        <v>121</v>
      </c>
      <c r="B172" s="120"/>
      <c r="C172" s="120"/>
      <c r="D172" s="121">
        <v>3712000</v>
      </c>
    </row>
    <row r="173" spans="1:4" x14ac:dyDescent="0.2">
      <c r="A173" s="120"/>
      <c r="B173" s="120"/>
      <c r="C173" s="120"/>
      <c r="D173" s="120"/>
    </row>
    <row r="174" spans="1:4" ht="14.25" x14ac:dyDescent="0.2">
      <c r="A174" s="119" t="s">
        <v>202</v>
      </c>
      <c r="B174" s="120"/>
      <c r="C174" s="120"/>
      <c r="D174" s="120"/>
    </row>
    <row r="175" spans="1:4" x14ac:dyDescent="0.2">
      <c r="A175" s="120" t="s">
        <v>201</v>
      </c>
      <c r="B175" s="120" t="s">
        <v>122</v>
      </c>
      <c r="C175" s="120" t="s">
        <v>123</v>
      </c>
      <c r="D175" s="121">
        <v>82000</v>
      </c>
    </row>
    <row r="176" spans="1:4" x14ac:dyDescent="0.2">
      <c r="A176" s="120"/>
      <c r="B176" s="120" t="s">
        <v>96</v>
      </c>
      <c r="C176" s="120" t="s">
        <v>108</v>
      </c>
      <c r="D176" s="121">
        <v>112500</v>
      </c>
    </row>
    <row r="177" spans="1:4" x14ac:dyDescent="0.2">
      <c r="A177" s="120"/>
      <c r="B177" s="120" t="s">
        <v>99</v>
      </c>
      <c r="C177" s="120" t="s">
        <v>108</v>
      </c>
      <c r="D177" s="121">
        <v>85000</v>
      </c>
    </row>
    <row r="178" spans="1:4" x14ac:dyDescent="0.2">
      <c r="A178" s="120"/>
      <c r="B178" s="120" t="s">
        <v>98</v>
      </c>
      <c r="C178" s="120" t="s">
        <v>108</v>
      </c>
      <c r="D178" s="121">
        <v>87500</v>
      </c>
    </row>
    <row r="179" spans="1:4" x14ac:dyDescent="0.2">
      <c r="A179" s="120"/>
      <c r="B179" s="120" t="s">
        <v>102</v>
      </c>
      <c r="C179" s="120" t="s">
        <v>124</v>
      </c>
      <c r="D179" s="121">
        <v>34000</v>
      </c>
    </row>
    <row r="180" spans="1:4" x14ac:dyDescent="0.2">
      <c r="A180" s="120"/>
      <c r="B180" s="120" t="s">
        <v>100</v>
      </c>
      <c r="C180" s="120" t="s">
        <v>125</v>
      </c>
      <c r="D180" s="121">
        <v>28000</v>
      </c>
    </row>
    <row r="181" spans="1:4" x14ac:dyDescent="0.2">
      <c r="A181" s="120"/>
      <c r="B181" s="120" t="s">
        <v>205</v>
      </c>
      <c r="C181" s="120" t="s">
        <v>109</v>
      </c>
      <c r="D181" s="121">
        <v>38000</v>
      </c>
    </row>
    <row r="182" spans="1:4" x14ac:dyDescent="0.2">
      <c r="A182" s="120"/>
      <c r="B182" s="120" t="s">
        <v>126</v>
      </c>
      <c r="C182" s="120" t="s">
        <v>127</v>
      </c>
      <c r="D182" s="121">
        <v>17500</v>
      </c>
    </row>
    <row r="183" spans="1:4" x14ac:dyDescent="0.2">
      <c r="A183" s="120"/>
      <c r="B183" s="120" t="s">
        <v>116</v>
      </c>
      <c r="C183" s="120" t="s">
        <v>128</v>
      </c>
      <c r="D183" s="121">
        <v>15000</v>
      </c>
    </row>
    <row r="184" spans="1:4" x14ac:dyDescent="0.2">
      <c r="A184" s="120"/>
      <c r="B184" s="120" t="s">
        <v>129</v>
      </c>
      <c r="C184" s="120"/>
      <c r="D184" s="121">
        <v>50000</v>
      </c>
    </row>
    <row r="185" spans="1:4" x14ac:dyDescent="0.2">
      <c r="A185" s="120"/>
      <c r="B185" s="120" t="s">
        <v>130</v>
      </c>
      <c r="C185" s="120"/>
      <c r="D185" s="121">
        <v>15000</v>
      </c>
    </row>
    <row r="186" spans="1:4" x14ac:dyDescent="0.2">
      <c r="A186" s="120"/>
      <c r="B186" s="120" t="s">
        <v>131</v>
      </c>
      <c r="C186" s="120"/>
      <c r="D186" s="121">
        <v>27500</v>
      </c>
    </row>
    <row r="187" spans="1:4" x14ac:dyDescent="0.2">
      <c r="A187" s="120"/>
      <c r="B187" s="120" t="s">
        <v>132</v>
      </c>
      <c r="C187" s="120" t="s">
        <v>133</v>
      </c>
      <c r="D187" s="121">
        <v>60000</v>
      </c>
    </row>
    <row r="188" spans="1:4" x14ac:dyDescent="0.2">
      <c r="A188" s="120"/>
      <c r="B188" s="120" t="s">
        <v>134</v>
      </c>
      <c r="C188" s="120"/>
      <c r="D188" s="121">
        <v>10000</v>
      </c>
    </row>
    <row r="189" spans="1:4" x14ac:dyDescent="0.2">
      <c r="A189" s="120"/>
      <c r="B189" s="120" t="s">
        <v>135</v>
      </c>
      <c r="C189" s="120" t="s">
        <v>128</v>
      </c>
      <c r="D189" s="121">
        <v>12000</v>
      </c>
    </row>
    <row r="190" spans="1:4" x14ac:dyDescent="0.2">
      <c r="A190" s="120"/>
      <c r="B190" s="120" t="s">
        <v>136</v>
      </c>
      <c r="C190" s="120" t="s">
        <v>137</v>
      </c>
      <c r="D190" s="121">
        <v>22000</v>
      </c>
    </row>
    <row r="191" spans="1:4" x14ac:dyDescent="0.2">
      <c r="A191" s="120"/>
      <c r="B191" s="120" t="s">
        <v>138</v>
      </c>
      <c r="C191" s="120" t="s">
        <v>133</v>
      </c>
      <c r="D191" s="121">
        <v>100000</v>
      </c>
    </row>
    <row r="192" spans="1:4" x14ac:dyDescent="0.2">
      <c r="A192" s="120"/>
      <c r="B192" s="120" t="s">
        <v>139</v>
      </c>
      <c r="C192" s="120" t="s">
        <v>133</v>
      </c>
      <c r="D192" s="121">
        <v>100000</v>
      </c>
    </row>
    <row r="193" spans="1:4" ht="14.25" x14ac:dyDescent="0.2">
      <c r="A193" s="120"/>
      <c r="B193" s="120"/>
      <c r="C193" s="120"/>
      <c r="D193" s="126">
        <v>863500</v>
      </c>
    </row>
    <row r="194" spans="1:4" x14ac:dyDescent="0.2">
      <c r="A194" s="120" t="s">
        <v>140</v>
      </c>
      <c r="B194" s="120" t="s">
        <v>141</v>
      </c>
      <c r="C194" s="120"/>
      <c r="D194" s="121">
        <v>136500</v>
      </c>
    </row>
    <row r="195" spans="1:4" x14ac:dyDescent="0.2">
      <c r="A195" s="120"/>
      <c r="B195" s="120"/>
      <c r="C195" s="120"/>
      <c r="D195" s="120"/>
    </row>
    <row r="196" spans="1:4" ht="14.25" x14ac:dyDescent="0.2">
      <c r="A196" s="120" t="s">
        <v>203</v>
      </c>
      <c r="B196" s="120" t="s">
        <v>142</v>
      </c>
      <c r="C196" s="120"/>
      <c r="D196" s="126">
        <v>550000</v>
      </c>
    </row>
    <row r="197" spans="1:4" x14ac:dyDescent="0.2">
      <c r="A197" s="120"/>
      <c r="B197" s="120"/>
      <c r="C197" s="120"/>
      <c r="D197" s="120"/>
    </row>
    <row r="198" spans="1:4" x14ac:dyDescent="0.2">
      <c r="A198" s="120" t="s">
        <v>204</v>
      </c>
      <c r="B198" s="120" t="s">
        <v>94</v>
      </c>
      <c r="C198" s="120" t="s">
        <v>108</v>
      </c>
      <c r="D198" s="121">
        <v>55000</v>
      </c>
    </row>
    <row r="199" spans="1:4" x14ac:dyDescent="0.2">
      <c r="A199" s="120"/>
      <c r="B199" s="120" t="s">
        <v>96</v>
      </c>
      <c r="C199" s="120" t="s">
        <v>123</v>
      </c>
      <c r="D199" s="121">
        <v>160000</v>
      </c>
    </row>
    <row r="200" spans="1:4" x14ac:dyDescent="0.2">
      <c r="A200" s="120"/>
      <c r="B200" s="120" t="s">
        <v>99</v>
      </c>
      <c r="C200" s="120" t="s">
        <v>109</v>
      </c>
      <c r="D200" s="121">
        <v>34000</v>
      </c>
    </row>
    <row r="201" spans="1:4" x14ac:dyDescent="0.2">
      <c r="A201" s="120"/>
      <c r="B201" s="120" t="s">
        <v>98</v>
      </c>
      <c r="C201" s="120" t="s">
        <v>109</v>
      </c>
      <c r="D201" s="121">
        <v>35000</v>
      </c>
    </row>
    <row r="202" spans="1:4" x14ac:dyDescent="0.2">
      <c r="A202" s="120"/>
      <c r="B202" s="120" t="s">
        <v>102</v>
      </c>
      <c r="C202" s="120" t="s">
        <v>143</v>
      </c>
      <c r="D202" s="121">
        <v>34000</v>
      </c>
    </row>
    <row r="203" spans="1:4" x14ac:dyDescent="0.2">
      <c r="A203" s="120"/>
      <c r="B203" s="120" t="s">
        <v>144</v>
      </c>
      <c r="C203" s="120" t="s">
        <v>109</v>
      </c>
      <c r="D203" s="121">
        <v>40000</v>
      </c>
    </row>
    <row r="204" spans="1:4" x14ac:dyDescent="0.2">
      <c r="A204" s="120"/>
      <c r="B204" s="120" t="s">
        <v>106</v>
      </c>
      <c r="C204" s="120" t="s">
        <v>101</v>
      </c>
      <c r="D204" s="121">
        <v>5000</v>
      </c>
    </row>
    <row r="205" spans="1:4" x14ac:dyDescent="0.2">
      <c r="A205" s="120"/>
      <c r="B205" s="120" t="s">
        <v>98</v>
      </c>
      <c r="C205" s="120" t="s">
        <v>109</v>
      </c>
      <c r="D205" s="121">
        <v>35000</v>
      </c>
    </row>
    <row r="206" spans="1:4" x14ac:dyDescent="0.2">
      <c r="A206" s="120"/>
      <c r="B206" s="120" t="s">
        <v>135</v>
      </c>
      <c r="C206" s="120" t="s">
        <v>112</v>
      </c>
      <c r="D206" s="121">
        <v>10000</v>
      </c>
    </row>
    <row r="207" spans="1:4" x14ac:dyDescent="0.2">
      <c r="A207" s="120"/>
      <c r="B207" s="120" t="s">
        <v>116</v>
      </c>
      <c r="C207" s="120" t="s">
        <v>112</v>
      </c>
      <c r="D207" s="121">
        <v>12000</v>
      </c>
    </row>
    <row r="208" spans="1:4" x14ac:dyDescent="0.2">
      <c r="A208" s="120"/>
      <c r="B208" s="120" t="s">
        <v>100</v>
      </c>
      <c r="C208" s="120" t="s">
        <v>145</v>
      </c>
      <c r="D208" s="121">
        <v>15000</v>
      </c>
    </row>
    <row r="209" spans="1:4" x14ac:dyDescent="0.2">
      <c r="A209" s="120"/>
      <c r="B209" s="120" t="s">
        <v>146</v>
      </c>
      <c r="C209" s="120" t="s">
        <v>147</v>
      </c>
      <c r="D209" s="121">
        <v>6000</v>
      </c>
    </row>
    <row r="210" spans="1:4" x14ac:dyDescent="0.2">
      <c r="A210" s="120"/>
      <c r="B210" s="120" t="s">
        <v>148</v>
      </c>
      <c r="C210" s="120" t="s">
        <v>149</v>
      </c>
      <c r="D210" s="121">
        <v>7000</v>
      </c>
    </row>
    <row r="211" spans="1:4" x14ac:dyDescent="0.2">
      <c r="A211" s="120"/>
      <c r="B211" s="120" t="s">
        <v>150</v>
      </c>
      <c r="C211" s="120"/>
      <c r="D211" s="121">
        <v>10000</v>
      </c>
    </row>
    <row r="212" spans="1:4" x14ac:dyDescent="0.2">
      <c r="A212" s="120"/>
      <c r="B212" s="120" t="s">
        <v>151</v>
      </c>
      <c r="C212" s="120"/>
      <c r="D212" s="121">
        <v>50000</v>
      </c>
    </row>
    <row r="213" spans="1:4" ht="14.25" x14ac:dyDescent="0.2">
      <c r="A213" s="120"/>
      <c r="B213" s="120"/>
      <c r="C213" s="120"/>
      <c r="D213" s="126">
        <v>493000</v>
      </c>
    </row>
    <row r="214" spans="1:4" x14ac:dyDescent="0.2">
      <c r="A214" s="120" t="s">
        <v>141</v>
      </c>
      <c r="B214" s="120"/>
      <c r="C214" s="120"/>
      <c r="D214" s="121">
        <v>237000</v>
      </c>
    </row>
    <row r="215" spans="1:4" x14ac:dyDescent="0.2">
      <c r="A215" s="120"/>
      <c r="B215" s="120"/>
      <c r="C215" s="120"/>
      <c r="D215" s="120"/>
    </row>
    <row r="216" spans="1:4" ht="14.25" x14ac:dyDescent="0.2">
      <c r="A216" s="120" t="s">
        <v>152</v>
      </c>
      <c r="B216" s="120"/>
      <c r="C216" s="120"/>
      <c r="D216" s="126">
        <v>2280000</v>
      </c>
    </row>
  </sheetData>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cb782496-9180-4cba-ab2a-378f1dea3dfe" xsi:nil="true"/>
    <_Flow_SignoffStatus xmlns="43b67453-1dbd-4638-bb32-efcdcda4bdf6" xsi:nil="true"/>
    <lcf76f155ced4ddcb4097134ff3c332f xmlns="43b67453-1dbd-4638-bb32-efcdcda4bdf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A5B62DD0E0DE45AD95B2140CC94C4B" ma:contentTypeVersion="20" ma:contentTypeDescription="Create a new document." ma:contentTypeScope="" ma:versionID="18fa7af152f5d9937935989a7eff4fb1">
  <xsd:schema xmlns:xsd="http://www.w3.org/2001/XMLSchema" xmlns:xs="http://www.w3.org/2001/XMLSchema" xmlns:p="http://schemas.microsoft.com/office/2006/metadata/properties" xmlns:ns1="http://schemas.microsoft.com/sharepoint/v3" xmlns:ns2="43b67453-1dbd-4638-bb32-efcdcda4bdf6" xmlns:ns3="cb782496-9180-4cba-ab2a-378f1dea3dfe" targetNamespace="http://schemas.microsoft.com/office/2006/metadata/properties" ma:root="true" ma:fieldsID="f7881892b816977b272aea0b5bc682cb" ns1:_="" ns2:_="" ns3:_="">
    <xsd:import namespace="http://schemas.microsoft.com/sharepoint/v3"/>
    <xsd:import namespace="43b67453-1dbd-4638-bb32-efcdcda4bdf6"/>
    <xsd:import namespace="cb782496-9180-4cba-ab2a-378f1dea3dfe"/>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SearchProperties" minOccurs="0"/>
                <xsd:element ref="ns2:MediaLengthInSeconds" minOccurs="0"/>
                <xsd:element ref="ns2:MediaServiceDateTaken"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SystemTags" minOccurs="0"/>
                <xsd:element ref="ns2:_Flow_SignoffStatu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b67453-1dbd-4638-bb32-efcdcda4bdf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element name="_Flow_SignoffStatus" ma:index="26" nillable="true" ma:displayName="Sign-off status" ma:internalName="Sign_x002d_off_x0020_status">
      <xsd:simpleType>
        <xsd:restriction base="dms:Text"/>
      </xsd:simpleType>
    </xsd:element>
    <xsd:element name="MediaServiceBillingMetadata" ma:index="27" nillable="true" ma:displayName="MediaServiceBillingMetadata" ma:hidden="true" ma:internalName="MediaServiceBillingMetadata"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782496-9180-4cba-ab2a-378f1dea3df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27b1723b-0d5f-4ee5-a4fe-20be58a715a1}" ma:internalName="TaxCatchAll" ma:showField="CatchAllData" ma:web="cb782496-9180-4cba-ab2a-378f1dea3d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9016F9-7015-43E2-8C51-8C9B031A2916}">
  <ds:schemaRefs>
    <ds:schemaRef ds:uri="http://schemas.microsoft.com/office/infopath/2007/PartnerControls"/>
    <ds:schemaRef ds:uri="http://purl.org/dc/elements/1.1/"/>
    <ds:schemaRef ds:uri="http://purl.org/dc/terms/"/>
    <ds:schemaRef ds:uri="http://schemas.openxmlformats.org/package/2006/metadata/core-properties"/>
    <ds:schemaRef ds:uri="http://www.w3.org/XML/1998/namespace"/>
    <ds:schemaRef ds:uri="http://schemas.microsoft.com/office/2006/documentManagement/types"/>
    <ds:schemaRef ds:uri="cb782496-9180-4cba-ab2a-378f1dea3dfe"/>
    <ds:schemaRef ds:uri="43b67453-1dbd-4638-bb32-efcdcda4bdf6"/>
    <ds:schemaRef ds:uri="http://schemas.microsoft.com/sharepoint/v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1C4CF09-E16C-491E-896B-59FA5BAACD58}">
  <ds:schemaRefs>
    <ds:schemaRef ds:uri="http://schemas.microsoft.com/sharepoint/v3/contenttype/forms"/>
  </ds:schemaRefs>
</ds:datastoreItem>
</file>

<file path=customXml/itemProps3.xml><?xml version="1.0" encoding="utf-8"?>
<ds:datastoreItem xmlns:ds="http://schemas.openxmlformats.org/officeDocument/2006/customXml" ds:itemID="{A00B1D93-6519-4EAF-8C95-552E6C93F3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3b67453-1dbd-4638-bb32-efcdcda4bdf6"/>
    <ds:schemaRef ds:uri="cb782496-9180-4cba-ab2a-378f1dea3d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Template>TM04035483</Templat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2024 BUDGET</vt:lpstr>
      <vt:lpstr>2024 Cash flow</vt:lpstr>
      <vt:lpstr>FOOD SUPPORT</vt:lpstr>
      <vt:lpstr>'2024 Cash flow'!Start_Date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 Gines</cp:lastModifiedBy>
  <cp:revision/>
  <dcterms:created xsi:type="dcterms:W3CDTF">2024-12-30T06:56:48Z</dcterms:created>
  <dcterms:modified xsi:type="dcterms:W3CDTF">2025-04-18T20:21:59Z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0x01010050A5B62DD0E0DE45AD95B2140CC94C4B</vt:lpwstr>
  </property>
  <property fmtid="{D5CDD505-2E9C-101B-9397-08002B2CF9AE}" pid="3" name="MediaServiceImageTags">
    <vt:lpwstr/>
  </property>
</Properties>
</file>