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765" windowHeight="775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35" i="1" l="1" a="1"/>
  <c r="A35" i="1" l="1"/>
  <c r="E35" i="1"/>
  <c r="I35" i="1"/>
  <c r="M35" i="1"/>
  <c r="C36" i="1"/>
  <c r="G36" i="1"/>
  <c r="K36" i="1"/>
  <c r="A37" i="1"/>
  <c r="E37" i="1"/>
  <c r="I37" i="1"/>
  <c r="M37" i="1"/>
  <c r="C38" i="1"/>
  <c r="G38" i="1"/>
  <c r="K38" i="1"/>
  <c r="A39" i="1"/>
  <c r="E39" i="1"/>
  <c r="I39" i="1"/>
  <c r="M39" i="1"/>
  <c r="C40" i="1"/>
  <c r="G40" i="1"/>
  <c r="K40" i="1"/>
  <c r="A41" i="1"/>
  <c r="E41" i="1"/>
  <c r="I41" i="1"/>
  <c r="M41" i="1"/>
  <c r="C42" i="1"/>
  <c r="G42" i="1"/>
  <c r="K42" i="1"/>
  <c r="A43" i="1"/>
  <c r="E43" i="1"/>
  <c r="I43" i="1"/>
  <c r="M43" i="1"/>
  <c r="C44" i="1"/>
  <c r="G44" i="1"/>
  <c r="K44" i="1"/>
  <c r="A45" i="1"/>
  <c r="E45" i="1"/>
  <c r="I45" i="1"/>
  <c r="M45" i="1"/>
  <c r="C46" i="1"/>
  <c r="G46" i="1"/>
  <c r="K46" i="1"/>
  <c r="A47" i="1"/>
  <c r="E47" i="1"/>
  <c r="I47" i="1"/>
  <c r="M47" i="1"/>
  <c r="C48" i="1"/>
  <c r="G48" i="1"/>
  <c r="K48" i="1"/>
  <c r="A49" i="1"/>
  <c r="E49" i="1"/>
  <c r="I49" i="1"/>
  <c r="M49" i="1"/>
  <c r="C50" i="1"/>
  <c r="G50" i="1"/>
  <c r="K50" i="1"/>
  <c r="A51" i="1"/>
  <c r="E51" i="1"/>
  <c r="I51" i="1"/>
  <c r="M51" i="1"/>
  <c r="C52" i="1"/>
  <c r="G52" i="1"/>
  <c r="K52" i="1"/>
  <c r="A53" i="1"/>
  <c r="E53" i="1"/>
  <c r="I53" i="1"/>
  <c r="M53" i="1"/>
  <c r="C54" i="1"/>
  <c r="G54" i="1"/>
  <c r="K54" i="1"/>
  <c r="A55" i="1"/>
  <c r="E55" i="1"/>
  <c r="I55" i="1"/>
  <c r="M55" i="1"/>
  <c r="C56" i="1"/>
  <c r="G56" i="1"/>
  <c r="K56" i="1"/>
  <c r="A57" i="1"/>
  <c r="E57" i="1"/>
  <c r="I57" i="1"/>
  <c r="M57" i="1"/>
  <c r="C58" i="1"/>
  <c r="G58" i="1"/>
  <c r="K58" i="1"/>
  <c r="A59" i="1"/>
  <c r="B35" i="1"/>
  <c r="F35" i="1"/>
  <c r="J35" i="1"/>
  <c r="N35" i="1"/>
  <c r="D36" i="1"/>
  <c r="H36" i="1"/>
  <c r="L36" i="1"/>
  <c r="B37" i="1"/>
  <c r="F37" i="1"/>
  <c r="J37" i="1"/>
  <c r="N37" i="1"/>
  <c r="D38" i="1"/>
  <c r="H38" i="1"/>
  <c r="L38" i="1"/>
  <c r="B39" i="1"/>
  <c r="F39" i="1"/>
  <c r="J39" i="1"/>
  <c r="N39" i="1"/>
  <c r="D40" i="1"/>
  <c r="H40" i="1"/>
  <c r="L40" i="1"/>
  <c r="B41" i="1"/>
  <c r="F41" i="1"/>
  <c r="J41" i="1"/>
  <c r="N41" i="1"/>
  <c r="D42" i="1"/>
  <c r="H42" i="1"/>
  <c r="L42" i="1"/>
  <c r="B43" i="1"/>
  <c r="F43" i="1"/>
  <c r="J43" i="1"/>
  <c r="N43" i="1"/>
  <c r="D44" i="1"/>
  <c r="H44" i="1"/>
  <c r="L44" i="1"/>
  <c r="B45" i="1"/>
  <c r="F45" i="1"/>
  <c r="J45" i="1"/>
  <c r="N45" i="1"/>
  <c r="D46" i="1"/>
  <c r="H46" i="1"/>
  <c r="L46" i="1"/>
  <c r="B47" i="1"/>
  <c r="F47" i="1"/>
  <c r="J47" i="1"/>
  <c r="N47" i="1"/>
  <c r="D48" i="1"/>
  <c r="H48" i="1"/>
  <c r="L48" i="1"/>
  <c r="B49" i="1"/>
  <c r="F49" i="1"/>
  <c r="J49" i="1"/>
  <c r="N49" i="1"/>
  <c r="D50" i="1"/>
  <c r="H50" i="1"/>
  <c r="L50" i="1"/>
  <c r="B51" i="1"/>
  <c r="F51" i="1"/>
  <c r="J51" i="1"/>
  <c r="N51" i="1"/>
  <c r="D52" i="1"/>
  <c r="H52" i="1"/>
  <c r="L52" i="1"/>
  <c r="B53" i="1"/>
  <c r="F53" i="1"/>
  <c r="J53" i="1"/>
  <c r="N53" i="1"/>
  <c r="D54" i="1"/>
  <c r="H54" i="1"/>
  <c r="L54" i="1"/>
  <c r="B55" i="1"/>
  <c r="F55" i="1"/>
  <c r="J55" i="1"/>
  <c r="N55" i="1"/>
  <c r="D56" i="1"/>
  <c r="H56" i="1"/>
  <c r="L56" i="1"/>
  <c r="B57" i="1"/>
  <c r="F57" i="1"/>
  <c r="J57" i="1"/>
  <c r="N57" i="1"/>
  <c r="D58" i="1"/>
  <c r="H58" i="1"/>
  <c r="L58" i="1"/>
  <c r="B59" i="1"/>
  <c r="C35" i="1"/>
  <c r="K35" i="1"/>
  <c r="E36" i="1"/>
  <c r="M36" i="1"/>
  <c r="G37" i="1"/>
  <c r="A38" i="1"/>
  <c r="I38" i="1"/>
  <c r="C39" i="1"/>
  <c r="K39" i="1"/>
  <c r="E40" i="1"/>
  <c r="M40" i="1"/>
  <c r="G41" i="1"/>
  <c r="A42" i="1"/>
  <c r="I42" i="1"/>
  <c r="C43" i="1"/>
  <c r="K43" i="1"/>
  <c r="E44" i="1"/>
  <c r="M44" i="1"/>
  <c r="G45" i="1"/>
  <c r="A46" i="1"/>
  <c r="I46" i="1"/>
  <c r="C47" i="1"/>
  <c r="K47" i="1"/>
  <c r="E48" i="1"/>
  <c r="M48" i="1"/>
  <c r="G49" i="1"/>
  <c r="A50" i="1"/>
  <c r="I50" i="1"/>
  <c r="C51" i="1"/>
  <c r="K51" i="1"/>
  <c r="E52" i="1"/>
  <c r="M52" i="1"/>
  <c r="G53" i="1"/>
  <c r="A54" i="1"/>
  <c r="I54" i="1"/>
  <c r="C55" i="1"/>
  <c r="K55" i="1"/>
  <c r="E56" i="1"/>
  <c r="M56" i="1"/>
  <c r="G57" i="1"/>
  <c r="A58" i="1"/>
  <c r="I58" i="1"/>
  <c r="C59" i="1"/>
  <c r="G59" i="1"/>
  <c r="K59" i="1"/>
  <c r="A60" i="1"/>
  <c r="E60" i="1"/>
  <c r="I60" i="1"/>
  <c r="M60" i="1"/>
  <c r="C61" i="1"/>
  <c r="G61" i="1"/>
  <c r="K61" i="1"/>
  <c r="A62" i="1"/>
  <c r="E62" i="1"/>
  <c r="I62" i="1"/>
  <c r="M62" i="1"/>
  <c r="C63" i="1"/>
  <c r="G63" i="1"/>
  <c r="K63" i="1"/>
  <c r="A64" i="1"/>
  <c r="E64" i="1"/>
  <c r="I64" i="1"/>
  <c r="M64" i="1"/>
  <c r="C65" i="1"/>
  <c r="G65" i="1"/>
  <c r="K65" i="1"/>
  <c r="A66" i="1"/>
  <c r="E66" i="1"/>
  <c r="I66" i="1"/>
  <c r="M66" i="1"/>
  <c r="C67" i="1"/>
  <c r="G67" i="1"/>
  <c r="K67" i="1"/>
  <c r="A68" i="1"/>
  <c r="E68" i="1"/>
  <c r="I68" i="1"/>
  <c r="M68" i="1"/>
  <c r="D35" i="1"/>
  <c r="L35" i="1"/>
  <c r="F36" i="1"/>
  <c r="N36" i="1"/>
  <c r="H37" i="1"/>
  <c r="B38" i="1"/>
  <c r="J38" i="1"/>
  <c r="D39" i="1"/>
  <c r="L39" i="1"/>
  <c r="F40" i="1"/>
  <c r="N40" i="1"/>
  <c r="H41" i="1"/>
  <c r="B42" i="1"/>
  <c r="J42" i="1"/>
  <c r="D43" i="1"/>
  <c r="L43" i="1"/>
  <c r="F44" i="1"/>
  <c r="N44" i="1"/>
  <c r="H45" i="1"/>
  <c r="B46" i="1"/>
  <c r="J46" i="1"/>
  <c r="D47" i="1"/>
  <c r="L47" i="1"/>
  <c r="F48" i="1"/>
  <c r="N48" i="1"/>
  <c r="H49" i="1"/>
  <c r="B50" i="1"/>
  <c r="J50" i="1"/>
  <c r="D51" i="1"/>
  <c r="L51" i="1"/>
  <c r="F52" i="1"/>
  <c r="N52" i="1"/>
  <c r="H53" i="1"/>
  <c r="B54" i="1"/>
  <c r="J54" i="1"/>
  <c r="D55" i="1"/>
  <c r="L55" i="1"/>
  <c r="F56" i="1"/>
  <c r="N56" i="1"/>
  <c r="H57" i="1"/>
  <c r="B58" i="1"/>
  <c r="J58" i="1"/>
  <c r="D59" i="1"/>
  <c r="H59" i="1"/>
  <c r="L59" i="1"/>
  <c r="B60" i="1"/>
  <c r="F60" i="1"/>
  <c r="J60" i="1"/>
  <c r="N60" i="1"/>
  <c r="D61" i="1"/>
  <c r="H61" i="1"/>
  <c r="L61" i="1"/>
  <c r="B62" i="1"/>
  <c r="F62" i="1"/>
  <c r="J62" i="1"/>
  <c r="N62" i="1"/>
  <c r="D63" i="1"/>
  <c r="H63" i="1"/>
  <c r="L63" i="1"/>
  <c r="B64" i="1"/>
  <c r="F64" i="1"/>
  <c r="J64" i="1"/>
  <c r="N64" i="1"/>
  <c r="D65" i="1"/>
  <c r="H65" i="1"/>
  <c r="L65" i="1"/>
  <c r="B66" i="1"/>
  <c r="F66" i="1"/>
  <c r="J66" i="1"/>
  <c r="N66" i="1"/>
  <c r="D67" i="1"/>
  <c r="H67" i="1"/>
  <c r="L67" i="1"/>
  <c r="B68" i="1"/>
  <c r="F68" i="1"/>
  <c r="J68" i="1"/>
  <c r="N68" i="1"/>
  <c r="G35" i="1"/>
  <c r="A36" i="1"/>
  <c r="I36" i="1"/>
  <c r="C37" i="1"/>
  <c r="K37" i="1"/>
  <c r="E38" i="1"/>
  <c r="M38" i="1"/>
  <c r="G39" i="1"/>
  <c r="A40" i="1"/>
  <c r="I40" i="1"/>
  <c r="C41" i="1"/>
  <c r="K41" i="1"/>
  <c r="E42" i="1"/>
  <c r="M42" i="1"/>
  <c r="G43" i="1"/>
  <c r="A44" i="1"/>
  <c r="I44" i="1"/>
  <c r="C45" i="1"/>
  <c r="K45" i="1"/>
  <c r="E46" i="1"/>
  <c r="M46" i="1"/>
  <c r="G47" i="1"/>
  <c r="A48" i="1"/>
  <c r="I48" i="1"/>
  <c r="C49" i="1"/>
  <c r="K49" i="1"/>
  <c r="E50" i="1"/>
  <c r="M50" i="1"/>
  <c r="G51" i="1"/>
  <c r="A52" i="1"/>
  <c r="I52" i="1"/>
  <c r="C53" i="1"/>
  <c r="K53" i="1"/>
  <c r="E54" i="1"/>
  <c r="M54" i="1"/>
  <c r="G55" i="1"/>
  <c r="A56" i="1"/>
  <c r="I56" i="1"/>
  <c r="C57" i="1"/>
  <c r="K57" i="1"/>
  <c r="E58" i="1"/>
  <c r="M58" i="1"/>
  <c r="E59" i="1"/>
  <c r="I59" i="1"/>
  <c r="M59" i="1"/>
  <c r="C60" i="1"/>
  <c r="G60" i="1"/>
  <c r="K60" i="1"/>
  <c r="A61" i="1"/>
  <c r="E61" i="1"/>
  <c r="I61" i="1"/>
  <c r="M61" i="1"/>
  <c r="C62" i="1"/>
  <c r="G62" i="1"/>
  <c r="K62" i="1"/>
  <c r="A63" i="1"/>
  <c r="E63" i="1"/>
  <c r="I63" i="1"/>
  <c r="M63" i="1"/>
  <c r="C64" i="1"/>
  <c r="G64" i="1"/>
  <c r="K64" i="1"/>
  <c r="A65" i="1"/>
  <c r="E65" i="1"/>
  <c r="I65" i="1"/>
  <c r="M65" i="1"/>
  <c r="C66" i="1"/>
  <c r="G66" i="1"/>
  <c r="K66" i="1"/>
  <c r="A67" i="1"/>
  <c r="E67" i="1"/>
  <c r="I67" i="1"/>
  <c r="M67" i="1"/>
  <c r="C68" i="1"/>
  <c r="G68" i="1"/>
  <c r="K68" i="1"/>
  <c r="H35" i="1"/>
  <c r="B36" i="1"/>
  <c r="J36" i="1"/>
  <c r="D37" i="1"/>
  <c r="L37" i="1"/>
  <c r="F38" i="1"/>
  <c r="N38" i="1"/>
  <c r="H39" i="1"/>
  <c r="B40" i="1"/>
  <c r="J40" i="1"/>
  <c r="D41" i="1"/>
  <c r="L41" i="1"/>
  <c r="F42" i="1"/>
  <c r="N42" i="1"/>
  <c r="H43" i="1"/>
  <c r="B44" i="1"/>
  <c r="J44" i="1"/>
  <c r="D45" i="1"/>
  <c r="L45" i="1"/>
  <c r="F46" i="1"/>
  <c r="N46" i="1"/>
  <c r="H47" i="1"/>
  <c r="B48" i="1"/>
  <c r="J48" i="1"/>
  <c r="D49" i="1"/>
  <c r="L49" i="1"/>
  <c r="F50" i="1"/>
  <c r="N50" i="1"/>
  <c r="H51" i="1"/>
  <c r="B52" i="1"/>
  <c r="J52" i="1"/>
  <c r="D53" i="1"/>
  <c r="L53" i="1"/>
  <c r="F54" i="1"/>
  <c r="N54" i="1"/>
  <c r="H55" i="1"/>
  <c r="B56" i="1"/>
  <c r="J56" i="1"/>
  <c r="D57" i="1"/>
  <c r="L57" i="1"/>
  <c r="F58" i="1"/>
  <c r="N58" i="1"/>
  <c r="F59" i="1"/>
  <c r="J59" i="1"/>
  <c r="N59" i="1"/>
  <c r="D60" i="1"/>
  <c r="H60" i="1"/>
  <c r="L60" i="1"/>
  <c r="B61" i="1"/>
  <c r="F61" i="1"/>
  <c r="J61" i="1"/>
  <c r="N61" i="1"/>
  <c r="D62" i="1"/>
  <c r="H62" i="1"/>
  <c r="L62" i="1"/>
  <c r="B63" i="1"/>
  <c r="F63" i="1"/>
  <c r="J63" i="1"/>
  <c r="N63" i="1"/>
  <c r="D64" i="1"/>
  <c r="H64" i="1"/>
  <c r="L64" i="1"/>
  <c r="B65" i="1"/>
  <c r="F65" i="1"/>
  <c r="J65" i="1"/>
  <c r="N65" i="1"/>
  <c r="D66" i="1"/>
  <c r="H66" i="1"/>
  <c r="L66" i="1"/>
  <c r="B67" i="1"/>
  <c r="F67" i="1"/>
  <c r="J67" i="1"/>
  <c r="N67" i="1"/>
  <c r="D68" i="1"/>
  <c r="H68" i="1"/>
  <c r="L68" i="1"/>
  <c r="D23" i="1"/>
  <c r="E23" i="1"/>
  <c r="F23" i="1"/>
  <c r="F20" i="1"/>
  <c r="D20" i="1"/>
  <c r="E20" i="1" s="1"/>
  <c r="B19" i="1"/>
  <c r="D19" i="1"/>
  <c r="E19" i="1" s="1"/>
  <c r="J11" i="1"/>
  <c r="F21" i="1"/>
  <c r="F26" i="1"/>
  <c r="F30" i="1"/>
  <c r="F22" i="1"/>
  <c r="F27" i="1"/>
  <c r="F31" i="1"/>
  <c r="F29" i="1"/>
  <c r="F24" i="1"/>
  <c r="F28" i="1"/>
  <c r="F32" i="1"/>
  <c r="F25" i="1"/>
  <c r="F19" i="1"/>
  <c r="D21" i="1"/>
  <c r="E21" i="1" s="1"/>
  <c r="D26" i="1"/>
  <c r="E26" i="1" s="1"/>
  <c r="D30" i="1"/>
  <c r="E30" i="1" s="1"/>
  <c r="D22" i="1"/>
  <c r="E22" i="1" s="1"/>
  <c r="D27" i="1"/>
  <c r="E27" i="1" s="1"/>
  <c r="D31" i="1"/>
  <c r="E31" i="1" s="1"/>
  <c r="D25" i="1"/>
  <c r="E25" i="1" s="1"/>
  <c r="D24" i="1"/>
  <c r="E24" i="1" s="1"/>
  <c r="D28" i="1"/>
  <c r="E28" i="1" s="1"/>
  <c r="D32" i="1"/>
  <c r="E32" i="1" s="1"/>
  <c r="D29" i="1"/>
  <c r="E29" i="1" s="1"/>
  <c r="A19" i="1" l="1"/>
  <c r="O5" i="1"/>
  <c r="A15" i="1"/>
  <c r="A14" i="1"/>
  <c r="K12" i="1"/>
  <c r="K11" i="1"/>
  <c r="G12" i="1"/>
  <c r="G11" i="1"/>
  <c r="F12" i="1"/>
  <c r="F11" i="1"/>
  <c r="E11" i="1"/>
  <c r="E12" i="1"/>
  <c r="D12" i="1"/>
  <c r="D11" i="1"/>
  <c r="C12" i="1"/>
  <c r="C11" i="1"/>
  <c r="B12" i="1"/>
  <c r="B11" i="1"/>
  <c r="H12" i="1"/>
  <c r="I12" i="1"/>
  <c r="J12" i="1"/>
  <c r="H11" i="1"/>
  <c r="I11" i="1"/>
</calcChain>
</file>

<file path=xl/sharedStrings.xml><?xml version="1.0" encoding="utf-8"?>
<sst xmlns="http://schemas.openxmlformats.org/spreadsheetml/2006/main" count="75" uniqueCount="61">
  <si>
    <t>Н вдп</t>
  </si>
  <si>
    <t>Удл</t>
  </si>
  <si>
    <t>Коэф-т
сепарации</t>
  </si>
  <si>
    <t>Н сп</t>
  </si>
  <si>
    <t>Р буф</t>
  </si>
  <si>
    <t>Р лин</t>
  </si>
  <si>
    <t>Р пл</t>
  </si>
  <si>
    <t>Р пл на ВДП</t>
  </si>
  <si>
    <t>ГФ</t>
  </si>
  <si>
    <t>T пл</t>
  </si>
  <si>
    <t xml:space="preserve">В-сть нефти
в пл.
условиях </t>
  </si>
  <si>
    <t xml:space="preserve">В-сть воды
в пл.
условиях </t>
  </si>
  <si>
    <t>В-ть
жидкости</t>
  </si>
  <si>
    <t>Об. к-т</t>
  </si>
  <si>
    <t>Плот-ть
нефти</t>
  </si>
  <si>
    <t>Плот-ть
воды</t>
  </si>
  <si>
    <t>Q жид-
кости</t>
  </si>
  <si>
    <t>Обводненность</t>
  </si>
  <si>
    <t>Q пг</t>
  </si>
  <si>
    <t>мм</t>
  </si>
  <si>
    <t>м</t>
  </si>
  <si>
    <t>м3/сут</t>
  </si>
  <si>
    <t>атм</t>
  </si>
  <si>
    <t>т/сут</t>
  </si>
  <si>
    <t>%</t>
  </si>
  <si>
    <t>м3/т</t>
  </si>
  <si>
    <t>ºC</t>
  </si>
  <si>
    <t>сПз</t>
  </si>
  <si>
    <t>м3/м3</t>
  </si>
  <si>
    <t>г/см3</t>
  </si>
  <si>
    <t>м3/сут/атм</t>
  </si>
  <si>
    <t xml:space="preserve"> Q нефти</t>
  </si>
  <si>
    <t>Р нас.</t>
  </si>
  <si>
    <t>К-т продуктивности</t>
  </si>
  <si>
    <t>Т уст</t>
  </si>
  <si>
    <t>Плотность, кг/м3</t>
  </si>
  <si>
    <t>Вязкость, сПз</t>
  </si>
  <si>
    <t>Газосодержание, м3/м3</t>
  </si>
  <si>
    <t>Смесь</t>
  </si>
  <si>
    <t>Дебит ГЖС, м3/сут</t>
  </si>
  <si>
    <t>нефть</t>
  </si>
  <si>
    <t>вода</t>
  </si>
  <si>
    <t>газ</t>
  </si>
  <si>
    <t>Вязкость</t>
  </si>
  <si>
    <t>Плотность</t>
  </si>
  <si>
    <t>Тип корреляции</t>
  </si>
  <si>
    <t>Standing</t>
  </si>
  <si>
    <t>McCain</t>
  </si>
  <si>
    <t>угол</t>
  </si>
  <si>
    <t>Скважина не фонтанирует, давление на забое выше, чем необходимое для фонтанирования</t>
  </si>
  <si>
    <t>2)</t>
  </si>
  <si>
    <t>1)</t>
  </si>
  <si>
    <t>3)</t>
  </si>
  <si>
    <t>Пробковый режим по всей длине скважины</t>
  </si>
  <si>
    <t>Дебит жидкости, м3/сут</t>
  </si>
  <si>
    <t>Устьевое давление, атм</t>
  </si>
  <si>
    <t>Забойное давление в скважине, атм</t>
  </si>
  <si>
    <t>Забойное давление, атм</t>
  </si>
  <si>
    <t>Забойное давление ч/з IPR, атм</t>
  </si>
  <si>
    <t>D нкт - внутренний диаметр</t>
  </si>
  <si>
    <t>По ГОСТ 633-80 толщина стенки 6.5 мм для d=89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</si>
</sst>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0.0"/>
    <numFmt numFmtId="166" formatCode="0.000"/>
    <numFmt numFmtId="167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ahoma"/>
      <family val="2"/>
    </font>
    <font>
      <sz val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/>
      <top/>
      <bottom style="hair">
        <color indexed="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55"/>
      </left>
      <right style="hair">
        <color indexed="55"/>
      </right>
      <top style="thin">
        <color indexed="64"/>
      </top>
      <bottom/>
      <diagonal/>
    </border>
    <border>
      <left style="hair">
        <color indexed="55"/>
      </left>
      <right style="hair">
        <color indexed="55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7">
    <xf numFmtId="0" fontId="0" fillId="0" borderId="0"/>
    <xf numFmtId="0" fontId="2" fillId="0" borderId="0"/>
    <xf numFmtId="0" fontId="15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4" borderId="1" applyNumberFormat="0" applyAlignment="0" applyProtection="0"/>
    <xf numFmtId="0" fontId="7" fillId="11" borderId="2" applyNumberFormat="0" applyAlignment="0" applyProtection="0"/>
    <xf numFmtId="0" fontId="8" fillId="11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12" borderId="7" applyNumberFormat="0" applyAlignment="0" applyProtection="0"/>
    <xf numFmtId="0" fontId="14" fillId="0" borderId="0" applyNumberFormat="0" applyFill="0" applyBorder="0" applyAlignment="0" applyProtection="0"/>
    <xf numFmtId="0" fontId="16" fillId="13" borderId="0" applyNumberFormat="0" applyBorder="0" applyAlignment="0" applyProtection="0"/>
    <xf numFmtId="0" fontId="17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21" fillId="3" borderId="0" applyNumberFormat="0" applyBorder="0" applyAlignment="0" applyProtection="0"/>
  </cellStyleXfs>
  <cellXfs count="94">
    <xf numFmtId="0" fontId="0" fillId="0" borderId="0" xfId="0"/>
    <xf numFmtId="2" fontId="3" fillId="0" borderId="0" xfId="1" applyNumberFormat="1" applyFont="1" applyFill="1" applyBorder="1" applyAlignment="1">
      <alignment horizontal="center"/>
    </xf>
    <xf numFmtId="0" fontId="4" fillId="0" borderId="12" xfId="2" applyFont="1" applyFill="1" applyBorder="1" applyAlignment="1">
      <alignment vertical="center"/>
    </xf>
    <xf numFmtId="0" fontId="4" fillId="0" borderId="12" xfId="2" applyFont="1" applyFill="1" applyBorder="1" applyAlignment="1">
      <alignment horizontal="right" vertical="center"/>
    </xf>
    <xf numFmtId="1" fontId="4" fillId="0" borderId="12" xfId="1" applyNumberFormat="1" applyFont="1" applyFill="1" applyBorder="1" applyAlignment="1">
      <alignment horizontal="center" vertical="center"/>
    </xf>
    <xf numFmtId="165" fontId="4" fillId="0" borderId="12" xfId="1" applyNumberFormat="1" applyFont="1" applyFill="1" applyBorder="1" applyAlignment="1">
      <alignment horizontal="center" vertical="center"/>
    </xf>
    <xf numFmtId="14" fontId="4" fillId="0" borderId="12" xfId="2" applyNumberFormat="1" applyFont="1" applyFill="1" applyBorder="1" applyAlignment="1">
      <alignment vertical="center"/>
    </xf>
    <xf numFmtId="2" fontId="4" fillId="0" borderId="12" xfId="1" applyNumberFormat="1" applyFont="1" applyFill="1" applyBorder="1" applyAlignment="1">
      <alignment horizontal="center" vertical="center"/>
    </xf>
    <xf numFmtId="1" fontId="4" fillId="0" borderId="12" xfId="2" applyNumberFormat="1" applyFont="1" applyFill="1" applyBorder="1" applyAlignment="1">
      <alignment horizontal="right" vertical="center"/>
    </xf>
    <xf numFmtId="2" fontId="4" fillId="0" borderId="12" xfId="2" applyNumberFormat="1" applyFont="1" applyFill="1" applyBorder="1" applyAlignment="1">
      <alignment horizontal="right" vertical="center"/>
    </xf>
    <xf numFmtId="166" fontId="4" fillId="0" borderId="12" xfId="2" applyNumberFormat="1" applyFont="1" applyFill="1" applyBorder="1" applyAlignment="1">
      <alignment horizontal="right" vertical="center"/>
    </xf>
    <xf numFmtId="2" fontId="4" fillId="0" borderId="0" xfId="1" applyNumberFormat="1" applyFont="1" applyFill="1" applyBorder="1" applyAlignment="1">
      <alignment horizontal="center" vertical="center"/>
    </xf>
    <xf numFmtId="0" fontId="4" fillId="0" borderId="12" xfId="1" applyNumberFormat="1" applyFont="1" applyFill="1" applyBorder="1" applyAlignment="1">
      <alignment horizontal="center" vertical="center"/>
    </xf>
    <xf numFmtId="0" fontId="0" fillId="0" borderId="0" xfId="0" applyFill="1"/>
    <xf numFmtId="0" fontId="4" fillId="0" borderId="18" xfId="2" applyFont="1" applyFill="1" applyBorder="1" applyAlignment="1">
      <alignment horizontal="right" vertical="center"/>
    </xf>
    <xf numFmtId="2" fontId="3" fillId="0" borderId="0" xfId="1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" fontId="4" fillId="0" borderId="0" xfId="1" applyNumberFormat="1" applyFont="1" applyFill="1" applyBorder="1" applyAlignment="1">
      <alignment horizontal="center" vertical="center"/>
    </xf>
    <xf numFmtId="0" fontId="4" fillId="0" borderId="28" xfId="2" applyFont="1" applyFill="1" applyBorder="1" applyAlignment="1">
      <alignment horizontal="right" vertical="center"/>
    </xf>
    <xf numFmtId="1" fontId="4" fillId="0" borderId="28" xfId="2" applyNumberFormat="1" applyFont="1" applyFill="1" applyBorder="1" applyAlignment="1">
      <alignment horizontal="right" vertical="center"/>
    </xf>
    <xf numFmtId="1" fontId="4" fillId="0" borderId="28" xfId="1" applyNumberFormat="1" applyFont="1" applyFill="1" applyBorder="1" applyAlignment="1">
      <alignment horizontal="center" vertical="center"/>
    </xf>
    <xf numFmtId="0" fontId="4" fillId="0" borderId="28" xfId="1" applyNumberFormat="1" applyFont="1" applyFill="1" applyBorder="1" applyAlignment="1">
      <alignment horizontal="center" vertical="center"/>
    </xf>
    <xf numFmtId="166" fontId="4" fillId="0" borderId="28" xfId="2" applyNumberFormat="1" applyFont="1" applyFill="1" applyBorder="1" applyAlignment="1">
      <alignment horizontal="right" vertical="center"/>
    </xf>
    <xf numFmtId="2" fontId="4" fillId="0" borderId="28" xfId="2" applyNumberFormat="1" applyFont="1" applyFill="1" applyBorder="1" applyAlignment="1">
      <alignment horizontal="right" vertical="center"/>
    </xf>
    <xf numFmtId="2" fontId="4" fillId="0" borderId="28" xfId="1" applyNumberFormat="1" applyFont="1" applyFill="1" applyBorder="1" applyAlignment="1">
      <alignment horizontal="center" vertical="center"/>
    </xf>
    <xf numFmtId="0" fontId="4" fillId="0" borderId="29" xfId="2" applyFont="1" applyFill="1" applyBorder="1" applyAlignment="1">
      <alignment horizontal="right" vertical="center"/>
    </xf>
    <xf numFmtId="0" fontId="4" fillId="0" borderId="28" xfId="2" applyFont="1" applyFill="1" applyBorder="1" applyAlignment="1">
      <alignment vertical="center"/>
    </xf>
    <xf numFmtId="165" fontId="4" fillId="0" borderId="28" xfId="1" applyNumberFormat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1" fontId="4" fillId="0" borderId="10" xfId="1" applyNumberFormat="1" applyFont="1" applyFill="1" applyBorder="1" applyAlignment="1">
      <alignment horizontal="center" vertical="center"/>
    </xf>
    <xf numFmtId="0" fontId="4" fillId="0" borderId="10" xfId="1" applyNumberFormat="1" applyFont="1" applyFill="1" applyBorder="1" applyAlignment="1">
      <alignment horizontal="center" vertical="center"/>
    </xf>
    <xf numFmtId="2" fontId="4" fillId="0" borderId="10" xfId="1" applyNumberFormat="1" applyFont="1" applyFill="1" applyBorder="1" applyAlignment="1">
      <alignment horizontal="center" vertical="center"/>
    </xf>
    <xf numFmtId="2" fontId="3" fillId="15" borderId="10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1" fontId="4" fillId="0" borderId="10" xfId="2" applyNumberFormat="1" applyFont="1" applyFill="1" applyBorder="1" applyAlignment="1">
      <alignment horizontal="center" vertical="center"/>
    </xf>
    <xf numFmtId="166" fontId="4" fillId="0" borderId="10" xfId="2" applyNumberFormat="1" applyFont="1" applyFill="1" applyBorder="1" applyAlignment="1">
      <alignment horizontal="center" vertical="center"/>
    </xf>
    <xf numFmtId="2" fontId="4" fillId="0" borderId="10" xfId="2" applyNumberFormat="1" applyFont="1" applyFill="1" applyBorder="1" applyAlignment="1">
      <alignment horizontal="center" vertical="center"/>
    </xf>
    <xf numFmtId="14" fontId="4" fillId="0" borderId="17" xfId="2" applyNumberFormat="1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0" fillId="0" borderId="0" xfId="0" applyBorder="1" applyAlignment="1"/>
    <xf numFmtId="0" fontId="0" fillId="0" borderId="30" xfId="0" applyBorder="1"/>
    <xf numFmtId="0" fontId="0" fillId="15" borderId="10" xfId="0" applyFill="1" applyBorder="1" applyAlignment="1">
      <alignment horizontal="center" vertical="center"/>
    </xf>
    <xf numFmtId="0" fontId="0" fillId="0" borderId="31" xfId="0" applyBorder="1" applyAlignment="1"/>
    <xf numFmtId="0" fontId="0" fillId="0" borderId="0" xfId="0" applyBorder="1"/>
    <xf numFmtId="0" fontId="4" fillId="0" borderId="32" xfId="2" applyFont="1" applyFill="1" applyBorder="1" applyAlignment="1">
      <alignment horizontal="center" vertical="center" wrapText="1"/>
    </xf>
    <xf numFmtId="0" fontId="4" fillId="0" borderId="33" xfId="2" applyFont="1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1" fillId="15" borderId="19" xfId="0" applyFont="1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 wrapText="1"/>
    </xf>
    <xf numFmtId="2" fontId="3" fillId="15" borderId="10" xfId="1" applyNumberFormat="1" applyFont="1" applyFill="1" applyBorder="1" applyAlignment="1">
      <alignment horizontal="center" vertical="center" wrapText="1"/>
    </xf>
    <xf numFmtId="2" fontId="3" fillId="0" borderId="0" xfId="1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2" fontId="3" fillId="15" borderId="1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0" fillId="15" borderId="2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0" fillId="0" borderId="21" xfId="0" applyBorder="1"/>
    <xf numFmtId="0" fontId="0" fillId="0" borderId="34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16" borderId="20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35" xfId="0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16" borderId="36" xfId="0" applyFill="1" applyBorder="1" applyAlignment="1">
      <alignment horizontal="center" vertical="center" wrapText="1"/>
    </xf>
    <xf numFmtId="0" fontId="0" fillId="16" borderId="14" xfId="0" applyFill="1" applyBorder="1" applyAlignment="1">
      <alignment horizontal="center" vertical="center" wrapText="1"/>
    </xf>
    <xf numFmtId="0" fontId="0" fillId="16" borderId="37" xfId="0" applyFill="1" applyBorder="1" applyAlignment="1">
      <alignment horizontal="center" vertical="center" wrapText="1"/>
    </xf>
    <xf numFmtId="0" fontId="0" fillId="16" borderId="22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/>
    </xf>
    <xf numFmtId="0" fontId="1" fillId="15" borderId="19" xfId="0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 wrapText="1"/>
    </xf>
    <xf numFmtId="167" fontId="0" fillId="0" borderId="10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27">
    <cellStyle name="Normal_Sheet2" xfId="2"/>
    <cellStyle name="Акцент1 2" xfId="3"/>
    <cellStyle name="Акцент2 2" xfId="4"/>
    <cellStyle name="Акцент3 2" xfId="5"/>
    <cellStyle name="Акцент4 2" xfId="6"/>
    <cellStyle name="Акцент5 2" xfId="7"/>
    <cellStyle name="Акцент6 2" xfId="8"/>
    <cellStyle name="Ввод  2" xfId="9"/>
    <cellStyle name="Вывод 2" xfId="10"/>
    <cellStyle name="Вычисление 2" xfId="11"/>
    <cellStyle name="Заголовок 1 2" xfId="12"/>
    <cellStyle name="Заголовок 2 2" xfId="13"/>
    <cellStyle name="Заголовок 3 2" xfId="14"/>
    <cellStyle name="Заголовок 4 2" xfId="15"/>
    <cellStyle name="Итог 2" xfId="16"/>
    <cellStyle name="Контрольная ячейка 2" xfId="17"/>
    <cellStyle name="Название 2" xfId="18"/>
    <cellStyle name="Нейтральный 2" xfId="19"/>
    <cellStyle name="Обычный" xfId="0" builtinId="0"/>
    <cellStyle name="Обычный 2" xfId="1"/>
    <cellStyle name="Плохой 2" xfId="20"/>
    <cellStyle name="Пояснение 2" xfId="21"/>
    <cellStyle name="Примечание 2" xfId="22"/>
    <cellStyle name="Связанная ячейка 2" xfId="23"/>
    <cellStyle name="Текст предупреждения 2" xfId="24"/>
    <cellStyle name="Финансовый 2" xfId="25"/>
    <cellStyle name="Хороший 2" xfId="26"/>
  </cellStyles>
  <dxfs count="0"/>
  <tableStyles count="0" defaultTableStyle="TableStyleMedium2" defaultPivotStyle="PivotStyleMedium9"/>
  <colors>
    <mruColors>
      <color rgb="FFB2B2B2"/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238848039362616E-2"/>
          <c:y val="2.1173544615820914E-2"/>
          <c:w val="0.89817717731038937"/>
          <c:h val="0.9609080475241745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square"/>
              <c:size val="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Sheet1!$C$19:$C$32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63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Sheet1!$F$19:$F$32</c:f>
              <c:numCache>
                <c:formatCode>General</c:formatCode>
                <c:ptCount val="14"/>
                <c:pt idx="0">
                  <c:v>356</c:v>
                </c:pt>
                <c:pt idx="1">
                  <c:v>266.71428571428572</c:v>
                </c:pt>
                <c:pt idx="2">
                  <c:v>175.07208338106608</c:v>
                </c:pt>
                <c:pt idx="3">
                  <c:v>113.80361903915733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</c:dPt>
          <c:dPt>
            <c:idx val="3"/>
            <c:marker>
              <c:symbol val="triangl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</c:dPt>
          <c:dLbls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Sheet1!$C$19:$C$32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63</c:v>
                </c:pt>
                <c:pt idx="4">
                  <c:v>75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Sheet1!$E$19:$E$32</c:f>
              <c:numCache>
                <c:formatCode>0.00</c:formatCode>
                <c:ptCount val="14"/>
                <c:pt idx="0">
                  <c:v>244.64819218460826</c:v>
                </c:pt>
                <c:pt idx="1">
                  <c:v>195.7678123524031</c:v>
                </c:pt>
                <c:pt idx="2">
                  <c:v>167.43699200355559</c:v>
                </c:pt>
                <c:pt idx="3">
                  <c:v>166.765513371944</c:v>
                </c:pt>
                <c:pt idx="4">
                  <c:v>172.90755403404665</c:v>
                </c:pt>
                <c:pt idx="5">
                  <c:v>195.76100986828828</c:v>
                </c:pt>
                <c:pt idx="6">
                  <c:v>235.43275696320865</c:v>
                </c:pt>
                <c:pt idx="7">
                  <c:v>268.32806642646443</c:v>
                </c:pt>
                <c:pt idx="8">
                  <c:v>298.87278468523704</c:v>
                </c:pt>
                <c:pt idx="9">
                  <c:v>327.95968056661246</c:v>
                </c:pt>
                <c:pt idx="10">
                  <c:v>357.51090578439909</c:v>
                </c:pt>
                <c:pt idx="11">
                  <c:v>388.49227549339753</c:v>
                </c:pt>
                <c:pt idx="12">
                  <c:v>422.07228774188684</c:v>
                </c:pt>
                <c:pt idx="13">
                  <c:v>459.2426311058623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7862544"/>
        <c:axId val="-1907875600"/>
      </c:scatterChart>
      <c:valAx>
        <c:axId val="-19078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Q,</a:t>
                </a:r>
                <a:r>
                  <a:rPr lang="en-US" sz="1200" baseline="0"/>
                  <a:t> </a:t>
                </a:r>
                <a:r>
                  <a:rPr lang="ru-RU" sz="1200" baseline="0"/>
                  <a:t>м3/сут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81976586887202152"/>
              <c:y val="0.757918726386644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07875600"/>
        <c:crosses val="autoZero"/>
        <c:crossBetween val="midCat"/>
      </c:valAx>
      <c:valAx>
        <c:axId val="-19078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P,</a:t>
                </a:r>
                <a:r>
                  <a:rPr lang="en-US" sz="1200" baseline="0"/>
                  <a:t> </a:t>
                </a:r>
                <a:r>
                  <a:rPr lang="ru-RU" sz="1200" baseline="0"/>
                  <a:t>атм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8.6281552812183165E-2"/>
              <c:y val="3.626220290968947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0786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15</xdr:row>
      <xdr:rowOff>6724</xdr:rowOff>
    </xdr:from>
    <xdr:to>
      <xdr:col>14</xdr:col>
      <xdr:colOff>29135</xdr:colOff>
      <xdr:row>32</xdr:row>
      <xdr:rowOff>156882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3;&#1072;&#1074;&#1088;&#1080;&#1083;&#1086;&#1074;&#1072;%20&#1040;&#1083;&#1080;&#1085;&#1072;/Desktop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UniflocVBA_7"/>
    </sheetNames>
    <definedNames>
      <definedName name="IPR_pwf_atma"/>
      <definedName name="MF_mu_mix_cP"/>
      <definedName name="MF_p_choke_atma"/>
      <definedName name="MF_p_pip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"/>
  <sheetViews>
    <sheetView tabSelected="1" zoomScale="85" zoomScaleNormal="85" workbookViewId="0">
      <selection sqref="A1:A3"/>
    </sheetView>
  </sheetViews>
  <sheetFormatPr defaultRowHeight="15" x14ac:dyDescent="0.25"/>
  <cols>
    <col min="1" max="1" width="11.42578125" customWidth="1"/>
    <col min="2" max="2" width="14" customWidth="1"/>
    <col min="3" max="3" width="9.42578125" customWidth="1"/>
    <col min="4" max="4" width="10.140625" customWidth="1"/>
    <col min="5" max="5" width="9.42578125" customWidth="1"/>
    <col min="6" max="6" width="9.7109375" customWidth="1"/>
    <col min="10" max="10" width="10.7109375" customWidth="1"/>
    <col min="14" max="14" width="8.28515625" customWidth="1"/>
    <col min="15" max="15" width="7.85546875" customWidth="1"/>
    <col min="16" max="16" width="6.28515625" customWidth="1"/>
    <col min="17" max="17" width="6.42578125" customWidth="1"/>
    <col min="18" max="18" width="8.5703125" customWidth="1"/>
    <col min="19" max="19" width="8.85546875" customWidth="1"/>
    <col min="20" max="20" width="7.85546875" customWidth="1"/>
    <col min="21" max="21" width="7.42578125" customWidth="1"/>
    <col min="22" max="22" width="7.140625" customWidth="1"/>
    <col min="23" max="23" width="8" customWidth="1"/>
    <col min="34" max="51" width="8.85546875" style="16"/>
  </cols>
  <sheetData>
    <row r="1" spans="1:51" s="16" customFormat="1" ht="15" customHeight="1" x14ac:dyDescent="0.25">
      <c r="A1" s="59" t="s">
        <v>59</v>
      </c>
      <c r="B1" s="62" t="s">
        <v>0</v>
      </c>
      <c r="C1" s="59" t="s">
        <v>1</v>
      </c>
      <c r="D1" s="59" t="s">
        <v>2</v>
      </c>
      <c r="E1" s="62" t="s">
        <v>3</v>
      </c>
      <c r="F1" s="59" t="s">
        <v>4</v>
      </c>
      <c r="G1" s="59" t="s">
        <v>5</v>
      </c>
      <c r="H1" s="62" t="s">
        <v>6</v>
      </c>
      <c r="I1" s="59" t="s">
        <v>7</v>
      </c>
      <c r="J1" s="57" t="s">
        <v>32</v>
      </c>
      <c r="K1" s="57" t="s">
        <v>31</v>
      </c>
      <c r="L1" s="59" t="s">
        <v>16</v>
      </c>
      <c r="M1" s="59" t="s">
        <v>17</v>
      </c>
      <c r="N1" s="59" t="s">
        <v>18</v>
      </c>
      <c r="O1" s="59" t="s">
        <v>8</v>
      </c>
      <c r="P1" s="59" t="s">
        <v>9</v>
      </c>
      <c r="Q1" s="59" t="s">
        <v>34</v>
      </c>
      <c r="R1" s="59" t="s">
        <v>10</v>
      </c>
      <c r="S1" s="59" t="s">
        <v>11</v>
      </c>
      <c r="T1" s="59" t="s">
        <v>12</v>
      </c>
      <c r="U1" s="59" t="s">
        <v>13</v>
      </c>
      <c r="V1" s="59" t="s">
        <v>14</v>
      </c>
      <c r="W1" s="59" t="s">
        <v>15</v>
      </c>
      <c r="X1" s="59" t="s">
        <v>33</v>
      </c>
      <c r="Y1" s="28"/>
      <c r="Z1" s="28"/>
      <c r="AH1" s="15"/>
      <c r="AI1" s="15"/>
      <c r="AJ1" s="60"/>
      <c r="AK1" s="60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</row>
    <row r="2" spans="1:51" s="16" customFormat="1" ht="15" customHeight="1" x14ac:dyDescent="0.25">
      <c r="A2" s="59"/>
      <c r="B2" s="62"/>
      <c r="C2" s="59"/>
      <c r="D2" s="59"/>
      <c r="E2" s="62"/>
      <c r="F2" s="59"/>
      <c r="G2" s="59"/>
      <c r="H2" s="62"/>
      <c r="I2" s="59"/>
      <c r="J2" s="57"/>
      <c r="K2" s="57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28"/>
      <c r="Z2" s="28"/>
      <c r="AH2" s="15"/>
      <c r="AI2" s="15"/>
      <c r="AJ2" s="60"/>
      <c r="AK2" s="60"/>
      <c r="AL2" s="63"/>
      <c r="AM2" s="63"/>
      <c r="AN2" s="63"/>
      <c r="AO2" s="63"/>
      <c r="AP2" s="60"/>
      <c r="AQ2" s="60"/>
      <c r="AR2" s="60"/>
      <c r="AS2" s="63"/>
      <c r="AT2" s="63"/>
      <c r="AU2" s="63"/>
      <c r="AV2" s="63"/>
      <c r="AW2" s="60"/>
      <c r="AX2" s="60"/>
    </row>
    <row r="3" spans="1:51" s="16" customFormat="1" x14ac:dyDescent="0.25">
      <c r="A3" s="59"/>
      <c r="B3" s="62"/>
      <c r="C3" s="59"/>
      <c r="D3" s="59"/>
      <c r="E3" s="62"/>
      <c r="F3" s="59"/>
      <c r="G3" s="59"/>
      <c r="H3" s="62"/>
      <c r="I3" s="59"/>
      <c r="J3" s="57"/>
      <c r="K3" s="57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15"/>
      <c r="Z3" s="15"/>
      <c r="AH3" s="15"/>
      <c r="AI3" s="15"/>
      <c r="AJ3" s="60"/>
      <c r="AK3" s="60"/>
      <c r="AL3" s="15"/>
      <c r="AM3" s="15"/>
      <c r="AN3" s="15"/>
      <c r="AO3" s="15"/>
      <c r="AP3" s="60"/>
      <c r="AQ3" s="60"/>
      <c r="AR3" s="60"/>
      <c r="AS3" s="15"/>
      <c r="AT3" s="15"/>
      <c r="AU3" s="15"/>
      <c r="AV3" s="15"/>
      <c r="AW3" s="60"/>
      <c r="AX3" s="60"/>
    </row>
    <row r="4" spans="1:51" s="16" customFormat="1" x14ac:dyDescent="0.25">
      <c r="A4" s="33" t="s">
        <v>19</v>
      </c>
      <c r="B4" s="33" t="s">
        <v>20</v>
      </c>
      <c r="C4" s="33" t="s">
        <v>20</v>
      </c>
      <c r="D4" s="33"/>
      <c r="E4" s="33" t="s">
        <v>20</v>
      </c>
      <c r="F4" s="33" t="s">
        <v>22</v>
      </c>
      <c r="G4" s="33" t="s">
        <v>22</v>
      </c>
      <c r="H4" s="33" t="s">
        <v>22</v>
      </c>
      <c r="I4" s="33" t="s">
        <v>22</v>
      </c>
      <c r="J4" s="33" t="s">
        <v>22</v>
      </c>
      <c r="K4" s="33" t="s">
        <v>23</v>
      </c>
      <c r="L4" s="33" t="s">
        <v>21</v>
      </c>
      <c r="M4" s="33" t="s">
        <v>24</v>
      </c>
      <c r="N4" s="33" t="s">
        <v>21</v>
      </c>
      <c r="O4" s="33" t="s">
        <v>25</v>
      </c>
      <c r="P4" s="33" t="s">
        <v>26</v>
      </c>
      <c r="Q4" s="33" t="s">
        <v>26</v>
      </c>
      <c r="R4" s="33" t="s">
        <v>27</v>
      </c>
      <c r="S4" s="33" t="s">
        <v>27</v>
      </c>
      <c r="T4" s="33" t="s">
        <v>27</v>
      </c>
      <c r="U4" s="33" t="s">
        <v>28</v>
      </c>
      <c r="V4" s="33" t="s">
        <v>29</v>
      </c>
      <c r="W4" s="33" t="s">
        <v>29</v>
      </c>
      <c r="X4" s="33" t="s">
        <v>30</v>
      </c>
      <c r="Y4" s="1"/>
      <c r="Z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s="43" customFormat="1" x14ac:dyDescent="0.25">
      <c r="A5" s="37">
        <v>76</v>
      </c>
      <c r="B5" s="38">
        <v>3536.38</v>
      </c>
      <c r="C5" s="38">
        <v>344.97</v>
      </c>
      <c r="D5" s="37">
        <v>0.7</v>
      </c>
      <c r="E5" s="37">
        <v>3108.84</v>
      </c>
      <c r="F5" s="38">
        <v>35</v>
      </c>
      <c r="G5" s="38">
        <v>25.83</v>
      </c>
      <c r="H5" s="38">
        <v>356</v>
      </c>
      <c r="I5" s="38">
        <v>356</v>
      </c>
      <c r="J5" s="34">
        <v>213.3</v>
      </c>
      <c r="K5" s="38">
        <v>37</v>
      </c>
      <c r="L5" s="37">
        <v>63.1</v>
      </c>
      <c r="M5" s="30">
        <v>25.83</v>
      </c>
      <c r="N5" s="31">
        <v>17130.759999999998</v>
      </c>
      <c r="O5" s="39">
        <f>461*V5</f>
        <v>366.03399999999999</v>
      </c>
      <c r="P5" s="37">
        <v>110</v>
      </c>
      <c r="Q5" s="34">
        <v>20</v>
      </c>
      <c r="R5" s="40">
        <v>0.2</v>
      </c>
      <c r="S5" s="40">
        <v>0.5</v>
      </c>
      <c r="T5" s="32">
        <v>0.25883400457618522</v>
      </c>
      <c r="U5" s="39">
        <v>1.5330000000000001</v>
      </c>
      <c r="V5" s="39">
        <v>0.79400000000000004</v>
      </c>
      <c r="W5" s="39">
        <v>1.0090000000000001</v>
      </c>
      <c r="X5" s="37">
        <v>0.28000000000000003</v>
      </c>
      <c r="Y5" s="41"/>
      <c r="Z5" s="42"/>
      <c r="AH5" s="17"/>
      <c r="AI5" s="17"/>
      <c r="AJ5" s="11"/>
      <c r="AK5" s="17"/>
      <c r="AL5" s="17"/>
      <c r="AM5" s="17"/>
      <c r="AN5" s="17"/>
      <c r="AO5" s="17"/>
      <c r="AP5" s="11"/>
      <c r="AQ5" s="17"/>
      <c r="AR5" s="11"/>
      <c r="AS5" s="17"/>
      <c r="AT5" s="17"/>
      <c r="AU5" s="17"/>
      <c r="AV5" s="17"/>
      <c r="AW5" s="17"/>
      <c r="AX5" s="17"/>
      <c r="AY5" s="29"/>
    </row>
    <row r="6" spans="1:51" ht="17.45" customHeight="1" x14ac:dyDescent="0.25">
      <c r="A6" s="51" t="s">
        <v>60</v>
      </c>
      <c r="B6" s="19"/>
      <c r="C6" s="19"/>
      <c r="D6" s="18"/>
      <c r="E6" s="18"/>
      <c r="F6" s="19"/>
      <c r="G6" s="19"/>
      <c r="H6" s="19"/>
      <c r="I6" s="19"/>
      <c r="K6" s="18"/>
      <c r="L6" s="20"/>
      <c r="M6" s="21"/>
      <c r="N6" s="22"/>
      <c r="O6" s="18"/>
      <c r="P6" s="23"/>
      <c r="Q6" s="23"/>
      <c r="R6" s="24"/>
      <c r="S6" s="22"/>
      <c r="T6" s="22"/>
      <c r="U6" s="22"/>
      <c r="V6" s="25"/>
      <c r="W6" s="26"/>
      <c r="X6" s="27"/>
      <c r="Y6" s="6"/>
      <c r="Z6" s="2"/>
      <c r="AH6" s="17"/>
      <c r="AI6" s="17"/>
      <c r="AJ6" s="11"/>
      <c r="AK6" s="17"/>
      <c r="AL6" s="17"/>
      <c r="AM6" s="17"/>
      <c r="AN6" s="17"/>
      <c r="AO6" s="17"/>
      <c r="AP6" s="11"/>
      <c r="AQ6" s="17"/>
      <c r="AR6" s="11"/>
      <c r="AS6" s="17"/>
      <c r="AT6" s="17"/>
      <c r="AU6" s="17"/>
      <c r="AV6" s="17"/>
      <c r="AW6" s="17"/>
      <c r="AX6" s="17"/>
    </row>
    <row r="7" spans="1:51" ht="24.75" customHeight="1" thickBot="1" x14ac:dyDescent="0.3">
      <c r="A7" s="52"/>
      <c r="B7" s="8"/>
      <c r="C7" s="8"/>
      <c r="D7" s="3"/>
      <c r="E7" s="3"/>
      <c r="F7" s="8"/>
      <c r="G7" s="8"/>
      <c r="H7" s="8"/>
      <c r="I7" s="8"/>
      <c r="K7" s="3"/>
      <c r="L7" s="4"/>
      <c r="M7" s="12"/>
      <c r="N7" s="10"/>
      <c r="O7" s="3"/>
      <c r="P7" s="9"/>
      <c r="Q7" s="9"/>
      <c r="R7" s="7"/>
      <c r="S7" s="10"/>
      <c r="T7" s="10"/>
      <c r="U7" s="10"/>
      <c r="V7" s="14"/>
      <c r="W7" s="2"/>
      <c r="X7" s="5"/>
      <c r="Y7" s="6"/>
      <c r="Z7" s="2"/>
      <c r="AH7" s="17"/>
      <c r="AI7" s="17"/>
      <c r="AJ7" s="11"/>
      <c r="AK7" s="17"/>
      <c r="AL7" s="17"/>
      <c r="AM7" s="17"/>
      <c r="AN7" s="17"/>
      <c r="AO7" s="17"/>
      <c r="AP7" s="11"/>
      <c r="AQ7" s="17"/>
      <c r="AR7" s="11"/>
      <c r="AS7" s="17"/>
      <c r="AT7" s="17"/>
      <c r="AU7" s="17"/>
      <c r="AV7" s="17"/>
      <c r="AW7" s="17"/>
      <c r="AX7" s="17"/>
    </row>
    <row r="8" spans="1:51" ht="15.75" thickBot="1" x14ac:dyDescent="0.3">
      <c r="A8" s="47" t="s">
        <v>51</v>
      </c>
    </row>
    <row r="9" spans="1:51" s="89" customFormat="1" ht="14.45" customHeight="1" x14ac:dyDescent="0.25">
      <c r="A9" s="91" t="s">
        <v>45</v>
      </c>
      <c r="B9" s="53" t="s">
        <v>35</v>
      </c>
      <c r="C9" s="54"/>
      <c r="D9" s="55"/>
      <c r="E9" s="53" t="s">
        <v>36</v>
      </c>
      <c r="F9" s="54"/>
      <c r="G9" s="55"/>
      <c r="H9" s="85" t="s">
        <v>38</v>
      </c>
      <c r="I9" s="86"/>
      <c r="J9" s="87" t="s">
        <v>39</v>
      </c>
      <c r="K9" s="88" t="s">
        <v>37</v>
      </c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</row>
    <row r="10" spans="1:51" s="89" customFormat="1" x14ac:dyDescent="0.25">
      <c r="A10" s="88"/>
      <c r="B10" s="48" t="s">
        <v>40</v>
      </c>
      <c r="C10" s="48" t="s">
        <v>41</v>
      </c>
      <c r="D10" s="48" t="s">
        <v>42</v>
      </c>
      <c r="E10" s="48" t="s">
        <v>40</v>
      </c>
      <c r="F10" s="48" t="s">
        <v>41</v>
      </c>
      <c r="G10" s="48" t="s">
        <v>42</v>
      </c>
      <c r="H10" s="48" t="s">
        <v>43</v>
      </c>
      <c r="I10" s="48" t="s">
        <v>44</v>
      </c>
      <c r="J10" s="91"/>
      <c r="K10" s="88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</row>
    <row r="11" spans="1:51" s="89" customFormat="1" x14ac:dyDescent="0.25">
      <c r="A11" s="35" t="s">
        <v>46</v>
      </c>
      <c r="B11" s="36">
        <f>[1]!PVT_rho_oil_kgm3(F5,Q5,,V5,W5,,O5,J5,P5,U5,R5,0,D5)</f>
        <v>767.32143294011598</v>
      </c>
      <c r="C11" s="36">
        <f>[1]!PVT_rho_wat_kgm3(F5,Q5,,V5,W5,,O5,J5,P5,U5,R5,0,D5)</f>
        <v>1007.8152660706695</v>
      </c>
      <c r="D11" s="36">
        <f>[1]!PVT_rho_gas_kgm3(F5,Q5,,V5,W5,,O5,J5,P5,U5,R5,0,D5)</f>
        <v>27.701866134622559</v>
      </c>
      <c r="E11" s="92">
        <f>[1]!PVT_mu_oil_cP(F5,Q5,,V5,W5,,O5,J5,P5,U5,R5,0,D5)</f>
        <v>0.62071723741802987</v>
      </c>
      <c r="F11" s="92">
        <f>[1]!PVT_mu_wat_cP(F5,Q5,,V5,W5,,O5,J5,P5,U5,R5,0,D5)</f>
        <v>1.0376441256890576</v>
      </c>
      <c r="G11" s="92">
        <f>[1]!PVT_mu_gas_cP(F5,Q5,,V5,W5,,O5,J5,P5,U5,R5,0,D5)</f>
        <v>1.1676727225250471E-2</v>
      </c>
      <c r="H11" s="92">
        <f>[1]!MF_mu_mix_cP(L5,M5,F5,Q5,A14)</f>
        <v>0.10550183180757533</v>
      </c>
      <c r="I11" s="36">
        <f>[1]!MF_rho_mix_kgm3(L5,M5,F5,Q5,A14)</f>
        <v>133.21952492858478</v>
      </c>
      <c r="J11" s="36">
        <f>[1]!MF_q_mix_rc_m3day(L5,M5,F5,Q5,A14)</f>
        <v>497.73343693301399</v>
      </c>
      <c r="K11" s="36">
        <f>[1]!PVT_rs_m3m3(F5,Q5,,V5,W5,,O5,J5,P5,U5,R5,0,D5)</f>
        <v>17.01689459166451</v>
      </c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</row>
    <row r="12" spans="1:51" s="89" customFormat="1" x14ac:dyDescent="0.25">
      <c r="A12" s="35" t="s">
        <v>47</v>
      </c>
      <c r="B12" s="36">
        <f>[1]!PVT_rho_oil_kgm3(F5,Q5,,V5,W5,,O5,J5,P5,U5,R5,1,D5)</f>
        <v>743.37942849825743</v>
      </c>
      <c r="C12" s="36">
        <f>[1]!PVT_rho_wat_kgm3(F5,Q5,,V5,W5,,O5,J5,P5,U5,R5,1,D5)</f>
        <v>1007.8152660706695</v>
      </c>
      <c r="D12" s="36">
        <f>[1]!PVT_rho_gas_kgm3(F5,Q5,,V5,W5,,O5,J5,P5,U5,R5,1,D5)</f>
        <v>27.701866134622559</v>
      </c>
      <c r="E12" s="92">
        <f>[1]!PVT_mu_oil_cP(F5,Q5,,V5,W5,,O5,J5,P5,U5,R5,1,D5)</f>
        <v>0.40826473323066742</v>
      </c>
      <c r="F12" s="92">
        <f>[1]!PVT_mu_wat_cP(F5,Q5,,V5,W5,,O5,J5,P5,U5,R5,1,D5)</f>
        <v>1.0376441256890576</v>
      </c>
      <c r="G12" s="92">
        <f>[1]!PVT_mu_gas_cP(F5,Q5,,V5,W5,,O5,J5,P5,U5,R5,1,D5)</f>
        <v>1.1676727225250471E-2</v>
      </c>
      <c r="H12" s="92">
        <f>[1]!MF_mu_mix_cP(L5,M5,F5,Q5,A15)</f>
        <v>8.7970250694314286E-2</v>
      </c>
      <c r="I12" s="36">
        <f>[1]!MF_rho_mix_kgm3(L5,M5,F5,Q5,A15)</f>
        <v>136.74941432212273</v>
      </c>
      <c r="J12" s="36">
        <f>[1]!MF_q_mix_rc_m3day(L5,M5,F5,Q5,A15)</f>
        <v>486.03905346752822</v>
      </c>
      <c r="K12" s="36">
        <f>[1]!PVT_rs_m3m3(F5,Q5,,V5,W5,,O5,J5,P5,U5,R5,1,D5)</f>
        <v>28.154240291509385</v>
      </c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</row>
    <row r="14" spans="1:51" x14ac:dyDescent="0.25">
      <c r="A14" t="str">
        <f>[1]!PVT_encode_string(,V5,W5,,O5,J5,P5,U5,R5,0,D5,,,0)</f>
        <v>{"gamma_gas":0.6,"gamma_oil":0.794,"gamma_wat":1.009,"rsb_m3m3":100,"rp_m3m3":366.034,"pb_atma":213.3,"t_res_C":110,"bob_m3m3":1.533,"muob_cP":0.2,"PVTcorr":0,"ksep_fr":0.7}</v>
      </c>
    </row>
    <row r="15" spans="1:51" ht="15.75" thickBot="1" x14ac:dyDescent="0.3">
      <c r="A15" t="str">
        <f>[1]!PVT_encode_string(,V5,W5,,O5,J5,P5,U5,R5,1,D5,,,0)</f>
        <v>{"gamma_gas":0.6,"gamma_oil":0.794,"gamma_wat":1.009,"rsb_m3m3":100,"rp_m3m3":366.034,"pb_atma":213.3,"t_res_C":110,"bob_m3m3":1.533,"muob_cP":0.2,"PVTcorr":1,"ksep_fr":0.7}</v>
      </c>
    </row>
    <row r="16" spans="1:51" x14ac:dyDescent="0.25">
      <c r="A16" s="49" t="s">
        <v>50</v>
      </c>
      <c r="B16" s="46"/>
      <c r="C16" s="46"/>
      <c r="D16" s="46"/>
      <c r="E16" s="46"/>
      <c r="F16" s="46"/>
    </row>
    <row r="17" spans="1:9" ht="31.15" customHeight="1" x14ac:dyDescent="0.25">
      <c r="A17" s="57" t="s">
        <v>48</v>
      </c>
      <c r="B17" s="56" t="s">
        <v>56</v>
      </c>
      <c r="C17" s="58" t="s">
        <v>54</v>
      </c>
      <c r="D17" s="58" t="s">
        <v>55</v>
      </c>
      <c r="E17" s="58" t="s">
        <v>57</v>
      </c>
      <c r="F17" s="58" t="s">
        <v>58</v>
      </c>
    </row>
    <row r="18" spans="1:9" ht="30.6" customHeight="1" x14ac:dyDescent="0.25">
      <c r="A18" s="57"/>
      <c r="B18" s="56"/>
      <c r="C18" s="58"/>
      <c r="D18" s="58"/>
      <c r="E18" s="58"/>
      <c r="F18" s="58"/>
    </row>
    <row r="19" spans="1:9" ht="15.75" thickBot="1" x14ac:dyDescent="0.3">
      <c r="A19" s="72">
        <f>ACOS(C5/B5)*180/PI()</f>
        <v>84.40195703907753</v>
      </c>
      <c r="B19" s="73">
        <f>[1]!MF_p_pipe_atma(F5,Q5,P5,B5,A19,A5,L5,M5,0,A14,10,1)</f>
        <v>169.11294456734905</v>
      </c>
      <c r="C19" s="34">
        <v>0</v>
      </c>
      <c r="D19" s="36">
        <f>[1]!MF_p_choke_atma(C19,26,10,G$5,0,A$5,Q$5,1,A$14,0)</f>
        <v>25.83</v>
      </c>
      <c r="E19" s="36">
        <f>[1]!MF_p_pipe_atma(D19,$Q$5,P$5,B$5,A$19,A$5,C19,M$5,0,A$14,10,1)</f>
        <v>244.64819218460826</v>
      </c>
      <c r="F19" s="93">
        <f>[1]!IPR_pwf_atma(X$5,H$5,C19,M$5,J$5)</f>
        <v>356</v>
      </c>
    </row>
    <row r="20" spans="1:9" x14ac:dyDescent="0.25">
      <c r="A20" s="78" t="s">
        <v>49</v>
      </c>
      <c r="B20" s="79"/>
      <c r="C20" s="67">
        <v>25</v>
      </c>
      <c r="D20" s="36">
        <f>[1]!MF_p_choke_atma(C20,26,10,G$5,0,A$5,Q$5,1,A$14,0)</f>
        <v>26.919190750122063</v>
      </c>
      <c r="E20" s="36">
        <f>[1]!MF_p_pipe_atma(D20,$Q$5,P$5,B$5,A$19,A$5,C20,M$5,0,A$14,10,1)</f>
        <v>195.7678123524031</v>
      </c>
      <c r="F20" s="93">
        <f>[1]!IPR_pwf_atma(X$5,H$5,C20,M$5,J$5)</f>
        <v>266.71428571428572</v>
      </c>
    </row>
    <row r="21" spans="1:9" ht="18.600000000000001" customHeight="1" x14ac:dyDescent="0.25">
      <c r="A21" s="80"/>
      <c r="B21" s="81"/>
      <c r="C21" s="70">
        <v>50</v>
      </c>
      <c r="D21" s="36">
        <f>[1]!MF_p_choke_atma(C21,26,10,G$5,0,A$5,Q$5,1,A$14,0)</f>
        <v>30.670760192871089</v>
      </c>
      <c r="E21" s="36">
        <f>[1]!MF_p_pipe_atma(D21,$Q$5,P$5,B$5,A$19,A$5,C21,M$5,0,A$14,10,1)</f>
        <v>167.43699200355559</v>
      </c>
      <c r="F21" s="93">
        <f>[1]!IPR_pwf_atma(X$5,H$5,C21,M$5,J$5)</f>
        <v>175.07208338106608</v>
      </c>
      <c r="G21" s="74"/>
      <c r="H21" s="74"/>
      <c r="I21" s="74"/>
    </row>
    <row r="22" spans="1:9" ht="16.5" customHeight="1" x14ac:dyDescent="0.25">
      <c r="A22" s="80"/>
      <c r="B22" s="81"/>
      <c r="C22" s="71">
        <v>63</v>
      </c>
      <c r="D22" s="36">
        <f>[1]!MF_p_choke_atma(C22,26,10,G$5,0,A$5,Q$5,1,A$14,0)</f>
        <v>34.202205505371097</v>
      </c>
      <c r="E22" s="36">
        <f>[1]!MF_p_pipe_atma(D22,$Q$5,P$5,B$5,A$19,A$5,C22,M$5,0,A$14,10,1)</f>
        <v>166.765513371944</v>
      </c>
      <c r="F22" s="93">
        <f>[1]!IPR_pwf_atma(X$5,H$5,C22,M$5,J$5)</f>
        <v>113.80361903915733</v>
      </c>
      <c r="G22" s="74"/>
      <c r="H22" s="74"/>
      <c r="I22" s="74"/>
    </row>
    <row r="23" spans="1:9" ht="17.25" customHeight="1" thickBot="1" x14ac:dyDescent="0.3">
      <c r="A23" s="82"/>
      <c r="B23" s="83"/>
      <c r="C23" s="67">
        <v>75</v>
      </c>
      <c r="D23" s="36">
        <f>[1]!MF_p_choke_atma(C23,26,10,G$5,0,A$5,Q$5,1,A$14,0)</f>
        <v>38.928666687011727</v>
      </c>
      <c r="E23" s="36">
        <f>[1]!MF_p_pipe_atma(D23,$Q$5,P$5,B$5,A$19,A$5,C23,M$5,0,A$14,10,1)</f>
        <v>172.90755403404665</v>
      </c>
      <c r="F23" s="93">
        <f>[1]!IPR_pwf_atma(X$5,H$5,C23,M$5,J$5)</f>
        <v>0</v>
      </c>
      <c r="G23" s="74"/>
      <c r="H23" s="74"/>
      <c r="I23" s="74"/>
    </row>
    <row r="24" spans="1:9" x14ac:dyDescent="0.25">
      <c r="A24" s="50"/>
      <c r="B24" s="50"/>
      <c r="C24" s="34">
        <v>100</v>
      </c>
      <c r="D24" s="36">
        <f>[1]!MF_p_choke_atma(C24,26,10,G$5,0,A$5,Q$5,1,A$14,0)</f>
        <v>51.566195983886715</v>
      </c>
      <c r="E24" s="36">
        <f>[1]!MF_p_pipe_atma(D24,$Q$5,P$5,B$5,A$19,A$5,C24,M$5,0,A$14,10,1)</f>
        <v>195.76100986828828</v>
      </c>
      <c r="F24" s="93">
        <f>[1]!IPR_pwf_atma(X$5,H$5,C24,M$5,J$5)</f>
        <v>0</v>
      </c>
    </row>
    <row r="25" spans="1:9" x14ac:dyDescent="0.25">
      <c r="A25" s="50"/>
      <c r="B25" s="50"/>
      <c r="C25" s="34">
        <v>150</v>
      </c>
      <c r="D25" s="36">
        <f>[1]!MF_p_choke_atma(C25,26,10,G$5,0,A$5,Q$5,1,A$14,0)</f>
        <v>75.220573425292969</v>
      </c>
      <c r="E25" s="36">
        <f>[1]!MF_p_pipe_atma(D25,$Q$5,P$5,B$5,A$19,A$5,C25,M$5,0,A$14,10,1)</f>
        <v>235.43275696320865</v>
      </c>
      <c r="F25" s="93">
        <f>[1]!IPR_pwf_atma(X$5,H$5,C25,M$5,J$5)</f>
        <v>0</v>
      </c>
    </row>
    <row r="26" spans="1:9" x14ac:dyDescent="0.25">
      <c r="A26" s="50"/>
      <c r="B26" s="50"/>
      <c r="C26" s="34">
        <v>200</v>
      </c>
      <c r="D26" s="36">
        <f>[1]!MF_p_choke_atma(C26,26,10,G$5,0,A$5,Q$5,1,A$14,0)</f>
        <v>97.867543029785168</v>
      </c>
      <c r="E26" s="36">
        <f>[1]!MF_p_pipe_atma(D26,$Q$5,P$5,B$5,A$19,A$5,C26,M$5,0,A$14,10,1)</f>
        <v>268.32806642646443</v>
      </c>
      <c r="F26" s="93">
        <f>[1]!IPR_pwf_atma(X$5,H$5,C26,M$5,J$5)</f>
        <v>0</v>
      </c>
    </row>
    <row r="27" spans="1:9" x14ac:dyDescent="0.25">
      <c r="A27" s="50"/>
      <c r="B27" s="50"/>
      <c r="C27" s="34">
        <v>250</v>
      </c>
      <c r="D27" s="36">
        <f>[1]!MF_p_choke_atma(C27,26,10,G$5,0,A$5,Q$5,1,A$14,0)</f>
        <v>119.96430084228513</v>
      </c>
      <c r="E27" s="36">
        <f>[1]!MF_p_pipe_atma(D27,$Q$5,P$5,B$5,A$19,A$5,C27,M$5,0,A$14,10,1)</f>
        <v>298.87278468523704</v>
      </c>
      <c r="F27" s="93">
        <f>[1]!IPR_pwf_atma(X$5,H$5,C27,M$5,J$5)</f>
        <v>0</v>
      </c>
    </row>
    <row r="28" spans="1:9" x14ac:dyDescent="0.25">
      <c r="A28" s="50"/>
      <c r="B28" s="50"/>
      <c r="C28" s="34">
        <v>300</v>
      </c>
      <c r="D28" s="36">
        <f>[1]!MF_p_choke_atma(C28,26,10,G$5,0,A$5,Q$5,1,A$14,0)</f>
        <v>141.89867523193357</v>
      </c>
      <c r="E28" s="36">
        <f>[1]!MF_p_pipe_atma(D28,$Q$5,P$5,B$5,A$19,A$5,C28,M$5,0,A$14,10,1)</f>
        <v>327.95968056661246</v>
      </c>
      <c r="F28" s="93">
        <f>[1]!IPR_pwf_atma(X$5,H$5,C28,M$5,J$5)</f>
        <v>0</v>
      </c>
    </row>
    <row r="29" spans="1:9" x14ac:dyDescent="0.25">
      <c r="A29" s="50"/>
      <c r="B29" s="50"/>
      <c r="C29" s="34">
        <v>350</v>
      </c>
      <c r="D29" s="36">
        <f>[1]!MF_p_choke_atma(C29,26,10,G$5,0,A$5,Q$5,1,A$14,0)</f>
        <v>164.9114016723633</v>
      </c>
      <c r="E29" s="36">
        <f>[1]!MF_p_pipe_atma(D29,$Q$5,P$5,B$5,A$19,A$5,C29,M$5,0,A$14,10,1)</f>
        <v>357.51090578439909</v>
      </c>
      <c r="F29" s="93">
        <f>[1]!IPR_pwf_atma(X$5,H$5,C29,M$5,J$5)</f>
        <v>0</v>
      </c>
    </row>
    <row r="30" spans="1:9" x14ac:dyDescent="0.25">
      <c r="A30" s="50"/>
      <c r="B30" s="50"/>
      <c r="C30" s="34">
        <v>400</v>
      </c>
      <c r="D30" s="36">
        <f>[1]!MF_p_choke_atma(C30,26,10,G$5,0,A$5,Q$5,1,A$14,0)</f>
        <v>189.6425546264648</v>
      </c>
      <c r="E30" s="36">
        <f>[1]!MF_p_pipe_atma(D30,$Q$5,P$5,B$5,A$19,A$5,C30,M$5,0,A$14,10,1)</f>
        <v>388.49227549339753</v>
      </c>
      <c r="F30" s="93">
        <f>[1]!IPR_pwf_atma(X$5,H$5,C30,M$5,J$5)</f>
        <v>0</v>
      </c>
    </row>
    <row r="31" spans="1:9" x14ac:dyDescent="0.25">
      <c r="C31" s="34">
        <v>450</v>
      </c>
      <c r="D31" s="36">
        <f>[1]!MF_p_choke_atma(C31,26,10,G$5,0,A$5,Q$5,1,A$14,0)</f>
        <v>217.07904693603513</v>
      </c>
      <c r="E31" s="36">
        <f>[1]!MF_p_pipe_atma(D31,$Q$5,P$5,B$5,A$19,A$5,C31,M$5,0,A$14,10,1)</f>
        <v>422.07228774188684</v>
      </c>
      <c r="F31" s="93">
        <f>[1]!IPR_pwf_atma(X$5,H$5,C31,M$5,J$5)</f>
        <v>0</v>
      </c>
    </row>
    <row r="32" spans="1:9" x14ac:dyDescent="0.25">
      <c r="C32" s="34">
        <v>500</v>
      </c>
      <c r="D32" s="36">
        <f>[1]!MF_p_choke_atma(C32,26,10,G$5,0,A$5,Q$5,1,A$14,0)</f>
        <v>248.12896453857422</v>
      </c>
      <c r="E32" s="36">
        <f>[1]!MF_p_pipe_atma(D32,$Q$5,P$5,B$5,A$19,A$5,C32,M$5,0,A$14,10,1)</f>
        <v>459.2426311058623</v>
      </c>
      <c r="F32" s="93">
        <f>[1]!IPR_pwf_atma(X$5,H$5,C32,M$5,J$5)</f>
        <v>0</v>
      </c>
    </row>
    <row r="33" spans="1:14" ht="15.75" thickBot="1" x14ac:dyDescent="0.3">
      <c r="C33" s="45"/>
      <c r="D33" s="44"/>
      <c r="E33" s="44"/>
      <c r="F33" s="13"/>
    </row>
    <row r="34" spans="1:14" ht="15.75" thickBot="1" x14ac:dyDescent="0.3">
      <c r="A34" s="47" t="s">
        <v>52</v>
      </c>
      <c r="B34" s="75" t="s">
        <v>53</v>
      </c>
      <c r="C34" s="76"/>
      <c r="D34" s="76"/>
      <c r="E34" s="76"/>
      <c r="F34" s="76"/>
      <c r="G34" s="76"/>
      <c r="H34" s="76"/>
      <c r="I34" s="77"/>
    </row>
    <row r="35" spans="1:14" x14ac:dyDescent="0.25">
      <c r="A35" s="84">
        <f t="array" ref="A35:N68">[1]!MF_p_pipe_atma($F$5,$Q$5,$P$5,$B$5,$A$19,$A$5,$L$5,$M$5,0,$A$14,10,1)</f>
        <v>169.11294456734905</v>
      </c>
      <c r="B35" s="84">
        <v>110</v>
      </c>
      <c r="C35" s="84">
        <v>35</v>
      </c>
      <c r="D35" s="84">
        <v>20</v>
      </c>
      <c r="E35" s="84">
        <v>169.11294456734905</v>
      </c>
      <c r="F35" s="84">
        <v>110</v>
      </c>
      <c r="G35" s="84">
        <v>1</v>
      </c>
      <c r="H35" s="84">
        <v>1</v>
      </c>
      <c r="I35" s="84">
        <v>17130.856063179999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  <row r="36" spans="1:14" x14ac:dyDescent="0.25">
      <c r="A36" s="48" t="str">
        <v>p_result_atma</v>
      </c>
      <c r="B36" s="48" t="str">
        <v>t_result_C</v>
      </c>
      <c r="C36" s="48" t="str">
        <v>p_1, atma</v>
      </c>
      <c r="D36" s="48" t="str">
        <v>t_1, C</v>
      </c>
      <c r="E36" s="48" t="str">
        <v>p_2, atma</v>
      </c>
      <c r="F36" s="48" t="str">
        <v>t_2, C</v>
      </c>
      <c r="G36" s="48" t="str">
        <v>c_calibr_grav</v>
      </c>
      <c r="H36" s="48" t="str">
        <v>c_calibr_fric</v>
      </c>
      <c r="I36" s="48" t="str">
        <v>q_gas_sm3day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</row>
    <row r="37" spans="1:14" ht="15.75" thickBot="1" x14ac:dyDescent="0.3">
      <c r="A37" s="48" t="str">
        <v>num</v>
      </c>
      <c r="B37" s="48" t="str">
        <v>h,m</v>
      </c>
      <c r="C37" s="48" t="str">
        <v>hvert,m</v>
      </c>
      <c r="D37" s="48" t="str">
        <v>p,atma</v>
      </c>
      <c r="E37" s="48" t="str">
        <v>t,C</v>
      </c>
      <c r="F37" s="48" t="str">
        <v>Hl</v>
      </c>
      <c r="G37" s="64" t="str">
        <v>fpat</v>
      </c>
      <c r="H37" s="48" t="str">
        <v>t_amb, C</v>
      </c>
      <c r="I37" s="48" t="str">
        <v>diam, m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</row>
    <row r="38" spans="1:14" x14ac:dyDescent="0.25">
      <c r="A38" s="35">
        <v>1</v>
      </c>
      <c r="B38" s="35">
        <v>0</v>
      </c>
      <c r="C38" s="35">
        <v>0</v>
      </c>
      <c r="D38" s="35">
        <v>35</v>
      </c>
      <c r="E38" s="35">
        <v>20</v>
      </c>
      <c r="F38" s="65">
        <v>0.30621690683570923</v>
      </c>
      <c r="G38" s="66">
        <v>103</v>
      </c>
      <c r="H38" s="67">
        <v>20</v>
      </c>
      <c r="I38" s="35">
        <v>7.5999999999999998E-2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</row>
    <row r="39" spans="1:14" x14ac:dyDescent="0.25">
      <c r="A39" s="35">
        <v>2</v>
      </c>
      <c r="B39" s="35">
        <v>186.12526315789475</v>
      </c>
      <c r="C39" s="35">
        <v>185.23758199282474</v>
      </c>
      <c r="D39" s="35">
        <v>39.157322639925596</v>
      </c>
      <c r="E39" s="35">
        <v>24.736842105263158</v>
      </c>
      <c r="F39" s="65">
        <v>0.32431650633154258</v>
      </c>
      <c r="G39" s="68">
        <v>103</v>
      </c>
      <c r="H39" s="67">
        <v>24.736842105263158</v>
      </c>
      <c r="I39" s="35">
        <v>7.5999999999999998E-2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</row>
    <row r="40" spans="1:14" x14ac:dyDescent="0.25">
      <c r="A40" s="35">
        <v>3</v>
      </c>
      <c r="B40" s="35">
        <v>372.2505263157895</v>
      </c>
      <c r="C40" s="35">
        <v>370.47516398564949</v>
      </c>
      <c r="D40" s="35">
        <v>43.605493932030846</v>
      </c>
      <c r="E40" s="35">
        <v>29.473684210526319</v>
      </c>
      <c r="F40" s="65">
        <v>0.34278766129091248</v>
      </c>
      <c r="G40" s="68">
        <v>103</v>
      </c>
      <c r="H40" s="67">
        <v>29.473684210526319</v>
      </c>
      <c r="I40" s="35">
        <v>7.5999999999999998E-2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</row>
    <row r="41" spans="1:14" x14ac:dyDescent="0.25">
      <c r="A41" s="35">
        <v>4</v>
      </c>
      <c r="B41" s="35">
        <v>558.37578947368422</v>
      </c>
      <c r="C41" s="35">
        <v>555.71274597847423</v>
      </c>
      <c r="D41" s="35">
        <v>48.343839744262681</v>
      </c>
      <c r="E41" s="35">
        <v>34.210526315789473</v>
      </c>
      <c r="F41" s="65">
        <v>0.36150667883524035</v>
      </c>
      <c r="G41" s="68">
        <v>103</v>
      </c>
      <c r="H41" s="67">
        <v>34.210526315789473</v>
      </c>
      <c r="I41" s="35">
        <v>7.5999999999999998E-2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</row>
    <row r="42" spans="1:14" x14ac:dyDescent="0.25">
      <c r="A42" s="35">
        <v>5</v>
      </c>
      <c r="B42" s="35">
        <v>744.501052631579</v>
      </c>
      <c r="C42" s="35">
        <v>740.95032797129898</v>
      </c>
      <c r="D42" s="35">
        <v>53.369099733186538</v>
      </c>
      <c r="E42" s="35">
        <v>38.94736842105263</v>
      </c>
      <c r="F42" s="65">
        <v>0.38034222752173785</v>
      </c>
      <c r="G42" s="68">
        <v>103</v>
      </c>
      <c r="H42" s="67">
        <v>38.94736842105263</v>
      </c>
      <c r="I42" s="35">
        <v>7.5999999999999998E-2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</row>
    <row r="43" spans="1:14" x14ac:dyDescent="0.25">
      <c r="A43" s="35">
        <v>6</v>
      </c>
      <c r="B43" s="35">
        <v>930.62631578947378</v>
      </c>
      <c r="C43" s="35">
        <v>926.18790996412372</v>
      </c>
      <c r="D43" s="35">
        <v>58.753648657651382</v>
      </c>
      <c r="E43" s="35">
        <v>43.684210526315795</v>
      </c>
      <c r="F43" s="65">
        <v>0.42051155994234696</v>
      </c>
      <c r="G43" s="68">
        <v>103</v>
      </c>
      <c r="H43" s="67">
        <v>43.684210526315795</v>
      </c>
      <c r="I43" s="35">
        <v>7.5999999999999998E-2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</row>
    <row r="44" spans="1:14" x14ac:dyDescent="0.25">
      <c r="A44" s="35">
        <v>7</v>
      </c>
      <c r="B44" s="35">
        <v>1116.7515789473684</v>
      </c>
      <c r="C44" s="35">
        <v>1111.4254919569485</v>
      </c>
      <c r="D44" s="35">
        <v>65.119322089455025</v>
      </c>
      <c r="E44" s="35">
        <v>48.421052631578952</v>
      </c>
      <c r="F44" s="65">
        <v>0.48915315927262409</v>
      </c>
      <c r="G44" s="68">
        <v>103</v>
      </c>
      <c r="H44" s="67">
        <v>48.421052631578952</v>
      </c>
      <c r="I44" s="35">
        <v>7.5999999999999998E-2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</row>
    <row r="45" spans="1:14" x14ac:dyDescent="0.25">
      <c r="A45" s="35">
        <v>8</v>
      </c>
      <c r="B45" s="35">
        <v>1302.8768421052632</v>
      </c>
      <c r="C45" s="35">
        <v>1296.6630739497732</v>
      </c>
      <c r="D45" s="35">
        <v>71.958103636514721</v>
      </c>
      <c r="E45" s="35">
        <v>53.15789473684211</v>
      </c>
      <c r="F45" s="65">
        <v>0.50975229633637442</v>
      </c>
      <c r="G45" s="68">
        <v>103</v>
      </c>
      <c r="H45" s="67">
        <v>53.15789473684211</v>
      </c>
      <c r="I45" s="35">
        <v>7.5999999999999998E-2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</row>
    <row r="46" spans="1:14" x14ac:dyDescent="0.25">
      <c r="A46" s="35">
        <v>9</v>
      </c>
      <c r="B46" s="35">
        <v>1489.002105263158</v>
      </c>
      <c r="C46" s="35">
        <v>1481.900655942598</v>
      </c>
      <c r="D46" s="35">
        <v>79.079341038247776</v>
      </c>
      <c r="E46" s="35">
        <v>57.894736842105267</v>
      </c>
      <c r="F46" s="65">
        <v>0.52945304828770356</v>
      </c>
      <c r="G46" s="68">
        <v>103</v>
      </c>
      <c r="H46" s="67">
        <v>57.894736842105267</v>
      </c>
      <c r="I46" s="35">
        <v>7.5999999999999998E-2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</row>
    <row r="47" spans="1:14" x14ac:dyDescent="0.25">
      <c r="A47" s="35">
        <v>10</v>
      </c>
      <c r="B47" s="35">
        <v>1675.1273684210528</v>
      </c>
      <c r="C47" s="35">
        <v>1667.1382379354227</v>
      </c>
      <c r="D47" s="35">
        <v>86.451530000774994</v>
      </c>
      <c r="E47" s="35">
        <v>62.631578947368425</v>
      </c>
      <c r="F47" s="65">
        <v>0.54817839513249889</v>
      </c>
      <c r="G47" s="68">
        <v>103</v>
      </c>
      <c r="H47" s="67">
        <v>62.631578947368425</v>
      </c>
      <c r="I47" s="35">
        <v>7.5999999999999998E-2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</row>
    <row r="48" spans="1:14" x14ac:dyDescent="0.25">
      <c r="A48" s="35">
        <v>11</v>
      </c>
      <c r="B48" s="35">
        <v>1861.2526315789476</v>
      </c>
      <c r="C48" s="35">
        <v>1852.3758199282474</v>
      </c>
      <c r="D48" s="35">
        <v>94.048493856952149</v>
      </c>
      <c r="E48" s="35">
        <v>67.368421052631589</v>
      </c>
      <c r="F48" s="65">
        <v>0.56588019366411479</v>
      </c>
      <c r="G48" s="68">
        <v>103</v>
      </c>
      <c r="H48" s="67">
        <v>67.368421052631589</v>
      </c>
      <c r="I48" s="35">
        <v>7.5999999999999998E-2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</row>
    <row r="49" spans="1:14" x14ac:dyDescent="0.25">
      <c r="A49" s="35">
        <v>12</v>
      </c>
      <c r="B49" s="35">
        <v>2047.3778947368423</v>
      </c>
      <c r="C49" s="35">
        <v>2037.6134019210724</v>
      </c>
      <c r="D49" s="35">
        <v>101.84686401856108</v>
      </c>
      <c r="E49" s="35">
        <v>72.10526315789474</v>
      </c>
      <c r="F49" s="65">
        <v>0.58253482594538364</v>
      </c>
      <c r="G49" s="68">
        <v>103</v>
      </c>
      <c r="H49" s="67">
        <v>72.10526315789474</v>
      </c>
      <c r="I49" s="35">
        <v>7.5999999999999998E-2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</row>
    <row r="50" spans="1:14" x14ac:dyDescent="0.25">
      <c r="A50" s="35">
        <v>13</v>
      </c>
      <c r="B50" s="35">
        <v>2233.5031578947369</v>
      </c>
      <c r="C50" s="35">
        <v>2222.8509839138969</v>
      </c>
      <c r="D50" s="35">
        <v>109.82424786495525</v>
      </c>
      <c r="E50" s="35">
        <v>76.84210526315789</v>
      </c>
      <c r="F50" s="65">
        <v>0.59814551702651098</v>
      </c>
      <c r="G50" s="68">
        <v>103</v>
      </c>
      <c r="H50" s="67">
        <v>76.84210526315789</v>
      </c>
      <c r="I50" s="35">
        <v>7.5999999999999998E-2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</row>
    <row r="51" spans="1:14" x14ac:dyDescent="0.25">
      <c r="A51" s="35">
        <v>14</v>
      </c>
      <c r="B51" s="35">
        <v>2419.6284210526319</v>
      </c>
      <c r="C51" s="35">
        <v>2408.0885659067221</v>
      </c>
      <c r="D51" s="35">
        <v>117.95955868347886</v>
      </c>
      <c r="E51" s="35">
        <v>81.578947368421069</v>
      </c>
      <c r="F51" s="65">
        <v>0.61273663044889259</v>
      </c>
      <c r="G51" s="68">
        <v>103</v>
      </c>
      <c r="H51" s="67">
        <v>81.578947368421069</v>
      </c>
      <c r="I51" s="35">
        <v>7.5999999999999998E-2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</row>
    <row r="52" spans="1:14" x14ac:dyDescent="0.25">
      <c r="A52" s="35">
        <v>15</v>
      </c>
      <c r="B52" s="35">
        <v>2605.7536842105264</v>
      </c>
      <c r="C52" s="35">
        <v>2593.3261478995464</v>
      </c>
      <c r="D52" s="35">
        <v>126.23322670440908</v>
      </c>
      <c r="E52" s="35">
        <v>86.31578947368422</v>
      </c>
      <c r="F52" s="65">
        <v>0.62634795492485207</v>
      </c>
      <c r="G52" s="68">
        <v>103</v>
      </c>
      <c r="H52" s="67">
        <v>86.31578947368422</v>
      </c>
      <c r="I52" s="35">
        <v>7.5999999999999998E-2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</row>
    <row r="53" spans="1:14" x14ac:dyDescent="0.25">
      <c r="A53" s="35">
        <v>16</v>
      </c>
      <c r="B53" s="35">
        <v>2791.8789473684214</v>
      </c>
      <c r="C53" s="35">
        <v>2778.5637298923712</v>
      </c>
      <c r="D53" s="35">
        <v>134.62972550593676</v>
      </c>
      <c r="E53" s="35">
        <v>91.052631578947384</v>
      </c>
      <c r="F53" s="65">
        <v>0.63900903601774084</v>
      </c>
      <c r="G53" s="68">
        <v>103</v>
      </c>
      <c r="H53" s="67">
        <v>91.052631578947384</v>
      </c>
      <c r="I53" s="35">
        <v>7.5999999999999998E-2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</row>
    <row r="54" spans="1:14" x14ac:dyDescent="0.25">
      <c r="A54" s="35">
        <v>17</v>
      </c>
      <c r="B54" s="35">
        <v>2978.004210526316</v>
      </c>
      <c r="C54" s="35">
        <v>2963.8013118851959</v>
      </c>
      <c r="D54" s="35">
        <v>143.13105310522369</v>
      </c>
      <c r="E54" s="35">
        <v>95.789473684210535</v>
      </c>
      <c r="F54" s="65">
        <v>0.65078577701998086</v>
      </c>
      <c r="G54" s="68">
        <v>103</v>
      </c>
      <c r="H54" s="67">
        <v>95.789473684210535</v>
      </c>
      <c r="I54" s="35">
        <v>7.5999999999999998E-2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</row>
    <row r="55" spans="1:14" x14ac:dyDescent="0.25">
      <c r="A55" s="35">
        <v>18</v>
      </c>
      <c r="B55" s="35">
        <v>3164.1294736842106</v>
      </c>
      <c r="C55" s="35">
        <v>3149.0388938780202</v>
      </c>
      <c r="D55" s="35">
        <v>151.7207352770892</v>
      </c>
      <c r="E55" s="35">
        <v>100.52631578947368</v>
      </c>
      <c r="F55" s="65">
        <v>0.6617519698743537</v>
      </c>
      <c r="G55" s="68">
        <v>103</v>
      </c>
      <c r="H55" s="67">
        <v>100.52631578947368</v>
      </c>
      <c r="I55" s="35">
        <v>7.5999999999999998E-2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</row>
    <row r="56" spans="1:14" x14ac:dyDescent="0.25">
      <c r="A56" s="35">
        <v>19</v>
      </c>
      <c r="B56" s="35">
        <v>3350.2547368421056</v>
      </c>
      <c r="C56" s="35">
        <v>3334.2764758708454</v>
      </c>
      <c r="D56" s="35">
        <v>160.38581179362279</v>
      </c>
      <c r="E56" s="35">
        <v>105.26315789473685</v>
      </c>
      <c r="F56" s="65">
        <v>0.67196543702556488</v>
      </c>
      <c r="G56" s="68">
        <v>103</v>
      </c>
      <c r="H56" s="67">
        <v>105.26315789473685</v>
      </c>
      <c r="I56" s="35">
        <v>7.5999999999999998E-2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</row>
    <row r="57" spans="1:14" ht="15.75" thickBot="1" x14ac:dyDescent="0.3">
      <c r="A57" s="35">
        <v>20</v>
      </c>
      <c r="B57" s="35">
        <v>3536.38</v>
      </c>
      <c r="C57" s="35">
        <v>3519.5140578636701</v>
      </c>
      <c r="D57" s="35">
        <v>169.11294456734905</v>
      </c>
      <c r="E57" s="35">
        <v>110</v>
      </c>
      <c r="F57" s="65">
        <v>0.68150351039202461</v>
      </c>
      <c r="G57" s="69">
        <v>103</v>
      </c>
      <c r="H57" s="67">
        <v>110</v>
      </c>
      <c r="I57" s="35">
        <v>7.5999999999999998E-2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</row>
    <row r="58" spans="1:14" x14ac:dyDescent="0.2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</row>
    <row r="59" spans="1:14" x14ac:dyDescent="0.2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</row>
    <row r="60" spans="1:14" x14ac:dyDescent="0.2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</row>
    <row r="61" spans="1:14" x14ac:dyDescent="0.2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</row>
    <row r="62" spans="1:14" x14ac:dyDescent="0.2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</row>
    <row r="63" spans="1:14" x14ac:dyDescent="0.2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</row>
    <row r="64" spans="1:14" x14ac:dyDescent="0.2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</row>
    <row r="65" spans="1:14" x14ac:dyDescent="0.2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</row>
    <row r="66" spans="1:14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1:14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</row>
    <row r="68" spans="1:14" x14ac:dyDescent="0.2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</row>
  </sheetData>
  <mergeCells count="49">
    <mergeCell ref="Q1:Q3"/>
    <mergeCell ref="T1:T3"/>
    <mergeCell ref="AJ1:AJ3"/>
    <mergeCell ref="A20:B23"/>
    <mergeCell ref="AW2:AW3"/>
    <mergeCell ref="AR2:AR3"/>
    <mergeCell ref="AQ2:AQ3"/>
    <mergeCell ref="X1:X3"/>
    <mergeCell ref="AL2:AO2"/>
    <mergeCell ref="AS2:AV2"/>
    <mergeCell ref="B1:B3"/>
    <mergeCell ref="A1:A3"/>
    <mergeCell ref="C1:C3"/>
    <mergeCell ref="P1:P3"/>
    <mergeCell ref="G1:G3"/>
    <mergeCell ref="I1:I3"/>
    <mergeCell ref="H1:H3"/>
    <mergeCell ref="O1:O3"/>
    <mergeCell ref="N1:N3"/>
    <mergeCell ref="D1:D3"/>
    <mergeCell ref="U1:U3"/>
    <mergeCell ref="R1:R3"/>
    <mergeCell ref="AK1:AX1"/>
    <mergeCell ref="L1:L3"/>
    <mergeCell ref="M1:M3"/>
    <mergeCell ref="K1:K3"/>
    <mergeCell ref="J1:J3"/>
    <mergeCell ref="F1:F3"/>
    <mergeCell ref="AK2:AK3"/>
    <mergeCell ref="E1:E3"/>
    <mergeCell ref="W1:W3"/>
    <mergeCell ref="V1:V3"/>
    <mergeCell ref="S1:S3"/>
    <mergeCell ref="AX2:AX3"/>
    <mergeCell ref="AP2:AP3"/>
    <mergeCell ref="K9:K10"/>
    <mergeCell ref="B17:B18"/>
    <mergeCell ref="A17:A18"/>
    <mergeCell ref="C17:C18"/>
    <mergeCell ref="D17:D18"/>
    <mergeCell ref="E17:E18"/>
    <mergeCell ref="F17:F18"/>
    <mergeCell ref="J9:J10"/>
    <mergeCell ref="H9:I9"/>
    <mergeCell ref="B34:I34"/>
    <mergeCell ref="A6:A7"/>
    <mergeCell ref="A9:A10"/>
    <mergeCell ref="B9:D9"/>
    <mergeCell ref="E9:G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2021-02-23T11:43:02Z</dcterms:modified>
</cp:coreProperties>
</file>