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53bacb3d381d5/Desktop/Afif Rifaie/Udemy/4. Microsoft Excel Advanced Excel Dashboard Design/GitHub/"/>
    </mc:Choice>
  </mc:AlternateContent>
  <xr:revisionPtr revIDLastSave="4" documentId="8_{3B92F362-FAA3-4B70-B64C-987FCCB188FA}" xr6:coauthVersionLast="47" xr6:coauthVersionMax="47" xr10:uidLastSave="{80891BC4-DC3D-4EB5-96EA-32448648C067}"/>
  <bookViews>
    <workbookView xWindow="-110" yWindow="-110" windowWidth="19420" windowHeight="11020" firstSheet="1" activeTab="1" xr2:uid="{EA944FB1-DE3F-40F9-BBAA-0980B1568DEE}"/>
  </bookViews>
  <sheets>
    <sheet name="Data" sheetId="16" r:id="rId1"/>
    <sheet name="Dashboard" sheetId="24" r:id="rId2"/>
    <sheet name="Data Prep" sheetId="22" r:id="rId3"/>
    <sheet name="New Data (Aug 2021)" sheetId="21" r:id="rId4"/>
    <sheet name="New Data (Sep 2021)" sheetId="18" r:id="rId5"/>
  </sheets>
  <definedNames>
    <definedName name="_xlnm._FilterDatabase" localSheetId="0" hidden="1">Data!$A$1:$J$4266</definedName>
    <definedName name="CurMonth">'Data Prep'!$B$9</definedName>
    <definedName name="CurYear">'Data Prep'!$B$8</definedName>
    <definedName name="PMYear">'Data Prep'!$B$12</definedName>
    <definedName name="PrevMonth">'Data Prep'!$B$11</definedName>
    <definedName name="PrevYear">'Data Prep'!$B$10</definedName>
    <definedName name="Region">'Data Prep'!$B$3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4" l="1"/>
  <c r="B13" i="22"/>
  <c r="U4" i="22"/>
  <c r="U5" i="22"/>
  <c r="U6" i="22"/>
  <c r="U7" i="22"/>
  <c r="U8" i="22"/>
  <c r="U9" i="22"/>
  <c r="U10" i="22"/>
  <c r="U11" i="22"/>
  <c r="U12" i="22"/>
  <c r="U3" i="22"/>
  <c r="B3" i="22"/>
  <c r="Y4" i="22" s="1"/>
  <c r="X9" i="22" l="1"/>
  <c r="Y10" i="22"/>
  <c r="X6" i="22"/>
  <c r="X5" i="22"/>
  <c r="Y7" i="22"/>
  <c r="Y11" i="22"/>
  <c r="Y6" i="22"/>
  <c r="X7" i="22"/>
  <c r="Y8" i="22"/>
  <c r="X4" i="22"/>
  <c r="X11" i="22"/>
  <c r="Y3" i="22"/>
  <c r="Y5" i="22"/>
  <c r="X8" i="22"/>
  <c r="Y9" i="22"/>
  <c r="X3" i="22"/>
  <c r="X12" i="22"/>
  <c r="X10" i="22"/>
  <c r="Y12" i="22"/>
  <c r="B8" i="22" l="1"/>
  <c r="J2" i="22" s="1"/>
  <c r="A3" i="22" a="1"/>
  <c r="A3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B10" i="22" l="1"/>
  <c r="I2" i="22" s="1"/>
  <c r="B9" i="22"/>
  <c r="K4" i="22" l="1"/>
  <c r="K13" i="22"/>
  <c r="K8" i="22"/>
  <c r="K12" i="22"/>
  <c r="K5" i="22"/>
  <c r="K14" i="22"/>
  <c r="K6" i="22"/>
  <c r="K3" i="22"/>
  <c r="K7" i="22"/>
  <c r="K11" i="22"/>
  <c r="K10" i="22"/>
  <c r="AB8" i="22"/>
  <c r="AB16" i="22"/>
  <c r="AB24" i="22"/>
  <c r="AB32" i="22"/>
  <c r="AB23" i="22"/>
  <c r="AB9" i="22"/>
  <c r="AB17" i="22"/>
  <c r="AB25" i="22"/>
  <c r="AB33" i="22"/>
  <c r="AB6" i="22"/>
  <c r="AB30" i="22"/>
  <c r="AB7" i="22"/>
  <c r="AB31" i="22"/>
  <c r="AB10" i="22"/>
  <c r="AB18" i="22"/>
  <c r="AB26" i="22"/>
  <c r="AB34" i="22"/>
  <c r="AB14" i="22"/>
  <c r="AB11" i="22"/>
  <c r="AB19" i="22"/>
  <c r="AB27" i="22"/>
  <c r="AB35" i="22"/>
  <c r="AB4" i="22"/>
  <c r="AB12" i="22"/>
  <c r="AB20" i="22"/>
  <c r="AB28" i="22"/>
  <c r="AB36" i="22"/>
  <c r="AB22" i="22"/>
  <c r="AB15" i="22"/>
  <c r="AB5" i="22"/>
  <c r="AB13" i="22"/>
  <c r="AB21" i="22"/>
  <c r="AB29" i="22"/>
  <c r="AB3" i="22"/>
  <c r="N10" i="22"/>
  <c r="N11" i="22"/>
  <c r="N4" i="22"/>
  <c r="N12" i="22"/>
  <c r="N5" i="22"/>
  <c r="N3" i="22"/>
  <c r="N6" i="22"/>
  <c r="N7" i="22"/>
  <c r="N8" i="22"/>
  <c r="N9" i="22"/>
  <c r="AY9" i="16"/>
  <c r="J7" i="22"/>
  <c r="J3" i="22"/>
  <c r="J8" i="22"/>
  <c r="J9" i="22"/>
  <c r="K9" i="22" s="1"/>
  <c r="J14" i="22"/>
  <c r="J10" i="22"/>
  <c r="J6" i="22"/>
  <c r="J11" i="22"/>
  <c r="J4" i="22"/>
  <c r="J12" i="22"/>
  <c r="J5" i="22"/>
  <c r="J13" i="22"/>
  <c r="AY37" i="16"/>
  <c r="AY39" i="16"/>
  <c r="AY11" i="16"/>
  <c r="AY10" i="16"/>
  <c r="AY34" i="16"/>
  <c r="B11" i="22"/>
  <c r="B12" i="22"/>
  <c r="E2" i="22"/>
  <c r="E3" i="22"/>
  <c r="AY26" i="16"/>
  <c r="AY23" i="16"/>
  <c r="AY12" i="16"/>
  <c r="AY45" i="16"/>
  <c r="AY27" i="16"/>
  <c r="AY28" i="16"/>
  <c r="AY31" i="16"/>
  <c r="AY13" i="16"/>
  <c r="AY33" i="16"/>
  <c r="AY16" i="16"/>
  <c r="AY41" i="16"/>
  <c r="AY24" i="16"/>
  <c r="AY43" i="16"/>
  <c r="AY6" i="16"/>
  <c r="AY4" i="16"/>
  <c r="AY46" i="16"/>
  <c r="AY15" i="16"/>
  <c r="AY30" i="16"/>
  <c r="AY50" i="16"/>
  <c r="AY14" i="16"/>
  <c r="AY44" i="16"/>
  <c r="AY3" i="16"/>
  <c r="AY17" i="16"/>
  <c r="AY36" i="16"/>
  <c r="AY47" i="16"/>
  <c r="AY19" i="16"/>
  <c r="I8" i="22"/>
  <c r="I10" i="22"/>
  <c r="I11" i="22"/>
  <c r="I13" i="22"/>
  <c r="I4" i="22"/>
  <c r="I12" i="22"/>
  <c r="I5" i="22"/>
  <c r="I6" i="22"/>
  <c r="I14" i="22"/>
  <c r="I7" i="22"/>
  <c r="I3" i="22"/>
  <c r="I9" i="22"/>
  <c r="AY25" i="16"/>
  <c r="AY18" i="16"/>
  <c r="AY20" i="16"/>
  <c r="AY51" i="16"/>
  <c r="AY38" i="16"/>
  <c r="AY8" i="16"/>
  <c r="AY35" i="16"/>
  <c r="AY42" i="16"/>
  <c r="AY40" i="16"/>
  <c r="AY48" i="16"/>
  <c r="AY52" i="16"/>
  <c r="AY49" i="16"/>
  <c r="AY22" i="16"/>
  <c r="AY32" i="16"/>
  <c r="AY21" i="16"/>
  <c r="AY29" i="16"/>
  <c r="AY7" i="16"/>
  <c r="AY5" i="16"/>
  <c r="AC10" i="22" l="1"/>
  <c r="AC18" i="22"/>
  <c r="AC26" i="22"/>
  <c r="AC34" i="22"/>
  <c r="AC32" i="22"/>
  <c r="AC9" i="22"/>
  <c r="AD9" i="22" s="1"/>
  <c r="AC33" i="22"/>
  <c r="AC11" i="22"/>
  <c r="AD11" i="22" s="1"/>
  <c r="AC19" i="22"/>
  <c r="AC27" i="22"/>
  <c r="AC35" i="22"/>
  <c r="AC17" i="22"/>
  <c r="AC4" i="22"/>
  <c r="AC12" i="22"/>
  <c r="AD12" i="22" s="1"/>
  <c r="AC20" i="22"/>
  <c r="AD20" i="22" s="1"/>
  <c r="AC28" i="22"/>
  <c r="AD28" i="22" s="1"/>
  <c r="AC36" i="22"/>
  <c r="AC5" i="22"/>
  <c r="AC13" i="22"/>
  <c r="AC21" i="22"/>
  <c r="AC29" i="22"/>
  <c r="AC3" i="22"/>
  <c r="AD3" i="22" s="1"/>
  <c r="AC24" i="22"/>
  <c r="AD24" i="22" s="1"/>
  <c r="AC6" i="22"/>
  <c r="AD6" i="22" s="1"/>
  <c r="AC14" i="22"/>
  <c r="AD14" i="22" s="1"/>
  <c r="AC22" i="22"/>
  <c r="AD22" i="22" s="1"/>
  <c r="AC30" i="22"/>
  <c r="AD30" i="22" s="1"/>
  <c r="AC8" i="22"/>
  <c r="AD8" i="22" s="1"/>
  <c r="AC25" i="22"/>
  <c r="AD25" i="22" s="1"/>
  <c r="AC7" i="22"/>
  <c r="AD7" i="22" s="1"/>
  <c r="AC15" i="22"/>
  <c r="AD15" i="22" s="1"/>
  <c r="AC23" i="22"/>
  <c r="AD23" i="22" s="1"/>
  <c r="AC31" i="22"/>
  <c r="AD31" i="22" s="1"/>
  <c r="AC16" i="22"/>
  <c r="AD16" i="22" s="1"/>
  <c r="AD21" i="22"/>
  <c r="AD26" i="22"/>
  <c r="AD13" i="22"/>
  <c r="AD4" i="22"/>
  <c r="AD18" i="22"/>
  <c r="AD17" i="22"/>
  <c r="AD5" i="22"/>
  <c r="AD35" i="22"/>
  <c r="AD10" i="22"/>
  <c r="AD27" i="22"/>
  <c r="AD19" i="22"/>
  <c r="AD32" i="22"/>
  <c r="AD36" i="22"/>
  <c r="AD29" i="22"/>
  <c r="AD34" i="22"/>
  <c r="AD33" i="22"/>
  <c r="Q9" i="22"/>
  <c r="Q7" i="22"/>
  <c r="Q6" i="22"/>
  <c r="Q3" i="22"/>
  <c r="Q5" i="22"/>
  <c r="Q12" i="22"/>
  <c r="Q4" i="22"/>
  <c r="Q11" i="22"/>
  <c r="Q8" i="22"/>
  <c r="Q10" i="22"/>
  <c r="O4" i="22"/>
  <c r="P4" i="22" s="1"/>
  <c r="O12" i="22"/>
  <c r="P12" i="22" s="1"/>
  <c r="O5" i="22"/>
  <c r="P5" i="22" s="1"/>
  <c r="O3" i="22"/>
  <c r="P3" i="22" s="1"/>
  <c r="O6" i="22"/>
  <c r="P6" i="22" s="1"/>
  <c r="O7" i="22"/>
  <c r="P7" i="22" s="1"/>
  <c r="O8" i="22"/>
  <c r="P8" i="22" s="1"/>
  <c r="O9" i="22"/>
  <c r="P9" i="22" s="1"/>
  <c r="O10" i="22"/>
  <c r="P10" i="22" s="1"/>
  <c r="O11" i="22"/>
  <c r="P11" i="22" s="1"/>
  <c r="E4" i="22"/>
  <c r="E6" i="22" s="1"/>
  <c r="E5" i="22"/>
  <c r="AE31" i="22" l="1"/>
  <c r="AF31" i="22"/>
  <c r="AF23" i="22"/>
  <c r="AE23" i="22"/>
  <c r="AF28" i="22"/>
  <c r="AE28" i="22"/>
  <c r="AE16" i="22"/>
  <c r="AF16" i="22"/>
  <c r="AE22" i="22"/>
  <c r="AF22" i="22"/>
  <c r="AE14" i="22"/>
  <c r="AF14" i="22"/>
  <c r="AE6" i="22"/>
  <c r="AF6" i="22"/>
  <c r="AF7" i="22"/>
  <c r="AE7" i="22"/>
  <c r="AF9" i="22"/>
  <c r="AE9" i="22"/>
  <c r="AE25" i="22"/>
  <c r="AF25" i="22"/>
  <c r="AF20" i="22"/>
  <c r="AE20" i="22"/>
  <c r="AF11" i="22"/>
  <c r="AE11" i="22"/>
  <c r="AF15" i="22"/>
  <c r="AE15" i="22"/>
  <c r="AE4" i="22"/>
  <c r="AF4" i="22"/>
  <c r="AE19" i="22"/>
  <c r="AF19" i="22"/>
  <c r="AF10" i="22"/>
  <c r="AE10" i="22"/>
  <c r="AE26" i="22"/>
  <c r="AF26" i="22"/>
  <c r="AE35" i="22"/>
  <c r="AF35" i="22"/>
  <c r="AF12" i="22"/>
  <c r="AE12" i="22"/>
  <c r="AF8" i="22"/>
  <c r="AE8" i="22"/>
  <c r="AE36" i="22"/>
  <c r="AF36" i="22"/>
  <c r="AF5" i="22"/>
  <c r="AE5" i="22"/>
  <c r="AF21" i="22"/>
  <c r="AE21" i="22"/>
  <c r="AE29" i="22"/>
  <c r="AF29" i="22"/>
  <c r="AE32" i="22"/>
  <c r="AF32" i="22"/>
  <c r="AF3" i="22"/>
  <c r="AE3" i="22"/>
  <c r="AE13" i="22"/>
  <c r="AF13" i="22"/>
  <c r="AF33" i="22"/>
  <c r="AE33" i="22"/>
  <c r="AF24" i="22"/>
  <c r="AE24" i="22"/>
  <c r="AE17" i="22"/>
  <c r="AF17" i="22"/>
  <c r="AF34" i="22"/>
  <c r="AE34" i="22"/>
  <c r="AE30" i="22"/>
  <c r="AF30" i="22"/>
  <c r="AE27" i="22"/>
  <c r="AF27" i="22"/>
  <c r="AE18" i="22"/>
  <c r="AF18" i="22"/>
  <c r="V4" i="22"/>
  <c r="V8" i="22"/>
  <c r="V12" i="22"/>
  <c r="T9" i="22"/>
  <c r="W4" i="22"/>
  <c r="W8" i="22"/>
  <c r="W12" i="22"/>
  <c r="T10" i="22"/>
  <c r="V5" i="22"/>
  <c r="V9" i="22"/>
  <c r="V3" i="22"/>
  <c r="T11" i="22"/>
  <c r="W10" i="22"/>
  <c r="W5" i="22"/>
  <c r="W9" i="22"/>
  <c r="W3" i="22"/>
  <c r="T12" i="22"/>
  <c r="W6" i="22"/>
  <c r="T6" i="22"/>
  <c r="T3" i="22"/>
  <c r="W7" i="22"/>
  <c r="W11" i="22"/>
  <c r="T8" i="22"/>
  <c r="V6" i="22"/>
  <c r="V10" i="22"/>
  <c r="T5" i="22"/>
  <c r="T4" i="22"/>
  <c r="V7" i="22"/>
  <c r="V11" i="22"/>
  <c r="T7" i="22"/>
  <c r="AK8" i="22" l="1"/>
  <c r="N17" i="24" s="1"/>
  <c r="AJ3" i="22"/>
  <c r="M12" i="24" s="1"/>
  <c r="AI7" i="22"/>
  <c r="L16" i="24" s="1"/>
  <c r="AK7" i="22"/>
  <c r="N16" i="24" s="1"/>
  <c r="AJ7" i="22"/>
  <c r="M16" i="24" s="1"/>
  <c r="AI8" i="22"/>
  <c r="L17" i="24" s="1"/>
  <c r="AJ4" i="22"/>
  <c r="M13" i="24" s="1"/>
  <c r="AI3" i="22"/>
  <c r="L12" i="24" s="1"/>
  <c r="AI4" i="22"/>
  <c r="L13" i="24" s="1"/>
  <c r="AK5" i="22"/>
  <c r="N14" i="24" s="1"/>
  <c r="AK3" i="22"/>
  <c r="N12" i="24" s="1"/>
  <c r="AK4" i="22"/>
  <c r="N13" i="24" s="1"/>
  <c r="AI5" i="22"/>
  <c r="L14" i="24" s="1"/>
  <c r="AI6" i="22"/>
  <c r="L15" i="24" s="1"/>
  <c r="AJ8" i="22"/>
  <c r="M17" i="24" s="1"/>
  <c r="AK6" i="22"/>
  <c r="N15" i="24" s="1"/>
  <c r="AJ5" i="22"/>
  <c r="M14" i="24" s="1"/>
  <c r="AJ6" i="22"/>
  <c r="M15" i="24" s="1"/>
  <c r="AJ15" i="22"/>
  <c r="M25" i="24" s="1"/>
  <c r="AI16" i="22"/>
  <c r="L26" i="24" s="1"/>
  <c r="AJ12" i="22"/>
  <c r="M22" i="24" s="1"/>
  <c r="AI14" i="22"/>
  <c r="L24" i="24" s="1"/>
  <c r="AJ16" i="22"/>
  <c r="M26" i="24" s="1"/>
  <c r="AI12" i="22"/>
  <c r="L22" i="24" s="1"/>
  <c r="AK12" i="22"/>
  <c r="N22" i="24" s="1"/>
  <c r="AI17" i="22"/>
  <c r="L27" i="24" s="1"/>
  <c r="AK14" i="22"/>
  <c r="N24" i="24" s="1"/>
  <c r="AJ13" i="22"/>
  <c r="M23" i="24" s="1"/>
  <c r="AK13" i="22"/>
  <c r="N23" i="24" s="1"/>
  <c r="AJ17" i="22"/>
  <c r="M27" i="24" s="1"/>
  <c r="AI15" i="22"/>
  <c r="L25" i="24" s="1"/>
  <c r="AK15" i="22"/>
  <c r="N25" i="24" s="1"/>
  <c r="AK17" i="22"/>
  <c r="N27" i="24" s="1"/>
  <c r="AI13" i="22"/>
  <c r="L23" i="24" s="1"/>
  <c r="AJ14" i="22"/>
  <c r="M24" i="24" s="1"/>
  <c r="AK16" i="22"/>
  <c r="N26" i="24" s="1"/>
  <c r="N18" i="24" l="1"/>
  <c r="N28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<sst xmlns="http://schemas.openxmlformats.org/spreadsheetml/2006/main" count="24215" uniqueCount="133">
  <si>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</si>
  <si>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</si>
  <si>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</si>
  <si>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</si>
  <si>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</si>
  <si>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</si>
  <si>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</si>
  <si>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</si>
  <si>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</si>
  <si>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</si>
  <si>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</si>
  <si>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</si>
  <si>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</si>
  <si>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</si>
  <si>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</si>
  <si>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</si>
  <si>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</si>
  <si>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</si>
  <si>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</si>
  <si>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</si>
  <si>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</si>
  <si>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</si>
  <si>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</si>
  <si>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</si>
  <si>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</si>
  <si>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</si>
  <si>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</si>
  <si>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</si>
  <si>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</si>
  <si>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</si>
  <si>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</si>
  <si>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</si>
  <si>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</si>
  <si>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</si>
  <si>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</si>
  <si>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</si>
  <si>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</si>
  <si>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</si>
  <si>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</si>
  <si>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</si>
  <si>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</si>
  <si>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</si>
  <si>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</si>
  <si>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</si>
  <si>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</si>
  <si>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</si>
  <si>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</si>
  <si>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</si>
  <si>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</si>
  <si>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</si>
  <si>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</si>
  <si>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</si>
  <si>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</si>
  <si>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</si>
  <si>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</si>
  <si>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</si>
  <si>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</si>
  <si>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</si>
  <si>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</si>
  <si>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</si>
  <si>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</si>
  <si>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</si>
  <si>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</si>
  <si>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</si>
  <si>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</si>
  <si>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</si>
  <si>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</si>
  <si>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</si>
  <si>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</si>
  <si>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</si>
  <si>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</si>
  <si>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</si>
  <si>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</si>
  <si>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</si>
  <si>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</si>
  <si>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</si>
  <si>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 xml:space="preserve">Region </t>
  </si>
  <si>
    <t>Selection</t>
  </si>
  <si>
    <t>DATE FILTER</t>
  </si>
  <si>
    <t>Current Year:</t>
  </si>
  <si>
    <t>Current Month:</t>
  </si>
  <si>
    <t>Previous Year:</t>
  </si>
  <si>
    <t>Previous Month:</t>
  </si>
  <si>
    <t>KPIs</t>
  </si>
  <si>
    <t>Total Revanue:</t>
  </si>
  <si>
    <t>PY Revanue:</t>
  </si>
  <si>
    <t>PM Revanue:</t>
  </si>
  <si>
    <t xml:space="preserve">PM Year: </t>
  </si>
  <si>
    <t>REVANUE TREND</t>
  </si>
  <si>
    <t>Month #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</si>
  <si>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</si>
  <si>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</si>
  <si>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</si>
  <si>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</si>
  <si>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</si>
  <si>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</si>
  <si>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</si>
  <si>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</si>
  <si>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</si>
  <si>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</si>
  <si>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</si>
  <si>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</si>
  <si>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PERFORMANCE</t>
  </si>
  <si>
    <t>Revanue</t>
  </si>
  <si>
    <t>PM Revanue</t>
  </si>
  <si>
    <t>MoM %Δ:</t>
  </si>
  <si>
    <r>
      <t>YoY %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:</t>
    </r>
  </si>
  <si>
    <t>MoM %Δ</t>
  </si>
  <si>
    <t>Rank</t>
  </si>
  <si>
    <t>STORE PERFORMANCE (SORTED)</t>
  </si>
  <si>
    <t>PRODUCT PERFORMANCE</t>
  </si>
  <si>
    <t>Product</t>
  </si>
  <si>
    <t>PM Revenue</t>
  </si>
  <si>
    <t>MoM Δ</t>
  </si>
  <si>
    <t>Rank (+)</t>
  </si>
  <si>
    <t>Rank (-)</t>
  </si>
  <si>
    <t>TOP PERFORMING PRODUCTS</t>
  </si>
  <si>
    <t>BOTTOM PERFORMING PRODUCTS</t>
  </si>
  <si>
    <r>
      <t>MoM %</t>
    </r>
    <r>
      <rPr>
        <b/>
        <sz val="11"/>
        <color theme="1" tint="0.249977111117893"/>
        <rFont val="Calibri"/>
        <family val="2"/>
      </rPr>
      <t>Δ</t>
    </r>
  </si>
  <si>
    <t xml:space="preserve">How did </t>
  </si>
  <si>
    <t>Current Period: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</si>
  <si>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</si>
  <si>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</si>
  <si>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</si>
  <si>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</si>
  <si>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</si>
  <si>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</si>
  <si>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</si>
  <si>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</si>
  <si>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</si>
  <si>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</si>
  <si>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</si>
  <si>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perform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</si>
</sst>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</font>
    <font>
      <sz val="11"/>
      <color theme="2" tint="-0.499984740745262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9" fontId="0" fillId="0" borderId="0" xfId="1" applyFont="1"/>
    <xf numFmtId="0" fontId="3" fillId="6" borderId="0" xfId="0" applyFont="1" applyFill="1" applyAlignment="1">
      <alignment horizontal="centerContinuous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65" fontId="1" fillId="7" borderId="0" xfId="1" applyNumberFormat="1" applyFont="1" applyFill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0" xfId="0" applyFont="1"/>
    <xf numFmtId="164" fontId="8" fillId="0" borderId="0" xfId="0" applyNumberFormat="1" applyFont="1"/>
    <xf numFmtId="164" fontId="8" fillId="0" borderId="1" xfId="0" applyNumberFormat="1" applyFont="1" applyBorder="1"/>
    <xf numFmtId="0" fontId="8" fillId="0" borderId="1" xfId="0" applyFont="1" applyBorder="1"/>
    <xf numFmtId="164" fontId="10" fillId="0" borderId="0" xfId="0" applyNumberFormat="1" applyFont="1"/>
    <xf numFmtId="164" fontId="11" fillId="0" borderId="0" xfId="0" applyNumberFormat="1" applyFont="1"/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" fillId="4" borderId="0" xfId="0" applyFont="1" applyFill="1" applyAlignment="1">
      <alignment horizontal="right"/>
    </xf>
    <xf numFmtId="0" fontId="9" fillId="0" borderId="0" xfId="0" applyFont="1"/>
    <xf numFmtId="0" fontId="9" fillId="9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5">
    <dxf>
      <font>
        <color theme="9" tint="-0.24994659260841701"/>
      </font>
    </dxf>
    <dxf>
      <font>
        <color rgb="FFFF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D6D"/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Prep'!$W$2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A4-4DE9-A737-2FB127A159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Prep'!$R$3:$R$12</c:f>
              <c:numCache>
                <c:formatCode>General</c:formatCode>
                <c:ptCount val="10"/>
              </c:numCache>
            </c:numRef>
          </c:cat>
          <c:val>
            <c:numRef>
              <c:f>'Data Prep'!$W$3:$W$12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4-4DE9-A737-2FB127A159BA}"/>
            </c:ext>
          </c:extLst>
        </c:ser>
        <c:ser>
          <c:idx val="1"/>
          <c:order val="1"/>
          <c:tx>
            <c:strRef>
              <c:f>'Data Prep'!$Y$2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Prep'!$Y$3:$Y$12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3-F4A4-4DE9-A737-2FB127A15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977171135"/>
        <c:axId val="977173631"/>
      </c:barChart>
      <c:catAx>
        <c:axId val="977171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73631"/>
        <c:crosses val="autoZero"/>
        <c:auto val="1"/>
        <c:lblAlgn val="ctr"/>
        <c:lblOffset val="100"/>
        <c:noMultiLvlLbl val="0"/>
      </c:catAx>
      <c:valAx>
        <c:axId val="97717363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MoM</a:t>
                </a:r>
                <a:r>
                  <a:rPr lang="en-US" sz="800" baseline="0"/>
                  <a:t> %</a:t>
                </a:r>
                <a:r>
                  <a:rPr lang="el-GR" sz="800" baseline="0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endParaRPr lang="en-US" sz="800"/>
              </a:p>
            </c:rich>
          </c:tx>
          <c:layout>
            <c:manualLayout>
              <c:xMode val="edge"/>
              <c:yMode val="edge"/>
              <c:x val="0.39411712356594253"/>
              <c:y val="0.93630809087865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97717113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Prep'!$I$3:$I$14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6EC-4B67-98CD-8D8F408B7A44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Prep'!$J$3:$J$14</c:f>
              <c:numCache>
                <c:formatCode>"$"#,##0</c:formatCode>
                <c:ptCount val="12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3">
                  <c:v>99650.11000000003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6EC-4B67-98CD-8D8F408B7A44}"/>
            </c:ext>
          </c:extLst>
        </c:ser>
        <c:ser>
          <c:idx val="2"/>
          <c:order val="2"/>
          <c:tx>
            <c:strRef>
              <c:f>'Data Prep'!$K$2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222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'Data Prep'!$H$3:$H$14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94953.469999999958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EC-4B67-98CD-8D8F408B7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071775"/>
        <c:axId val="1728071359"/>
      </c:lineChart>
      <c:catAx>
        <c:axId val="17280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Month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5882095428369958"/>
              <c:y val="0.8062549840844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071359"/>
        <c:crosses val="autoZero"/>
        <c:auto val="1"/>
        <c:lblAlgn val="ctr"/>
        <c:lblOffset val="100"/>
        <c:noMultiLvlLbl val="0"/>
      </c:catAx>
      <c:valAx>
        <c:axId val="17280713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Revanue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3416382653660835E-2"/>
              <c:y val="2.789009884402747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071775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1322217651897999"/>
          <c:y val="0.42597218964650696"/>
          <c:w val="0.18304648019743799"/>
          <c:h val="0.179580499246104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Prep'!$V$2</c:f>
              <c:strCache>
                <c:ptCount val="1"/>
                <c:pt idx="0">
                  <c:v>Revanue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Prep'!$V$3:$V$12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B-4584-ABDD-A5858803D86F}"/>
            </c:ext>
          </c:extLst>
        </c:ser>
        <c:ser>
          <c:idx val="1"/>
          <c:order val="1"/>
          <c:tx>
            <c:strRef>
              <c:f>'Data Prep'!$X$2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numFmt formatCode="&quot;$&quot;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Prep'!$X$3:$X$12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 formatCode="&quot;$&quot;#,##0">
                  <c:v>16131.78</c:v>
                </c:pt>
                <c:pt idx="3" formatCode="&quot;$&quot;#,##0">
                  <c:v>20890.14</c:v>
                </c:pt>
                <c:pt idx="4" formatCode="&quot;$&quot;#,##0">
                  <c:v>21829.790000000008</c:v>
                </c:pt>
                <c:pt idx="5" formatCode="&quot;$&quot;#,##0">
                  <c:v>0</c:v>
                </c:pt>
                <c:pt idx="6" formatCode="&quot;$&quot;#,##0">
                  <c:v>0</c:v>
                </c:pt>
                <c:pt idx="7" formatCode="&quot;$&quot;#,##0">
                  <c:v>0</c:v>
                </c:pt>
                <c:pt idx="8">
                  <c:v>0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B-4584-ABDD-A5858803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977171135"/>
        <c:axId val="977173631"/>
      </c:barChart>
      <c:catAx>
        <c:axId val="977171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73631"/>
        <c:crosses val="autoZero"/>
        <c:auto val="1"/>
        <c:lblAlgn val="ctr"/>
        <c:lblOffset val="100"/>
        <c:noMultiLvlLbl val="0"/>
      </c:catAx>
      <c:valAx>
        <c:axId val="97717363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Revanue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8600896375293355"/>
              <c:y val="0.92521742980467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97717113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304427</xdr:colOff>
      <xdr:row>8</xdr:row>
      <xdr:rowOff>171450</xdr:rowOff>
    </xdr:from>
    <xdr:to>
      <xdr:col>9</xdr:col>
      <xdr:colOff>450477</xdr:colOff>
      <xdr:row>26</xdr:row>
      <xdr:rowOff>177800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7EBCF4AD-CDDC-493E-AA94-397718E3B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222250</xdr:colOff>
      <xdr:row>9</xdr:row>
      <xdr:rowOff>50800</xdr:rowOff>
    </xdr:from>
    <xdr:to>
      <xdr:col>3</xdr:col>
      <xdr:colOff>336550</xdr:colOff>
      <xdr:row>14</xdr:row>
      <xdr:rowOff>84418</xdr:rowOff>
    </xdr:to>
    <xdr:sp macro="" textlink="'Data Prep'!E2">
      <xdr:nvSpPr>
        <xdr:cNvPr id="22" name="TextBox 21">
          <a:extLst>
            <a:ext uri="{FF2B5EF4-FFF2-40B4-BE49-F238E27FC236}">
              <a16:creationId xmlns:a16="http://schemas.microsoft.com/office/drawing/2014/main" id="{5DB86F9A-7EFA-4BF8-9835-B0437AF7D17E}"/>
            </a:ext>
          </a:extLst>
        </xdr:cNvPr>
        <xdr:cNvSpPr txBox="1"/>
      </xdr:nvSpPr>
      <xdr:spPr>
        <a:xfrm>
          <a:off x="222250" y="1854200"/>
          <a:ext cx="3200400" cy="984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B62DFAF-4F40-43A3-9496-4C601C0408F4}" type="TxLink">
            <a:rPr lang="en-US" sz="54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 algn="ctr"/>
            <a:t>$94,953</a:t>
          </a:fld>
          <a:endParaRPr lang="en-US" sz="287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63500</xdr:colOff>
      <xdr:row>0</xdr:row>
      <xdr:rowOff>152400</xdr:rowOff>
    </xdr:from>
    <xdr:to>
      <xdr:col>10</xdr:col>
      <xdr:colOff>601596</xdr:colOff>
      <xdr:row>3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23CC92-D7D0-49D3-B529-9FA5373CDCEF}"/>
            </a:ext>
          </a:extLst>
        </xdr:cNvPr>
        <xdr:cNvSpPr txBox="1"/>
      </xdr:nvSpPr>
      <xdr:spPr>
        <a:xfrm>
          <a:off x="63500" y="152400"/>
          <a:ext cx="7289800" cy="558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REGIONAL REVIEW DASHBOARD</a:t>
          </a:r>
        </a:p>
      </xdr:txBody>
    </xdr:sp>
    <xdr:clientData/>
  </xdr:twoCellAnchor>
  <xdr:twoCellAnchor editAs="absolute">
    <xdr:from>
      <xdr:col>0</xdr:col>
      <xdr:colOff>190500</xdr:colOff>
      <xdr:row>6</xdr:row>
      <xdr:rowOff>177800</xdr:rowOff>
    </xdr:from>
    <xdr:to>
      <xdr:col>13</xdr:col>
      <xdr:colOff>238524</xdr:colOff>
      <xdr:row>6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B6B9ACB-E140-46B5-A286-7D4CE9545355}"/>
            </a:ext>
          </a:extLst>
        </xdr:cNvPr>
        <xdr:cNvCxnSpPr/>
      </xdr:nvCxnSpPr>
      <xdr:spPr>
        <a:xfrm>
          <a:off x="190500" y="1492250"/>
          <a:ext cx="10934700" cy="0"/>
        </a:xfrm>
        <a:prstGeom prst="line">
          <a:avLst/>
        </a:prstGeom>
        <a:ln w="28575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37352</xdr:colOff>
      <xdr:row>7</xdr:row>
      <xdr:rowOff>94503</xdr:rowOff>
    </xdr:from>
    <xdr:to>
      <xdr:col>3</xdr:col>
      <xdr:colOff>769469</xdr:colOff>
      <xdr:row>9</xdr:row>
      <xdr:rowOff>81803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7DE5A0-4426-4181-9095-E99D567936E7}"/>
            </a:ext>
          </a:extLst>
        </xdr:cNvPr>
        <xdr:cNvSpPr txBox="1"/>
      </xdr:nvSpPr>
      <xdr:spPr>
        <a:xfrm>
          <a:off x="358587" y="1543797"/>
          <a:ext cx="3496235" cy="360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This was the </a:t>
          </a:r>
          <a:r>
            <a:rPr lang="en-US" sz="1400" b="1">
              <a:solidFill>
                <a:schemeClr val="accent1">
                  <a:lumMod val="75000"/>
                </a:schemeClr>
              </a:solidFill>
            </a:rPr>
            <a:t>revanue</a:t>
          </a:r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 we drove in...</a:t>
          </a:r>
          <a:endParaRPr lang="en-US" sz="18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158717</xdr:colOff>
      <xdr:row>17</xdr:row>
      <xdr:rowOff>49306</xdr:rowOff>
    </xdr:from>
    <xdr:to>
      <xdr:col>2</xdr:col>
      <xdr:colOff>215867</xdr:colOff>
      <xdr:row>18</xdr:row>
      <xdr:rowOff>260350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C42889-1350-486A-94CC-F115EB8AFACD}"/>
            </a:ext>
          </a:extLst>
        </xdr:cNvPr>
        <xdr:cNvSpPr txBox="1"/>
      </xdr:nvSpPr>
      <xdr:spPr>
        <a:xfrm>
          <a:off x="476217" y="3378200"/>
          <a:ext cx="1231900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2">
                  <a:lumMod val="75000"/>
                </a:schemeClr>
              </a:solidFill>
            </a:rPr>
            <a:t>vs. Last Month</a:t>
          </a:r>
        </a:p>
      </xdr:txBody>
    </xdr:sp>
    <xdr:clientData/>
  </xdr:twoCellAnchor>
  <xdr:twoCellAnchor editAs="absolute">
    <xdr:from>
      <xdr:col>2</xdr:col>
      <xdr:colOff>481013</xdr:colOff>
      <xdr:row>17</xdr:row>
      <xdr:rowOff>17556</xdr:rowOff>
    </xdr:from>
    <xdr:to>
      <xdr:col>3</xdr:col>
      <xdr:colOff>36513</xdr:colOff>
      <xdr:row>18</xdr:row>
      <xdr:rowOff>313764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094D607-DDBA-491A-B13E-A11A2EEFA3A3}"/>
            </a:ext>
          </a:extLst>
        </xdr:cNvPr>
        <xdr:cNvSpPr txBox="1"/>
      </xdr:nvSpPr>
      <xdr:spPr>
        <a:xfrm>
          <a:off x="1973263" y="3346450"/>
          <a:ext cx="114935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2">
                  <a:lumMod val="75000"/>
                </a:schemeClr>
              </a:solidFill>
            </a:rPr>
            <a:t>vs. Last Year</a:t>
          </a:r>
        </a:p>
      </xdr:txBody>
    </xdr:sp>
    <xdr:clientData/>
  </xdr:twoCellAnchor>
  <xdr:twoCellAnchor editAs="absolute">
    <xdr:from>
      <xdr:col>0</xdr:col>
      <xdr:colOff>127000</xdr:colOff>
      <xdr:row>18</xdr:row>
      <xdr:rowOff>296582</xdr:rowOff>
    </xdr:from>
    <xdr:to>
      <xdr:col>3</xdr:col>
      <xdr:colOff>656664</xdr:colOff>
      <xdr:row>21</xdr:row>
      <xdr:rowOff>153521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4CB2057-69DA-410A-B30C-02215F28C7DC}"/>
            </a:ext>
          </a:extLst>
        </xdr:cNvPr>
        <xdr:cNvSpPr txBox="1"/>
      </xdr:nvSpPr>
      <xdr:spPr>
        <a:xfrm>
          <a:off x="127000" y="3860053"/>
          <a:ext cx="3615017" cy="5666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... and the revanue trend in </a:t>
          </a:r>
          <a:r>
            <a:rPr lang="en-US" sz="1400" b="1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 vs </a:t>
          </a:r>
          <a:r>
            <a:rPr lang="en-US" sz="1400" b="1">
              <a:solidFill>
                <a:schemeClr val="accent3"/>
              </a:solidFill>
            </a:rPr>
            <a:t>2020</a:t>
          </a:r>
        </a:p>
      </xdr:txBody>
    </xdr:sp>
    <xdr:clientData/>
  </xdr:twoCellAnchor>
  <xdr:twoCellAnchor editAs="absolute">
    <xdr:from>
      <xdr:col>3</xdr:col>
      <xdr:colOff>948765</xdr:colOff>
      <xdr:row>7</xdr:row>
      <xdr:rowOff>113553</xdr:rowOff>
    </xdr:from>
    <xdr:to>
      <xdr:col>11</xdr:col>
      <xdr:colOff>59765</xdr:colOff>
      <xdr:row>9</xdr:row>
      <xdr:rowOff>138953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4D3D1AF-8E2E-401C-9438-E60E41FF7E1E}"/>
            </a:ext>
          </a:extLst>
        </xdr:cNvPr>
        <xdr:cNvSpPr txBox="1"/>
      </xdr:nvSpPr>
      <xdr:spPr>
        <a:xfrm>
          <a:off x="4034118" y="1562847"/>
          <a:ext cx="4751294" cy="398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This is how </a:t>
          </a:r>
          <a:r>
            <a:rPr lang="en-US" sz="1400" b="0">
              <a:solidFill>
                <a:schemeClr val="accent1">
                  <a:lumMod val="75000"/>
                </a:schemeClr>
              </a:solidFill>
            </a:rPr>
            <a:t>our stores</a:t>
          </a:r>
          <a:r>
            <a:rPr lang="en-US" sz="1400" b="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rank compared to </a:t>
          </a:r>
          <a:r>
            <a:rPr lang="en-US" sz="1400" b="0" baseline="0">
              <a:solidFill>
                <a:schemeClr val="accent3"/>
              </a:solidFill>
            </a:rPr>
            <a:t>other regions</a:t>
          </a:r>
          <a:endParaRPr lang="en-US" sz="1400" b="0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10</xdr:col>
      <xdr:colOff>374810</xdr:colOff>
      <xdr:row>7</xdr:row>
      <xdr:rowOff>69850</xdr:rowOff>
    </xdr:from>
    <xdr:to>
      <xdr:col>14</xdr:col>
      <xdr:colOff>149412</xdr:colOff>
      <xdr:row>9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710E63E-42F8-4E75-B8D0-51F7E634B892}"/>
            </a:ext>
          </a:extLst>
        </xdr:cNvPr>
        <xdr:cNvSpPr txBox="1"/>
      </xdr:nvSpPr>
      <xdr:spPr>
        <a:xfrm>
          <a:off x="8405692" y="1519144"/>
          <a:ext cx="3636896" cy="303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Where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 these products </a:t>
          </a:r>
          <a:r>
            <a:rPr lang="en-US" sz="1400" b="1" baseline="0">
              <a:solidFill>
                <a:schemeClr val="accent6">
                  <a:lumMod val="75000"/>
                </a:schemeClr>
              </a:solidFill>
            </a:rPr>
            <a:t>drove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400" b="1" baseline="0">
              <a:solidFill>
                <a:schemeClr val="accent6">
                  <a:lumMod val="75000"/>
                </a:schemeClr>
              </a:solidFill>
            </a:rPr>
            <a:t>growth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...</a:t>
          </a:r>
          <a:endParaRPr lang="en-US" sz="14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10</xdr:col>
      <xdr:colOff>375931</xdr:colOff>
      <xdr:row>18</xdr:row>
      <xdr:rowOff>151279</xdr:rowOff>
    </xdr:from>
    <xdr:to>
      <xdr:col>14</xdr:col>
      <xdr:colOff>209177</xdr:colOff>
      <xdr:row>19</xdr:row>
      <xdr:rowOff>171823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858CB0-8EE1-4AF3-8233-94E7D28D88A2}"/>
            </a:ext>
          </a:extLst>
        </xdr:cNvPr>
        <xdr:cNvSpPr txBox="1"/>
      </xdr:nvSpPr>
      <xdr:spPr>
        <a:xfrm>
          <a:off x="8406813" y="3714750"/>
          <a:ext cx="3695540" cy="3417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...and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 these products </a:t>
          </a:r>
          <a:r>
            <a:rPr lang="en-US" sz="1400" b="1" baseline="0">
              <a:solidFill>
                <a:srgbClr val="C00000"/>
              </a:solidFill>
            </a:rPr>
            <a:t>caused losses</a:t>
          </a:r>
          <a:endParaRPr lang="en-US" sz="14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1</xdr:col>
      <xdr:colOff>38100</xdr:colOff>
      <xdr:row>21</xdr:row>
      <xdr:rowOff>177053</xdr:rowOff>
    </xdr:from>
    <xdr:to>
      <xdr:col>3</xdr:col>
      <xdr:colOff>381000</xdr:colOff>
      <xdr:row>26</xdr:row>
      <xdr:rowOff>127000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2C8DF10-8C4C-4FAB-B36A-2ED7C8969061}"/>
            </a:ext>
          </a:extLst>
        </xdr:cNvPr>
        <xdr:cNvSpPr/>
      </xdr:nvSpPr>
      <xdr:spPr>
        <a:xfrm>
          <a:off x="355600" y="4394200"/>
          <a:ext cx="3111500" cy="908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190397</xdr:colOff>
          <xdr:row>15</xdr:row>
          <xdr:rowOff>57897</xdr:rowOff>
        </xdr:from>
        <xdr:to>
          <xdr:col>2</xdr:col>
          <xdr:colOff>196887</xdr:colOff>
          <xdr:row>17</xdr:row>
          <xdr:rowOff>86136</xdr:rowOff>
        </xdr:to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407EB656-2C8E-4F77-86F1-4369AE41A73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5" spid="_x0000_s616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07897" y="3003550"/>
              <a:ext cx="1181240" cy="4114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477003</xdr:colOff>
          <xdr:row>15</xdr:row>
          <xdr:rowOff>45197</xdr:rowOff>
        </xdr:from>
        <xdr:to>
          <xdr:col>3</xdr:col>
          <xdr:colOff>53224</xdr:colOff>
          <xdr:row>17</xdr:row>
          <xdr:rowOff>73436</xdr:rowOff>
        </xdr:to>
        <xdr:pic>
          <xdr:nvPicPr>
            <xdr:cNvPr id="24" name="Picture 23">
              <a:extLst>
                <a:ext uri="{FF2B5EF4-FFF2-40B4-BE49-F238E27FC236}">
                  <a16:creationId xmlns:a16="http://schemas.microsoft.com/office/drawing/2014/main" id="{CCFDAEFA-699F-4620-816D-2DCC2563BED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6" spid="_x0000_s616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969253" y="2990850"/>
              <a:ext cx="1170071" cy="4114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0</xdr:col>
      <xdr:colOff>295275</xdr:colOff>
      <xdr:row>14</xdr:row>
      <xdr:rowOff>90768</xdr:rowOff>
    </xdr:from>
    <xdr:to>
      <xdr:col>3</xdr:col>
      <xdr:colOff>263525</xdr:colOff>
      <xdr:row>14</xdr:row>
      <xdr:rowOff>90768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199572B-80EB-4C1A-9BE1-6C44F09C0598}"/>
            </a:ext>
          </a:extLst>
        </xdr:cNvPr>
        <xdr:cNvCxnSpPr/>
      </xdr:nvCxnSpPr>
      <xdr:spPr>
        <a:xfrm>
          <a:off x="295275" y="2844800"/>
          <a:ext cx="3054350" cy="0"/>
        </a:xfrm>
        <a:prstGeom prst="line">
          <a:avLst/>
        </a:prstGeom>
        <a:ln w="3175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330200</xdr:colOff>
      <xdr:row>14</xdr:row>
      <xdr:rowOff>84418</xdr:rowOff>
    </xdr:from>
    <xdr:to>
      <xdr:col>2</xdr:col>
      <xdr:colOff>330200</xdr:colOff>
      <xdr:row>18</xdr:row>
      <xdr:rowOff>177800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76B7CBB-7F40-4B67-BDB5-4DD30DA03F76}"/>
            </a:ext>
          </a:extLst>
        </xdr:cNvPr>
        <xdr:cNvCxnSpPr/>
      </xdr:nvCxnSpPr>
      <xdr:spPr>
        <a:xfrm>
          <a:off x="1822450" y="2838450"/>
          <a:ext cx="0" cy="85725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120650</xdr:colOff>
      <xdr:row>21</xdr:row>
      <xdr:rowOff>0</xdr:rowOff>
    </xdr:from>
    <xdr:to>
      <xdr:col>3</xdr:col>
      <xdr:colOff>438150</xdr:colOff>
      <xdr:row>29</xdr:row>
      <xdr:rowOff>19050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7228519-935B-4144-B5B7-0DB95F526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3</xdr:col>
      <xdr:colOff>758638</xdr:colOff>
      <xdr:row>9</xdr:row>
      <xdr:rowOff>0</xdr:rowOff>
    </xdr:from>
    <xdr:to>
      <xdr:col>6</xdr:col>
      <xdr:colOff>444127</xdr:colOff>
      <xdr:row>28</xdr:row>
      <xdr:rowOff>6350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DE300E0F-3871-4CD7-9C20-CF620E232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98C4E-9B31-4F1F-AAA9-F620EF31189F}" name="Data" displayName="Data" ref="A1:J4266" totalsRowShown="0" headerRowDxfId="4">
  <autoFilter ref="A1:J4266" xr:uid="{00398C4E-9B31-4F1F-AAA9-F620EF31189F}"/>
  <tableColumns count="10">
    <tableColumn id="1" xr3:uid="{82C04678-8A8E-4FB4-9B05-33901E1EFD6F}" name="Year"/>
    <tableColumn id="2" xr3:uid="{69981071-A56F-4EA3-8309-B567192BB5A7}" name="Month"/>
    <tableColumn id="3" xr3:uid="{E388FFBC-9CE0-44DA-A682-4BD54315671D}" name="Store Name"/>
    <tableColumn id="4" xr3:uid="{34437B97-25D5-4439-A7BF-14497F35F9CF}" name="Region"/>
    <tableColumn id="5" xr3:uid="{4E2F5EEF-6D2B-417C-A106-ED5382BA9DA5}" name="Store Type"/>
    <tableColumn id="6" xr3:uid="{0E4D0B36-0A38-45BF-B0AE-C8478EF21723}" name="Product Name"/>
    <tableColumn id="7" xr3:uid="{89184F06-3472-474B-BC35-834CF7636351}" name="Product Category"/>
    <tableColumn id="8" xr3:uid="{947A4435-67AD-49D2-A9CD-BAA51F2A0A9C}" name="Units Sold"/>
    <tableColumn id="9" xr3:uid="{8EE2694E-301C-4885-B391-B8278462C316}" name="Revenue" dataDxfId="3"/>
    <tableColumn id="10" xr3:uid="{9400E029-8E9B-46D1-AA27-9FA77829BB38}" name="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topLeftCell="A4245" zoomScaleNormal="100" workbookViewId="0"/>
  </sheetViews>
  <sheetFormatPr defaultRowHeight="14.5" x14ac:dyDescent="0.35"/>
  <cols>
    <col min="1" max="1" width="7.08984375" customWidth="1"/>
    <col min="2" max="2" width="9.08984375" customWidth="1"/>
    <col min="3" max="3" width="14.36328125" customWidth="1"/>
    <col min="4" max="4" width="15" customWidth="1"/>
    <col min="5" max="5" width="16.36328125" customWidth="1"/>
    <col min="6" max="6" width="20.453125" bestFit="1" customWidth="1"/>
    <col min="7" max="7" width="18.90625" customWidth="1"/>
    <col min="8" max="8" width="12.08984375" customWidth="1"/>
    <col min="9" max="9" width="11" customWidth="1"/>
    <col min="12" max="13" width="11.453125" bestFit="1" customWidth="1"/>
    <col min="16" max="16" width="15.453125" bestFit="1" customWidth="1"/>
    <col min="18" max="18" width="18.36328125" bestFit="1" customWidth="1"/>
    <col min="27" max="27" width="14.36328125" customWidth="1"/>
    <col min="28" max="28" width="11.453125" customWidth="1"/>
    <col min="32" max="33" width="14.36328125" customWidth="1"/>
    <col min="34" max="34" width="11.453125" customWidth="1"/>
    <col min="37" max="37" width="12.36328125" bestFit="1" customWidth="1"/>
    <col min="38" max="38" width="17.6328125" bestFit="1" customWidth="1"/>
    <col min="48" max="49" width="14.36328125" customWidth="1"/>
    <col min="50" max="50" width="17.453125" bestFit="1" customWidth="1"/>
    <col min="51" max="51" width="11.453125" customWidth="1"/>
  </cols>
  <sheetData>
    <row r="1" spans="1:51" x14ac:dyDescent="0.3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3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SUMIFS(I:I,D:D,_xlfn.SINGLE(Region),C:C,AW3,G:G,AX3,A:A,_xlfn.SINGLE(CurYear),B:B,_xlfn.SINGLE(CurMonth))</f>
        <v>0</v>
      </c>
    </row>
    <row r="4" spans="1:51" x14ac:dyDescent="0.3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0</v>
      </c>
    </row>
    <row r="5" spans="1:51" x14ac:dyDescent="0.3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0</v>
      </c>
    </row>
    <row r="6" spans="1:51" x14ac:dyDescent="0.3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0</v>
      </c>
    </row>
    <row r="7" spans="1:51" x14ac:dyDescent="0.3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0</v>
      </c>
    </row>
    <row r="8" spans="1:51" x14ac:dyDescent="0.3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3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3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3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3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3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0</v>
      </c>
    </row>
    <row r="14" spans="1:51" x14ac:dyDescent="0.3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0</v>
      </c>
    </row>
    <row r="15" spans="1:51" x14ac:dyDescent="0.3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0</v>
      </c>
    </row>
    <row r="16" spans="1:51" x14ac:dyDescent="0.3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0</v>
      </c>
    </row>
    <row r="17" spans="1:51" x14ac:dyDescent="0.3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0</v>
      </c>
    </row>
    <row r="18" spans="1:51" x14ac:dyDescent="0.3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3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3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3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3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3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0</v>
      </c>
    </row>
    <row r="24" spans="1:51" x14ac:dyDescent="0.3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0</v>
      </c>
    </row>
    <row r="25" spans="1:51" x14ac:dyDescent="0.3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0</v>
      </c>
    </row>
    <row r="26" spans="1:51" x14ac:dyDescent="0.3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0</v>
      </c>
    </row>
    <row r="27" spans="1:51" x14ac:dyDescent="0.3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0</v>
      </c>
    </row>
    <row r="28" spans="1:51" x14ac:dyDescent="0.3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11614.690000000002</v>
      </c>
    </row>
    <row r="29" spans="1:51" x14ac:dyDescent="0.3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2064.44</v>
      </c>
    </row>
    <row r="30" spans="1:51" x14ac:dyDescent="0.3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389.74</v>
      </c>
    </row>
    <row r="31" spans="1:51" x14ac:dyDescent="0.3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3356.0000000000005</v>
      </c>
    </row>
    <row r="32" spans="1:51" x14ac:dyDescent="0.3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4404.9199999999992</v>
      </c>
    </row>
    <row r="33" spans="1:51" x14ac:dyDescent="0.3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7264.0700000000006</v>
      </c>
    </row>
    <row r="34" spans="1:51" x14ac:dyDescent="0.3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1870.42</v>
      </c>
    </row>
    <row r="35" spans="1:51" x14ac:dyDescent="0.3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66" si="2">_xlfn.XLOOKUP(AW35,C:C,D:D)</f>
        <v>Chicago</v>
      </c>
      <c r="AW35" t="s">
        <v>54</v>
      </c>
      <c r="AX35" t="s">
        <v>21</v>
      </c>
      <c r="AY35" s="3">
        <f t="shared" ref="AY35:AY66" si="3">SUMIFS(I:I,D:D,_xlfn.SINGLE(Region),C:C,AW35,G:G,AX35,A:A,_xlfn.SINGLE(CurYear),B:B,_xlfn.SINGLE(CurMonth))</f>
        <v>2643.4500000000003</v>
      </c>
    </row>
    <row r="36" spans="1:51" x14ac:dyDescent="0.3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1386.08</v>
      </c>
    </row>
    <row r="37" spans="1:51" x14ac:dyDescent="0.3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2967.7599999999998</v>
      </c>
    </row>
    <row r="38" spans="1:51" x14ac:dyDescent="0.3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5912.5400000000009</v>
      </c>
    </row>
    <row r="39" spans="1:51" x14ac:dyDescent="0.3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2679.7799999999997</v>
      </c>
    </row>
    <row r="40" spans="1:51" x14ac:dyDescent="0.3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1759.0099999999998</v>
      </c>
    </row>
    <row r="41" spans="1:51" x14ac:dyDescent="0.3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4014.55</v>
      </c>
    </row>
    <row r="42" spans="1:51" x14ac:dyDescent="0.3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6524.26</v>
      </c>
    </row>
    <row r="43" spans="1:51" x14ac:dyDescent="0.3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13971.98</v>
      </c>
    </row>
    <row r="44" spans="1:51" x14ac:dyDescent="0.3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4241.28</v>
      </c>
    </row>
    <row r="45" spans="1:51" x14ac:dyDescent="0.3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2660.5299999999997</v>
      </c>
    </row>
    <row r="46" spans="1:51" x14ac:dyDescent="0.3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7464.3899999999994</v>
      </c>
    </row>
    <row r="47" spans="1:51" x14ac:dyDescent="0.3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7763.5800000000008</v>
      </c>
    </row>
    <row r="48" spans="1:51" x14ac:dyDescent="0.3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3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3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3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3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3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3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3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3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3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3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3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3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3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3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3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3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3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3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3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3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3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3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3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3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3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3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3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3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3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3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3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3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3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3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3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3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3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3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3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3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3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3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3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3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3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3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3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3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3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3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3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3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3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3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3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3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3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3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3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3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3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3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3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3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3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3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3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3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3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3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3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3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3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3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3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3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3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3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3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3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3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3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3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3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3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3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3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3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3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3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3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3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3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3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3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3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3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3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3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3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3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3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3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3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3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3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3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3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3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3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3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3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3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3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3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3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3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3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3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3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3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3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3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3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3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3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3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3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3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3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3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3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3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3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3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3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3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3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3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3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3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3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3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3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3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3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3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3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3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3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3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3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3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3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3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3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3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3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3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3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3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3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3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3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3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3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3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3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3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3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3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3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3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3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3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3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3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3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3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3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3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3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3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3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3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3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3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3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3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3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3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3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3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3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3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3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3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3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3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3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3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3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3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3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3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3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3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3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3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3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3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3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3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3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3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3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3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3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3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3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3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3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3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3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3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3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3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3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3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3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3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3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3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3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3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3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3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3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3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3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3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3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3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3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3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3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3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3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3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3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3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3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3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3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3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3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3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3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3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3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3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3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3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3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3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3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3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3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3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3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3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3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3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3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3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3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3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3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3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3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3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3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3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3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3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3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3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3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3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3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3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3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3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3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3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3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3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3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3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3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3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3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3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3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3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3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3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3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3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3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3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3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3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3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3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3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3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3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3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3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3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3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3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3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3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3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3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3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3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3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3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3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3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3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3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3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3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3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3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3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3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3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3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3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3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3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3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3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3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3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3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3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3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3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3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3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3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3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3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3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3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3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3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3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3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3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3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3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3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3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3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3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3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3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3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3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3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3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3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3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3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3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3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3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3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3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3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3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3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3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3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3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3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3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3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3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3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3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3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3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3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3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3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3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3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3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3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3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3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3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3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3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3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3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3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3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3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3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3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3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3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3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3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3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3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3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3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3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3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3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3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3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3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3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3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3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3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3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3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3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3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3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3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3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3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3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3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3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3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3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3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3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3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3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3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3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3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3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3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3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3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3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3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3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3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3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3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3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3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3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3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3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3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3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3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3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3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3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3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3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3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3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3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3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3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3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3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3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3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3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3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3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3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3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3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3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3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3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3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3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3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3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3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3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3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3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3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3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3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3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3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3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3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3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3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3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3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3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3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3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3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3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3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3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3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3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3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3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3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3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3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3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3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3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3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3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3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3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3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3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3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3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3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3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3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3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3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3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3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3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3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3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3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3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3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3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3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3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3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3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3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3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3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3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3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3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3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3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3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3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3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3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3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3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3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3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3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3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3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3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3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3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3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3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3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3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3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3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3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3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3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3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3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3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3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3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3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3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3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3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3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3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3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3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3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3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3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3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3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3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3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3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3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3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3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3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3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3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3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3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3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3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3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3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3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3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3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3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3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3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3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3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3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3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3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3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3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3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3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3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3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3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3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3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3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3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3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3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3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3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3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3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3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3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3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3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3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3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3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3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3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3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3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3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3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3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3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3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3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3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3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3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3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3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3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3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3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3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3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3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3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3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3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3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3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3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3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3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3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3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3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3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3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3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3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3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3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3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3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3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3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3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3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3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3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3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3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3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3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3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3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3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3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3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3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3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3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3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3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3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3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3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3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3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3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3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3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3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3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3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3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3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3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3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3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3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3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3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3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3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3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3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3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3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3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3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3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3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3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3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3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3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3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3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3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3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3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3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3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3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3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3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3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3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3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3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3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3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3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3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3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3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3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3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3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3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3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3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3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3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3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3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3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3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3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3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3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3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3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3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3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3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3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3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3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3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3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3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3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3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3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3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3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3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3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3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3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3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3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3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3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3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3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3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3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3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3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3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3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3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3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3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3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3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3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3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3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3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3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3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3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3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3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3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3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3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3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3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3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3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3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3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3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3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3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3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3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3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3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3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3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3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3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3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3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3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3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3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3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3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3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3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3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3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3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3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3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3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3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3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3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3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3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3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3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3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3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3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3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3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3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3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3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3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3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3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3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3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3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3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3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3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3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3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3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3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3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3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3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3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3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3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3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3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3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3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3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3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3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3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3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3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3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3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3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3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3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3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3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3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3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3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3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3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3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3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3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3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3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3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3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3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3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3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3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3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3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3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3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3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3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3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3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3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3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3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3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3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3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3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3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3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3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3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3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3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3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3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3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3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3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3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3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3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3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3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3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3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3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3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3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3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3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3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3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3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3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3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3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3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3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3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3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3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3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3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3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3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3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3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3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3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3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3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3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3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3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3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3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3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3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3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3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3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3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3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3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3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3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3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3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3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3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3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3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3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3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3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3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3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3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3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3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3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3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3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3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3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3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3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3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3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3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3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3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3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3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3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3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3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3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3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3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3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3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3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3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3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3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3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3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3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3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3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3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3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3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3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3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3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3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3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3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3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3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3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3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3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3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3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3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3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3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3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3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3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3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3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3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3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3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3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3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3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3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3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3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3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3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3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3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3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3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3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3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3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3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3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3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3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3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3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3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3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3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3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3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3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3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3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3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3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3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3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3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3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3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3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3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3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3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3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3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3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3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3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3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3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3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3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3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3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3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3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3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3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3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3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3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3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3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3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3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3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3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3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3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3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3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3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3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3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3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3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3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3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3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3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3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3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3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3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3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3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3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3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3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3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3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3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3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3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3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3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3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3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3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3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3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3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3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3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3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3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3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3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3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3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3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3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3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3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3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3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3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3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3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3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3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3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3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3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3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3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3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3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3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3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3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3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3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3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3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3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3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3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3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3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3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3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3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3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3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3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3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3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3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3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3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3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3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3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3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3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3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3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3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3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3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3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3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3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3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3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3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3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3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3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3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3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3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3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3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3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3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3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3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3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3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3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3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3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3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3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3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3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3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3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3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3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3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3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3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3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3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3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3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3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3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3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3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3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3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3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3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3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3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3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3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3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3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3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3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3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3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3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3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3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3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3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3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3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3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3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3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3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3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3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3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3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3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3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3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3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3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3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3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3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3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3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3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3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3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3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3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3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3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3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3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3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3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3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3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3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3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3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3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3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3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3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3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3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3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3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3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3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3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3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3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3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3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3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3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3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3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3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3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3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3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3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3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3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3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3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3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3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3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3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3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3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3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3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3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3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3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3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3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3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3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3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3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3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3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3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3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3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3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3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3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3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3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3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3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3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3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3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3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3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3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3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3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3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3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3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3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3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3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3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3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3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3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3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3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3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3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3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3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3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3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3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3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3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3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3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3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3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3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3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3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3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3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3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3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3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3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3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3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3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3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3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3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3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3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3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3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3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3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3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3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3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3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3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3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3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3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3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3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3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3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3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3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3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3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3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3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3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3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3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3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3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3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3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3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3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3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3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3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3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3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3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3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3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3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3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3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3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3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3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3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3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3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3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3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3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3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3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3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3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3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3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3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3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3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3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3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3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3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3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3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3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3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3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3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3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3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3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3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3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3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3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3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3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3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3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3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3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3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3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3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3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3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3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3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3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3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3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3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3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3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3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3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3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3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3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3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3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3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3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3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3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3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3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3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3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3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3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3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3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3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3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3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3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3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3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3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3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3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3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3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3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3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3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3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3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3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3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3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3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3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3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3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3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3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3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3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3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3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3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3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3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3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3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3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3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3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3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3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3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3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3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3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3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3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3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3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3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3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3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3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3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3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3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3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3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3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3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3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3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3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3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3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3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3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3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3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3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3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3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3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3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3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3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3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3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3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3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3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3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3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3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3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3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3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3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3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3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3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3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3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3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3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3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3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3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3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3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3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3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3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3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3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3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3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3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3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3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3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3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3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3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3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3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3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3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3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3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3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3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3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3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3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3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3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3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3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3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3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3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3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3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3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3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3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3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3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3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3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3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3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3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3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3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3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3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3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3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3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3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3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3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3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3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3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3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3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3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3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3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3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3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3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3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3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3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3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3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3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3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3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3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3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3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3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3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3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3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3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3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3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3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3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3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3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3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3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3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3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3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3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3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3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3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3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3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3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3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3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3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3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3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3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3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3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3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3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3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3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3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3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3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3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3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3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3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3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3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3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3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3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3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3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3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3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3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3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3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3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3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3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3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3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3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3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3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3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3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3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3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3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3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3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3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3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3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3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3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3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3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3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3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3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3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3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3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3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3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3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3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3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3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3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3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3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3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3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3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3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3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3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3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3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3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3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3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3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3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3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3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3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3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3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3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3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3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3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3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3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3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3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3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3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3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3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3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3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3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3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3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3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3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3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3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3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3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3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3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3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3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3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3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3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3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3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3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3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3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3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3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3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3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3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3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3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3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3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3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3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3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3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3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3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3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3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3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3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3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3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3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3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3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3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3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3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3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3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3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3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3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3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3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3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3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3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3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3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3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3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3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3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3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3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3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3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3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3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3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3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3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3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3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3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3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3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3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3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3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3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3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3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3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3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3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3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3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3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3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3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3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3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3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3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3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3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3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3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3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3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3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3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3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3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3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3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3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3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3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3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3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3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3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3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3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3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3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3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3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3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3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3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3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3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3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3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3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3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3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3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3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3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3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3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3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3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3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3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3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3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3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3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3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3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3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3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3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3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3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3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3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3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3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3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3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3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3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3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3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3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3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3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3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3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3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3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3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3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3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3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3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3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3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3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3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3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3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3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3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3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3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3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3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3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3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3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3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3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3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3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3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3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3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3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3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3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3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3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3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3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3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3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3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3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3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3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3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3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3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3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3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3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3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3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3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3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3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3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3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3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3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3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3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3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3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3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3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3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3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3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3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3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3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3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3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3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3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3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3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3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3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3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3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3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3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3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3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3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3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3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3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3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3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3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3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3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3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3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3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3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3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3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3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3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3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3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3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3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3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3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3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3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3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3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3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3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3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3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3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3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3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3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3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3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3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3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3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3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3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3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3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3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3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3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3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3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3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3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3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3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3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3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3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3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3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3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3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3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3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3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3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3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3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3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3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3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3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3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3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3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3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3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3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3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3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3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3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3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3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3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3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3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3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3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3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3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3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3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3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3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3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3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3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3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3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3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3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3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3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3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3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3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3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3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3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3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3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3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3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3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3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3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3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3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3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3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3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3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3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3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3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3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3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3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3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3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3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3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3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3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3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3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3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3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3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3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3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3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3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3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3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3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3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3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3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3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3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3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3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3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3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3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3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3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3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3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3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3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3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3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3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3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3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3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3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3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3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3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3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3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3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3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3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3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3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3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3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3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3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3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3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3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3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3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3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3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3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3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3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3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3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3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3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3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3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3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3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3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3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3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3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3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3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3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3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3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3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3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3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3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3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3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3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3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3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3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3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3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3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3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3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3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3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3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3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3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3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3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3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3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3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3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3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3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3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3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3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3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3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3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3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3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3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3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3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3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3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3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3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3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3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3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3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3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3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3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3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3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3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3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3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3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3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3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3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3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3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3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3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3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3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3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3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3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3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3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3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3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3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3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3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3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3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3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3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3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3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3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3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3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3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3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3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3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3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3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3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3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3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3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3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3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3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3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3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3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3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3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3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3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3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3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3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3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3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3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3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3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3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3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3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3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3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3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3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3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3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3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3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3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3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3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3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3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3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3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3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3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3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3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3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3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3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3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3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3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3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3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3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3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3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3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3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3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3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3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3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3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3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3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3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3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3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3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3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3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3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3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3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3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3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3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3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3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3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3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3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3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3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3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3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3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3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3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3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3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3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3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3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3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3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3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3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3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3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3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3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3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3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3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3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3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3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3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3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3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3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3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3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3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3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3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3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3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3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3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3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3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3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3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3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3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3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3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3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3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3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3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3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3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3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3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3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3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3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3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3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3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3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3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3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3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3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3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3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3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3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3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3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3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3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3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3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3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3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3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3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3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3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3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3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3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3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3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3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3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3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3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3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3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3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3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3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3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3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3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3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3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3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3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3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3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3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3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3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3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3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3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3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3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3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3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3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3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3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3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3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3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3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3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3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3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3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3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3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3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3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3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3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3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3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3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3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3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3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3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3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3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3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3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3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3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3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3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3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3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3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3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3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3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3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3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3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3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3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3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3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3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3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3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3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3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3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3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3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3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3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3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3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3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3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3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3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3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3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3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3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3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3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3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3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3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3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3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3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3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3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3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3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3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3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3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3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3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3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3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3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3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3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3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3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3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3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3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3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3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3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3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3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3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3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3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3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3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3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3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3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3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3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3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3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3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3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3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3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3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3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3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3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3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3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3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3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3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3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3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3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3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3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3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3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3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3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3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3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3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3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3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3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3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3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3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3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3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3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3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3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3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3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3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3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3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3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3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3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3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3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3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3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3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3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3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3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3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3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3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3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3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3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3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3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3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3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3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3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3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3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3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3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3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3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3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3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3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3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3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3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3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3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3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3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3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3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3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3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3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3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3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3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3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3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3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3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3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3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3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3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3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3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3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3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3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3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3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3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3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3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3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3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3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3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3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3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3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3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3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3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3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3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3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3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3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3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3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3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3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3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3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3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3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3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3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3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3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3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3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3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3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3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3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3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3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3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3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3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3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3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3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3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3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3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3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3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3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3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3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3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3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3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3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3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3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3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3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3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3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3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3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3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3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3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3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3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3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3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3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3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3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3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3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3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3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3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3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3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3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3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3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3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3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3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3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3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3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3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3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3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3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3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3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3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3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3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3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3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3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3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3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3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3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3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3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3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3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3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3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3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3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3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3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3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3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3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3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3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3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3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3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3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3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3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936E-12F7-4AEC-8840-71A78538EC7B}">
  <dimension ref="B6:N29"/>
  <sheetViews>
    <sheetView showGridLines="0" tabSelected="1" zoomScaleNormal="100" workbookViewId="0">
      <selection activeCell="C6" sqref="C6"/>
    </sheetView>
  </sheetViews>
  <sheetFormatPr defaultRowHeight="14.5" x14ac:dyDescent="0.35"/>
  <cols>
    <col min="1" max="1" width="4.54296875" customWidth="1"/>
    <col min="2" max="2" width="16.81640625" customWidth="1"/>
    <col min="3" max="3" width="22.81640625" customWidth="1"/>
    <col min="4" max="4" width="18.1796875" bestFit="1" customWidth="1"/>
    <col min="11" max="11" width="9.90625" customWidth="1"/>
    <col min="12" max="12" width="14.453125" customWidth="1"/>
    <col min="13" max="13" width="16.26953125" customWidth="1"/>
    <col min="14" max="14" width="14.6328125" customWidth="1"/>
  </cols>
  <sheetData>
    <row r="6" spans="2:14" ht="26" x14ac:dyDescent="0.6">
      <c r="B6" s="22" t="s">
        <v>119</v>
      </c>
      <c r="C6" s="26" t="s">
        <v>48</v>
      </c>
      <c r="D6" s="23" t="s">
        <v>132</v>
      </c>
      <c r="E6" s="25" t="str">
        <f>'Data Prep'!B13&amp;"?"</f>
        <v>July 2021?</v>
      </c>
    </row>
    <row r="11" spans="2:14" ht="15" customHeight="1" x14ac:dyDescent="0.35">
      <c r="L11" s="14" t="s">
        <v>111</v>
      </c>
      <c r="M11" s="15" t="s">
        <v>103</v>
      </c>
      <c r="N11" s="15" t="s">
        <v>118</v>
      </c>
    </row>
    <row r="12" spans="2:14" ht="15" customHeight="1" x14ac:dyDescent="0.35">
      <c r="L12" s="16" t="str">
        <f>'Data Prep'!AI3</f>
        <v>Lego Bricks</v>
      </c>
      <c r="M12" s="17">
        <f>'Data Prep'!AJ3</f>
        <v>19035.240000000002</v>
      </c>
      <c r="N12" s="17">
        <f>'Data Prep'!AK3</f>
        <v>4718.8200000000033</v>
      </c>
    </row>
    <row r="13" spans="2:14" ht="15" customHeight="1" x14ac:dyDescent="0.35">
      <c r="L13" s="16" t="str">
        <f>'Data Prep'!AI4</f>
        <v>Etch A Sketch</v>
      </c>
      <c r="M13" s="17">
        <f>'Data Prep'!AJ4</f>
        <v>4407.8999999999996</v>
      </c>
      <c r="N13" s="17">
        <f>'Data Prep'!AK4</f>
        <v>2896.62</v>
      </c>
    </row>
    <row r="14" spans="2:14" ht="15" customHeight="1" x14ac:dyDescent="0.35">
      <c r="L14" s="16" t="str">
        <f>'Data Prep'!AI5</f>
        <v>Nerf Gun</v>
      </c>
      <c r="M14" s="17">
        <f>'Data Prep'!AJ5</f>
        <v>5617.19</v>
      </c>
      <c r="N14" s="17">
        <f>'Data Prep'!AK5</f>
        <v>2538.73</v>
      </c>
    </row>
    <row r="15" spans="2:14" ht="15" customHeight="1" x14ac:dyDescent="0.35">
      <c r="L15" s="16" t="str">
        <f>'Data Prep'!AI6</f>
        <v>Animal Figures</v>
      </c>
      <c r="M15" s="17">
        <f>'Data Prep'!AJ6</f>
        <v>5066.1000000000004</v>
      </c>
      <c r="N15" s="17">
        <f>'Data Prep'!AK6</f>
        <v>1831.5900000000006</v>
      </c>
    </row>
    <row r="16" spans="2:14" ht="15" customHeight="1" x14ac:dyDescent="0.35">
      <c r="L16" s="16" t="str">
        <f>'Data Prep'!AI7</f>
        <v>Kids Makeup Kit</v>
      </c>
      <c r="M16" s="17">
        <f>'Data Prep'!AJ7</f>
        <v>3098.45</v>
      </c>
      <c r="N16" s="17">
        <f>'Data Prep'!AK7</f>
        <v>1659.17</v>
      </c>
    </row>
    <row r="17" spans="12:14" ht="15" customHeight="1" x14ac:dyDescent="0.35">
      <c r="L17" s="16" t="str">
        <f>'Data Prep'!AI8</f>
        <v>Splash Balls</v>
      </c>
      <c r="M17" s="16">
        <f>'Data Prep'!AJ8</f>
        <v>5061.3700000000008</v>
      </c>
      <c r="N17" s="19">
        <f>'Data Prep'!AK8</f>
        <v>1204.6600000000003</v>
      </c>
    </row>
    <row r="18" spans="12:14" ht="15" customHeight="1" x14ac:dyDescent="0.35">
      <c r="N18" s="20">
        <f>SUM(N12:N16)</f>
        <v>13644.930000000004</v>
      </c>
    </row>
    <row r="19" spans="12:14" ht="25.5" customHeight="1" x14ac:dyDescent="0.35"/>
    <row r="20" spans="12:14" ht="15" customHeight="1" x14ac:dyDescent="0.35"/>
    <row r="21" spans="12:14" ht="15" customHeight="1" x14ac:dyDescent="0.35">
      <c r="L21" s="14" t="s">
        <v>111</v>
      </c>
      <c r="M21" s="15" t="s">
        <v>103</v>
      </c>
      <c r="N21" s="15" t="s">
        <v>118</v>
      </c>
    </row>
    <row r="22" spans="12:14" ht="15" customHeight="1" x14ac:dyDescent="0.35">
      <c r="L22" t="str">
        <f>'Data Prep'!AI12</f>
        <v>Magic Sand</v>
      </c>
      <c r="M22" s="17">
        <f>'Data Prep'!AJ12</f>
        <v>7243.47</v>
      </c>
      <c r="N22" s="17">
        <f>'Data Prep'!AK12</f>
        <v>-3277.95</v>
      </c>
    </row>
    <row r="23" spans="12:14" ht="15" customHeight="1" x14ac:dyDescent="0.35">
      <c r="L23" t="str">
        <f>'Data Prep'!AI13</f>
        <v>Colorbuds</v>
      </c>
      <c r="M23" s="17">
        <f>'Data Prep'!AJ13</f>
        <v>4272.1500000000005</v>
      </c>
      <c r="N23" s="17">
        <f>'Data Prep'!AK13</f>
        <v>-2338.4399999999996</v>
      </c>
    </row>
    <row r="24" spans="12:14" ht="15" customHeight="1" x14ac:dyDescent="0.35">
      <c r="L24" t="str">
        <f>'Data Prep'!AI14</f>
        <v>Action Figure</v>
      </c>
      <c r="M24" s="17">
        <f>'Data Prep'!AJ14</f>
        <v>3965.52</v>
      </c>
      <c r="N24" s="17">
        <f>'Data Prep'!AK14</f>
        <v>-2334.5399999999995</v>
      </c>
    </row>
    <row r="25" spans="12:14" ht="15" customHeight="1" x14ac:dyDescent="0.35">
      <c r="L25" t="str">
        <f>'Data Prep'!AI15</f>
        <v>Toy Robot</v>
      </c>
      <c r="M25" s="17">
        <f>'Data Prep'!AJ15</f>
        <v>1039.5999999999999</v>
      </c>
      <c r="N25" s="17">
        <f>'Data Prep'!AK15</f>
        <v>-1975.2400000000002</v>
      </c>
    </row>
    <row r="26" spans="12:14" ht="15" customHeight="1" x14ac:dyDescent="0.35">
      <c r="L26" t="str">
        <f>'Data Prep'!AI16</f>
        <v>Mini Ping Pong</v>
      </c>
      <c r="M26" s="17">
        <f>'Data Prep'!AJ16</f>
        <v>2507.4900000000002</v>
      </c>
      <c r="N26" s="17">
        <f>'Data Prep'!AK16</f>
        <v>-1248.75</v>
      </c>
    </row>
    <row r="27" spans="12:14" ht="15" customHeight="1" x14ac:dyDescent="0.35">
      <c r="L27" t="str">
        <f>'Data Prep'!AI17</f>
        <v>Disk Launcher</v>
      </c>
      <c r="M27" s="17">
        <f>'Data Prep'!AJ17</f>
        <v>815.31999999999994</v>
      </c>
      <c r="N27" s="18">
        <f>'Data Prep'!AK17</f>
        <v>-839.30000000000018</v>
      </c>
    </row>
    <row r="28" spans="12:14" ht="15" customHeight="1" x14ac:dyDescent="0.35">
      <c r="N28" s="21">
        <f>SUM(N22:N26)</f>
        <v>-11174.919999999998</v>
      </c>
    </row>
    <row r="29" spans="12:14" ht="15" customHeight="1" x14ac:dyDescent="0.35"/>
  </sheetData>
  <sheetProtection sheet="1" objects="1" scenarios="1" selectLockedCells="1"/>
  <conditionalFormatting sqref="N12:N17">
    <cfRule type="colorScale" priority="2">
      <colorScale>
        <cfvo type="min"/>
        <cfvo type="max"/>
        <color theme="0"/>
        <color theme="9" tint="0.39997558519241921"/>
      </colorScale>
    </cfRule>
  </conditionalFormatting>
  <conditionalFormatting sqref="N22:N27">
    <cfRule type="colorScale" priority="1">
      <colorScale>
        <cfvo type="min"/>
        <cfvo type="max"/>
        <color rgb="FFFF6D6D"/>
        <color theme="0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C7CF6C-048A-40D3-954A-D2D8082AC904}">
          <x14:formula1>
            <xm:f>'Data Prep'!$A$3:$A$5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E867-C19A-4136-BD9D-63D5EF15B23F}">
  <dimension ref="A1:AK36"/>
  <sheetViews>
    <sheetView zoomScale="85" zoomScaleNormal="85" workbookViewId="0">
      <selection activeCell="B13" sqref="B13"/>
    </sheetView>
  </sheetViews>
  <sheetFormatPr defaultRowHeight="14.5" x14ac:dyDescent="0.35"/>
  <cols>
    <col min="1" max="1" width="15.26953125" customWidth="1"/>
    <col min="2" max="2" width="12.26953125" customWidth="1"/>
    <col min="4" max="4" width="13.26953125" bestFit="1" customWidth="1"/>
    <col min="5" max="5" width="9.6328125" customWidth="1"/>
    <col min="13" max="13" width="10.90625" customWidth="1"/>
    <col min="15" max="15" width="11.26953125" bestFit="1" customWidth="1"/>
    <col min="16" max="16" width="11.54296875" customWidth="1"/>
    <col min="20" max="20" width="12" bestFit="1" customWidth="1"/>
    <col min="21" max="21" width="10.54296875" bestFit="1" customWidth="1"/>
    <col min="24" max="24" width="9.90625" bestFit="1" customWidth="1"/>
    <col min="27" max="27" width="15.453125" bestFit="1" customWidth="1"/>
    <col min="35" max="35" width="14.90625" customWidth="1"/>
  </cols>
  <sheetData>
    <row r="1" spans="1:37" x14ac:dyDescent="0.35">
      <c r="A1" s="6" t="s">
        <v>75</v>
      </c>
      <c r="B1" s="6"/>
      <c r="D1" s="10" t="s">
        <v>83</v>
      </c>
      <c r="E1" s="10"/>
      <c r="G1" s="10" t="s">
        <v>88</v>
      </c>
      <c r="H1" s="10"/>
      <c r="I1" s="10"/>
      <c r="J1" s="10"/>
      <c r="K1" s="10"/>
      <c r="M1" s="10" t="s">
        <v>102</v>
      </c>
      <c r="N1" s="10"/>
      <c r="O1" s="10"/>
      <c r="P1" s="10"/>
      <c r="Q1" s="10"/>
      <c r="S1" s="10" t="s">
        <v>109</v>
      </c>
      <c r="T1" s="10"/>
      <c r="U1" s="10"/>
      <c r="V1" s="10"/>
      <c r="W1" s="10"/>
      <c r="X1" s="10"/>
      <c r="Y1" s="10"/>
      <c r="AA1" s="10" t="s">
        <v>110</v>
      </c>
      <c r="AB1" s="10"/>
      <c r="AC1" s="10"/>
      <c r="AD1" s="10"/>
      <c r="AE1" s="10"/>
      <c r="AF1" s="10"/>
      <c r="AH1" s="10" t="s">
        <v>116</v>
      </c>
      <c r="AI1" s="10"/>
      <c r="AJ1" s="10"/>
      <c r="AK1" s="10"/>
    </row>
    <row r="2" spans="1:37" x14ac:dyDescent="0.35">
      <c r="A2" s="5" t="s">
        <v>76</v>
      </c>
      <c r="B2" s="5" t="s">
        <v>77</v>
      </c>
      <c r="D2" s="8" t="s">
        <v>84</v>
      </c>
      <c r="E2" s="2">
        <f>SUMIFS(Data[Revenue],Data[Region],Region,Data[Month],CurMonth,Data[Year],CurYear)</f>
        <v>94953.469999999958</v>
      </c>
      <c r="G2" s="11" t="s">
        <v>89</v>
      </c>
      <c r="H2" s="11" t="s">
        <v>49</v>
      </c>
      <c r="I2" s="11">
        <f>PrevYear</f>
        <v>2020</v>
      </c>
      <c r="J2" s="11">
        <f>CurYear</f>
        <v>2021</v>
      </c>
      <c r="K2" s="11" t="s">
        <v>77</v>
      </c>
      <c r="M2" s="12" t="s">
        <v>63</v>
      </c>
      <c r="N2" s="12" t="s">
        <v>103</v>
      </c>
      <c r="O2" s="12" t="s">
        <v>104</v>
      </c>
      <c r="P2" s="12" t="s">
        <v>107</v>
      </c>
      <c r="Q2" s="12" t="s">
        <v>108</v>
      </c>
      <c r="S2" s="12" t="s">
        <v>108</v>
      </c>
      <c r="T2" s="12" t="s">
        <v>63</v>
      </c>
      <c r="U2" s="12" t="s">
        <v>52</v>
      </c>
      <c r="V2" s="12" t="s">
        <v>103</v>
      </c>
      <c r="W2" s="12" t="s">
        <v>107</v>
      </c>
      <c r="X2" s="12" t="s">
        <v>77</v>
      </c>
      <c r="Y2" s="12" t="s">
        <v>77</v>
      </c>
      <c r="AA2" s="12" t="s">
        <v>111</v>
      </c>
      <c r="AB2" s="12" t="s">
        <v>103</v>
      </c>
      <c r="AC2" s="12" t="s">
        <v>112</v>
      </c>
      <c r="AD2" s="12" t="s">
        <v>113</v>
      </c>
      <c r="AE2" s="12" t="s">
        <v>114</v>
      </c>
      <c r="AF2" s="12" t="s">
        <v>115</v>
      </c>
      <c r="AH2" s="12" t="s">
        <v>108</v>
      </c>
      <c r="AI2" s="12" t="s">
        <v>111</v>
      </c>
      <c r="AJ2" s="12" t="s">
        <v>103</v>
      </c>
      <c r="AK2" s="12" t="s">
        <v>113</v>
      </c>
    </row>
    <row r="3" spans="1:37" x14ac:dyDescent="0.35">
      <c r="A3" t="str" cm="1">
        <f t="array" ref="A3:A5">_xlfn.UNIQUE(Data[Region])</f>
        <v>Los Angeles</v>
      </c>
      <c r="B3" t="str">
        <f>Dashboard!C6</f>
        <v>Chicago</v>
      </c>
      <c r="D3" s="8" t="s">
        <v>85</v>
      </c>
      <c r="E3" s="2">
        <f>SUMIFS(Data[Revenue],Data[Region],Region,Data[Month],CurMonth,Data[Year],PrevYear)</f>
        <v>70835.710000000006</v>
      </c>
      <c r="G3">
        <v>1</v>
      </c>
      <c r="H3" t="s">
        <v>90</v>
      </c>
      <c r="I3" s="3">
        <f>SUMIFS(Data[[Revenue]:[Revenue]],Data[[Region]:[Region]],Region,Data[[Month]:[Month]],'Data Prep'!$G3,Data[[Year]:[Year]],I$2)</f>
        <v>63051.609999999993</v>
      </c>
      <c r="J3" s="3">
        <f>IF(G3&gt;CurMonth,NA(),SUMIFS(Data[[Revenue]:[Revenue]],Data[[Region]:[Region]],Region,Data[[Month]:[Month]],'Data Prep'!$G3,Data[[Year]:[Year]],J$2))</f>
        <v>81321.820000000022</v>
      </c>
      <c r="K3" s="3" t="e">
        <f t="shared" ref="K3:K14" si="0">IF(G3=CurMonth,J3,NA())</f>
        <v>#N/A</v>
      </c>
      <c r="M3" t="s">
        <v>59</v>
      </c>
      <c r="N3" s="3">
        <f>SUMIFS(Data[Revenue],Data[Store Name],M3,Data[Month],CurMonth,Data[Year],CurYear)</f>
        <v>12894.550000000001</v>
      </c>
      <c r="O3" s="3">
        <f>SUMIFS(Data[Revenue],Data[Store Name],M3,Data[Month],PrevMonth,Data[Year],PMYear)</f>
        <v>9291.49</v>
      </c>
      <c r="P3" s="9">
        <f t="shared" ref="P3:P12" si="1">N3/O3-1</f>
        <v>0.38778064659166622</v>
      </c>
      <c r="Q3">
        <f>_xlfn.RANK.AVG(N3,$N$3:$N$12,1)</f>
        <v>1</v>
      </c>
      <c r="S3">
        <v>1</v>
      </c>
      <c r="T3" t="str">
        <f>INDEX($M$3:$P$12,MATCH($S3,$Q$3:$Q$12,0),MATCH(T$2,$M$2:$P$2,0))</f>
        <v>Hollywood</v>
      </c>
      <c r="U3" t="str">
        <f>VLOOKUP(T3,Data!C2:D4266,2,0)</f>
        <v>Los Angeles</v>
      </c>
      <c r="V3" s="3">
        <f t="shared" ref="V3:W12" si="2">INDEX($M$3:$P$12,MATCH($S3,$Q$3:$Q$12,0),MATCH(V$2,$M$2:$P$2,0))</f>
        <v>12894.550000000001</v>
      </c>
      <c r="W3" s="9">
        <f t="shared" si="2"/>
        <v>0.38778064659166622</v>
      </c>
      <c r="X3" s="9">
        <f t="shared" ref="X3:X12" si="3">IF($U3=Region,V3,0)</f>
        <v>0</v>
      </c>
      <c r="Y3" s="9">
        <f t="shared" ref="Y3:Y12" si="4">IF($U3=Region,W3,0)</f>
        <v>0</v>
      </c>
      <c r="AA3" t="s">
        <v>13</v>
      </c>
      <c r="AB3" s="3">
        <f>SUMIFS(Data[Revenue],Data[Region],Region,Data[Month],CurMonth,Data[Year],CurYear,Data[Product Name],'Data Prep'!AA3)</f>
        <v>3965.52</v>
      </c>
      <c r="AC3" s="3">
        <f>SUMIFS(Data[Revenue],Data[Region],Region,Data[Month],PrevMonth,Data[Year],PMYear,Data[Product Name],'Data Prep'!AA3)</f>
        <v>6300.0599999999995</v>
      </c>
      <c r="AD3" s="2">
        <f>AB3-AC3</f>
        <v>-2334.5399999999995</v>
      </c>
      <c r="AE3">
        <f>_xlfn.RANK.AVG(AD3,$AD$3:$AD$36,0)</f>
        <v>32</v>
      </c>
      <c r="AF3">
        <f>_xlfn.RANK.AVG(AD3,$AD$3:$AD$36,1)</f>
        <v>3</v>
      </c>
      <c r="AH3">
        <v>1</v>
      </c>
      <c r="AI3" t="str">
        <f>INDEX($AA$3:$AD$36,MATCH($AH3,$AE$3:$AE$36,0),MATCH(AI$2,$AA$2:$AD$2,0))</f>
        <v>Lego Bricks</v>
      </c>
      <c r="AJ3" s="3">
        <f t="shared" ref="AJ3:AK8" si="5">INDEX($AA$3:$AD$36,MATCH($AH3,$AE$3:$AE$36,0),MATCH(AJ$2,$AA$2:$AD$2,0))</f>
        <v>19035.240000000002</v>
      </c>
      <c r="AK3" s="3">
        <f t="shared" si="5"/>
        <v>4718.8200000000033</v>
      </c>
    </row>
    <row r="4" spans="1:37" x14ac:dyDescent="0.35">
      <c r="A4" t="str">
        <v>New York</v>
      </c>
      <c r="D4" s="8" t="s">
        <v>86</v>
      </c>
      <c r="E4" s="2">
        <f>SUMIFS(Data[Revenue],Data[Region],Region,Data[Month],PrevMonth,Data[Year],PMYear)</f>
        <v>91637.330000000016</v>
      </c>
      <c r="G4">
        <v>2</v>
      </c>
      <c r="H4" t="s">
        <v>91</v>
      </c>
      <c r="I4" s="3">
        <f>SUMIFS(Data[[Revenue]:[Revenue]],Data[[Region]:[Region]],Region,Data[[Month]:[Month]],'Data Prep'!$G4,Data[[Year]:[Year]],I$2)</f>
        <v>65298.220000000023</v>
      </c>
      <c r="J4" s="3">
        <f>IF(G4&gt;CurMonth,NA(),SUMIFS(Data[[Revenue]:[Revenue]],Data[[Region]:[Region]],Region,Data[[Month]:[Month]],'Data Prep'!$G4,Data[[Year]:[Year]],J$2))</f>
        <v>87902.16</v>
      </c>
      <c r="K4" s="3" t="e">
        <f t="shared" si="0"/>
        <v>#N/A</v>
      </c>
      <c r="M4" t="s">
        <v>56</v>
      </c>
      <c r="N4" s="3">
        <f>SUMIFS(Data[Revenue],Data[Store Name],M4,Data[Month],CurMonth,Data[Year],CurYear)</f>
        <v>14836.320000000002</v>
      </c>
      <c r="O4" s="3">
        <f>SUMIFS(Data[Revenue],Data[Store Name],M4,Data[Month],PrevMonth,Data[Year],PMYear)</f>
        <v>11676.369999999999</v>
      </c>
      <c r="P4" s="9">
        <f t="shared" si="1"/>
        <v>0.27062777215864209</v>
      </c>
      <c r="Q4">
        <f t="shared" ref="Q4:Q12" si="6">_xlfn.RANK.AVG(N4,$N$3:$N$12,1)</f>
        <v>2</v>
      </c>
      <c r="S4">
        <v>2</v>
      </c>
      <c r="T4" t="str">
        <f>INDEX($M$3:$P$12,MATCH($S4,$Q$3:$Q$12,0),MATCH(T$2,$M$2:$P$2,0))</f>
        <v>Beverly Hills</v>
      </c>
      <c r="U4" t="str">
        <f>VLOOKUP(T4,Data!C3:D4267,2,0)</f>
        <v>Los Angeles</v>
      </c>
      <c r="V4" s="3">
        <f t="shared" si="2"/>
        <v>14836.320000000002</v>
      </c>
      <c r="W4" s="9">
        <f t="shared" si="2"/>
        <v>0.27062777215864209</v>
      </c>
      <c r="X4" s="9">
        <f t="shared" si="3"/>
        <v>0</v>
      </c>
      <c r="Y4" s="9">
        <f t="shared" si="4"/>
        <v>0</v>
      </c>
      <c r="AA4" t="s">
        <v>24</v>
      </c>
      <c r="AB4" s="3">
        <f>SUMIFS(Data[Revenue],Data[Region],Region,Data[Month],CurMonth,Data[Year],CurYear,Data[Product Name],'Data Prep'!AA4)</f>
        <v>5066.1000000000004</v>
      </c>
      <c r="AC4" s="3">
        <f>SUMIFS(Data[Revenue],Data[Region],Region,Data[Month],PrevMonth,Data[Year],PMYear,Data[Product Name],'Data Prep'!AA4)</f>
        <v>3234.5099999999998</v>
      </c>
      <c r="AD4" s="2">
        <f t="shared" ref="AD4:AD36" si="7">AB4-AC4</f>
        <v>1831.5900000000006</v>
      </c>
      <c r="AE4">
        <f t="shared" ref="AE4:AE36" si="8">_xlfn.RANK.AVG(AD4,$AD$3:$AD$36,0)</f>
        <v>4</v>
      </c>
      <c r="AF4">
        <f t="shared" ref="AF4:AF36" si="9">_xlfn.RANK.AVG(AD4,$AD$3:$AD$36,1)</f>
        <v>31</v>
      </c>
      <c r="AH4">
        <v>2</v>
      </c>
      <c r="AI4" t="str">
        <f t="shared" ref="AI4:AI8" si="10">INDEX($AA$3:$AD$36,MATCH($AH4,$AE$3:$AE$36,0),MATCH(AI$2,$AA$2:$AD$2,0))</f>
        <v>Etch A Sketch</v>
      </c>
      <c r="AJ4" s="3">
        <f t="shared" si="5"/>
        <v>4407.8999999999996</v>
      </c>
      <c r="AK4" s="3">
        <f t="shared" si="5"/>
        <v>2896.62</v>
      </c>
    </row>
    <row r="5" spans="1:37" x14ac:dyDescent="0.35">
      <c r="A5" t="str">
        <v>Chicago</v>
      </c>
      <c r="D5" s="8" t="s">
        <v>106</v>
      </c>
      <c r="E5" s="13">
        <f>E2/E3-1</f>
        <v>0.34047459960519832</v>
      </c>
      <c r="G5">
        <v>3</v>
      </c>
      <c r="H5" t="s">
        <v>92</v>
      </c>
      <c r="I5" s="3">
        <f>SUMIFS(Data[[Revenue]:[Revenue]],Data[[Region]:[Region]],Region,Data[[Month]:[Month]],'Data Prep'!$G5,Data[[Year]:[Year]],I$2)</f>
        <v>64161.95</v>
      </c>
      <c r="J5" s="3">
        <f>IF(G5&gt;CurMonth,NA(),SUMIFS(Data[[Revenue]:[Revenue]],Data[[Region]:[Region]],Region,Data[[Month]:[Month]],'Data Prep'!$G5,Data[[Year]:[Year]],J$2))</f>
        <v>105385.7199999999</v>
      </c>
      <c r="K5" s="3" t="e">
        <f t="shared" si="0"/>
        <v>#N/A</v>
      </c>
      <c r="M5" t="s">
        <v>54</v>
      </c>
      <c r="N5" s="3">
        <f>SUMIFS(Data[Revenue],Data[Store Name],M5,Data[Month],CurMonth,Data[Year],CurYear)</f>
        <v>16131.78</v>
      </c>
      <c r="O5" s="3">
        <f>SUMIFS(Data[Revenue],Data[Store Name],M5,Data[Month],PrevMonth,Data[Year],PMYear)</f>
        <v>19646.239999999998</v>
      </c>
      <c r="P5" s="9">
        <f t="shared" si="1"/>
        <v>-0.1788871560156039</v>
      </c>
      <c r="Q5">
        <f t="shared" si="6"/>
        <v>3</v>
      </c>
      <c r="S5">
        <v>3</v>
      </c>
      <c r="T5" t="str">
        <f t="shared" ref="T5:T12" si="11">INDEX($M$3:$P$12,MATCH($S5,$Q$3:$Q$12,0),MATCH(T$2,$M$2:$P$2,0))</f>
        <v>Michigan Ave</v>
      </c>
      <c r="U5" t="str">
        <f>VLOOKUP(T5,Data!C4:D4268,2,0)</f>
        <v>Chicago</v>
      </c>
      <c r="V5" s="3">
        <f t="shared" si="2"/>
        <v>16131.78</v>
      </c>
      <c r="W5" s="9">
        <f t="shared" si="2"/>
        <v>-0.1788871560156039</v>
      </c>
      <c r="X5" s="3">
        <f t="shared" si="3"/>
        <v>16131.78</v>
      </c>
      <c r="Y5" s="9">
        <f t="shared" si="4"/>
        <v>-0.1788871560156039</v>
      </c>
      <c r="AA5" t="s">
        <v>18</v>
      </c>
      <c r="AB5" s="3">
        <f>SUMIFS(Data[Revenue],Data[Region],Region,Data[Month],CurMonth,Data[Year],CurYear,Data[Product Name],'Data Prep'!AA5)</f>
        <v>0</v>
      </c>
      <c r="AC5" s="3">
        <f>SUMIFS(Data[Revenue],Data[Region],Region,Data[Month],PrevMonth,Data[Year],PMYear,Data[Product Name],'Data Prep'!AA5)</f>
        <v>64.95</v>
      </c>
      <c r="AD5" s="2">
        <f t="shared" si="7"/>
        <v>-64.95</v>
      </c>
      <c r="AE5">
        <f t="shared" si="8"/>
        <v>18</v>
      </c>
      <c r="AF5">
        <f t="shared" si="9"/>
        <v>17</v>
      </c>
      <c r="AH5">
        <v>3</v>
      </c>
      <c r="AI5" t="str">
        <f t="shared" si="10"/>
        <v>Nerf Gun</v>
      </c>
      <c r="AJ5" s="3">
        <f t="shared" si="5"/>
        <v>5617.19</v>
      </c>
      <c r="AK5" s="3">
        <f t="shared" si="5"/>
        <v>2538.73</v>
      </c>
    </row>
    <row r="6" spans="1:37" x14ac:dyDescent="0.35">
      <c r="D6" s="8" t="s">
        <v>105</v>
      </c>
      <c r="E6" s="13">
        <f>E2/E4-1</f>
        <v>3.6187654092496357E-2</v>
      </c>
      <c r="G6">
        <v>4</v>
      </c>
      <c r="H6" t="s">
        <v>93</v>
      </c>
      <c r="I6" s="3">
        <f>SUMIFS(Data[[Revenue]:[Revenue]],Data[[Region]:[Region]],Region,Data[[Month]:[Month]],'Data Prep'!$G6,Data[[Year]:[Year]],I$2)</f>
        <v>80619.25999999998</v>
      </c>
      <c r="J6" s="3">
        <f>IF(G6&gt;CurMonth,NA(),SUMIFS(Data[[Revenue]:[Revenue]],Data[[Region]:[Region]],Region,Data[[Month]:[Month]],'Data Prep'!$G6,Data[[Year]:[Year]],J$2))</f>
        <v>99650.11000000003</v>
      </c>
      <c r="K6" s="3" t="e">
        <f t="shared" si="0"/>
        <v>#N/A</v>
      </c>
      <c r="M6" t="s">
        <v>55</v>
      </c>
      <c r="N6" s="3">
        <f>SUMIFS(Data[Revenue],Data[Store Name],M6,Data[Month],CurMonth,Data[Year],CurYear)</f>
        <v>20890.14</v>
      </c>
      <c r="O6" s="3">
        <f>SUMIFS(Data[Revenue],Data[Store Name],M6,Data[Month],PrevMonth,Data[Year],PMYear)</f>
        <v>24100.490000000009</v>
      </c>
      <c r="P6" s="9">
        <f t="shared" si="1"/>
        <v>-0.13320683521372423</v>
      </c>
      <c r="Q6">
        <f t="shared" si="6"/>
        <v>4</v>
      </c>
      <c r="S6">
        <v>4</v>
      </c>
      <c r="T6" t="str">
        <f t="shared" si="11"/>
        <v>Millenium</v>
      </c>
      <c r="U6" t="str">
        <f>VLOOKUP(T6,Data!C5:D4269,2,0)</f>
        <v>Chicago</v>
      </c>
      <c r="V6" s="3">
        <f t="shared" si="2"/>
        <v>20890.14</v>
      </c>
      <c r="W6" s="9">
        <f t="shared" si="2"/>
        <v>-0.13320683521372423</v>
      </c>
      <c r="X6" s="3">
        <f t="shared" si="3"/>
        <v>20890.14</v>
      </c>
      <c r="Y6" s="9">
        <f t="shared" si="4"/>
        <v>-0.13320683521372423</v>
      </c>
      <c r="AA6" t="s">
        <v>30</v>
      </c>
      <c r="AB6" s="3">
        <f>SUMIFS(Data[Revenue],Data[Region],Region,Data[Month],CurMonth,Data[Year],CurYear,Data[Product Name],'Data Prep'!AA6)</f>
        <v>299.7</v>
      </c>
      <c r="AC6" s="3">
        <f>SUMIFS(Data[Revenue],Data[Region],Region,Data[Month],PrevMonth,Data[Year],PMYear,Data[Product Name],'Data Prep'!AA6)</f>
        <v>129.87</v>
      </c>
      <c r="AD6" s="2">
        <f t="shared" si="7"/>
        <v>169.82999999999998</v>
      </c>
      <c r="AE6">
        <f t="shared" si="8"/>
        <v>12</v>
      </c>
      <c r="AF6">
        <f t="shared" si="9"/>
        <v>23</v>
      </c>
      <c r="AH6">
        <v>4</v>
      </c>
      <c r="AI6" t="str">
        <f t="shared" si="10"/>
        <v>Animal Figures</v>
      </c>
      <c r="AJ6" s="3">
        <f t="shared" si="5"/>
        <v>5066.1000000000004</v>
      </c>
      <c r="AK6" s="3">
        <f t="shared" si="5"/>
        <v>1831.5900000000006</v>
      </c>
    </row>
    <row r="7" spans="1:37" x14ac:dyDescent="0.35">
      <c r="A7" s="6" t="s">
        <v>78</v>
      </c>
      <c r="B7" s="6"/>
      <c r="G7">
        <v>5</v>
      </c>
      <c r="H7" t="s">
        <v>94</v>
      </c>
      <c r="I7" s="3">
        <f>SUMIFS(Data[[Revenue]:[Revenue]],Data[[Region]:[Region]],Region,Data[[Month]:[Month]],'Data Prep'!$G7,Data[[Year]:[Year]],I$2)</f>
        <v>79560.950000000026</v>
      </c>
      <c r="J7" s="3">
        <f>IF(G7&gt;CurMonth,NA(),SUMIFS(Data[[Revenue]:[Revenue]],Data[[Region]:[Region]],Region,Data[[Month]:[Month]],'Data Prep'!$G7,Data[[Year]:[Year]],J$2))</f>
        <v>93467.969999999972</v>
      </c>
      <c r="K7" s="3" t="e">
        <f t="shared" si="0"/>
        <v>#N/A</v>
      </c>
      <c r="M7" t="s">
        <v>53</v>
      </c>
      <c r="N7" s="3">
        <f>SUMIFS(Data[Revenue],Data[Store Name],M7,Data[Month],CurMonth,Data[Year],CurYear)</f>
        <v>21829.790000000008</v>
      </c>
      <c r="O7" s="3">
        <f>SUMIFS(Data[Revenue],Data[Store Name],M7,Data[Month],PrevMonth,Data[Year],PMYear)</f>
        <v>17645.59</v>
      </c>
      <c r="P7" s="9">
        <f t="shared" si="1"/>
        <v>0.23712440332117013</v>
      </c>
      <c r="Q7">
        <f t="shared" si="6"/>
        <v>5</v>
      </c>
      <c r="S7">
        <v>5</v>
      </c>
      <c r="T7" t="str">
        <f t="shared" si="11"/>
        <v>Lincoln Park</v>
      </c>
      <c r="U7" t="str">
        <f>VLOOKUP(T7,Data!C6:D4270,2,0)</f>
        <v>Chicago</v>
      </c>
      <c r="V7" s="3">
        <f t="shared" si="2"/>
        <v>21829.790000000008</v>
      </c>
      <c r="W7" s="9">
        <f t="shared" si="2"/>
        <v>0.23712440332117013</v>
      </c>
      <c r="X7" s="3">
        <f t="shared" si="3"/>
        <v>21829.790000000008</v>
      </c>
      <c r="Y7" s="9">
        <f t="shared" si="4"/>
        <v>0.23712440332117013</v>
      </c>
      <c r="AA7" t="s">
        <v>20</v>
      </c>
      <c r="AB7" s="3">
        <f>SUMIFS(Data[Revenue],Data[Region],Region,Data[Month],CurMonth,Data[Year],CurYear,Data[Product Name],'Data Prep'!AA7)</f>
        <v>4272.1500000000005</v>
      </c>
      <c r="AC7" s="3">
        <f>SUMIFS(Data[Revenue],Data[Region],Region,Data[Month],PrevMonth,Data[Year],PMYear,Data[Product Name],'Data Prep'!AA7)</f>
        <v>6610.59</v>
      </c>
      <c r="AD7" s="2">
        <f t="shared" si="7"/>
        <v>-2338.4399999999996</v>
      </c>
      <c r="AE7">
        <f t="shared" si="8"/>
        <v>33</v>
      </c>
      <c r="AF7">
        <f t="shared" si="9"/>
        <v>2</v>
      </c>
      <c r="AH7">
        <v>5</v>
      </c>
      <c r="AI7" t="str">
        <f t="shared" si="10"/>
        <v>Kids Makeup Kit</v>
      </c>
      <c r="AJ7" s="3">
        <f t="shared" si="5"/>
        <v>3098.45</v>
      </c>
      <c r="AK7" s="3">
        <f t="shared" si="5"/>
        <v>1659.17</v>
      </c>
    </row>
    <row r="8" spans="1:37" x14ac:dyDescent="0.35">
      <c r="A8" s="8" t="s">
        <v>79</v>
      </c>
      <c r="B8" s="7">
        <f>MAX(Data[Year])</f>
        <v>2021</v>
      </c>
      <c r="G8">
        <v>6</v>
      </c>
      <c r="H8" t="s">
        <v>95</v>
      </c>
      <c r="I8" s="3">
        <f>SUMIFS(Data[[Revenue]:[Revenue]],Data[[Region]:[Region]],Region,Data[[Month]:[Month]],'Data Prep'!$G8,Data[[Year]:[Year]],I$2)</f>
        <v>85430.399999999965</v>
      </c>
      <c r="J8" s="3">
        <f>IF(G8&gt;CurMonth,NA(),SUMIFS(Data[[Revenue]:[Revenue]],Data[[Region]:[Region]],Region,Data[[Month]:[Month]],'Data Prep'!$G8,Data[[Year]:[Year]],J$2))</f>
        <v>91637.330000000016</v>
      </c>
      <c r="K8" s="3" t="e">
        <f t="shared" si="0"/>
        <v>#N/A</v>
      </c>
      <c r="M8" t="s">
        <v>58</v>
      </c>
      <c r="N8" s="3">
        <f>SUMIFS(Data[Revenue],Data[Store Name],M8,Data[Month],CurMonth,Data[Year],CurYear)</f>
        <v>22152.709999999995</v>
      </c>
      <c r="O8" s="3">
        <f>SUMIFS(Data[Revenue],Data[Store Name],M8,Data[Month],PrevMonth,Data[Year],PMYear)</f>
        <v>19305.510000000002</v>
      </c>
      <c r="P8" s="9">
        <f t="shared" si="1"/>
        <v>0.1474812113225703</v>
      </c>
      <c r="Q8">
        <f t="shared" si="6"/>
        <v>6</v>
      </c>
      <c r="S8">
        <v>6</v>
      </c>
      <c r="T8" t="str">
        <f t="shared" si="11"/>
        <v>Fifth Avenue</v>
      </c>
      <c r="U8" t="str">
        <f>VLOOKUP(T8,Data!C7:D4271,2,0)</f>
        <v>New York</v>
      </c>
      <c r="V8" s="3">
        <f t="shared" si="2"/>
        <v>22152.709999999995</v>
      </c>
      <c r="W8" s="9">
        <f t="shared" si="2"/>
        <v>0.1474812113225703</v>
      </c>
      <c r="X8" s="3">
        <f t="shared" si="3"/>
        <v>0</v>
      </c>
      <c r="Y8" s="9">
        <f t="shared" si="4"/>
        <v>0</v>
      </c>
      <c r="AA8" t="s">
        <v>25</v>
      </c>
      <c r="AB8" s="3">
        <f>SUMIFS(Data[Revenue],Data[Region],Region,Data[Month],CurMonth,Data[Year],CurYear,Data[Product Name],'Data Prep'!AA8)</f>
        <v>1375.1399999999999</v>
      </c>
      <c r="AC8" s="3">
        <f>SUMIFS(Data[Revenue],Data[Region],Region,Data[Month],PrevMonth,Data[Year],PMYear,Data[Product Name],'Data Prep'!AA8)</f>
        <v>2126.67</v>
      </c>
      <c r="AD8" s="2">
        <f t="shared" si="7"/>
        <v>-751.5300000000002</v>
      </c>
      <c r="AE8">
        <f t="shared" si="8"/>
        <v>28</v>
      </c>
      <c r="AF8">
        <f t="shared" si="9"/>
        <v>7</v>
      </c>
      <c r="AH8">
        <v>6</v>
      </c>
      <c r="AI8" t="str">
        <f t="shared" si="10"/>
        <v>Splash Balls</v>
      </c>
      <c r="AJ8" s="3">
        <f t="shared" si="5"/>
        <v>5061.3700000000008</v>
      </c>
      <c r="AK8" s="3">
        <f t="shared" si="5"/>
        <v>1204.6600000000003</v>
      </c>
    </row>
    <row r="9" spans="1:37" x14ac:dyDescent="0.35">
      <c r="A9" s="8" t="s">
        <v>80</v>
      </c>
      <c r="B9" s="7">
        <f>_xlfn.MAXIFS(Data[Month],Data[Year],CurYear)</f>
        <v>7</v>
      </c>
      <c r="G9">
        <v>7</v>
      </c>
      <c r="H9" t="s">
        <v>96</v>
      </c>
      <c r="I9" s="3">
        <f>SUMIFS(Data[[Revenue]:[Revenue]],Data[[Region]:[Region]],Region,Data[[Month]:[Month]],'Data Prep'!$G9,Data[[Year]:[Year]],I$2)</f>
        <v>70835.710000000006</v>
      </c>
      <c r="J9" s="3">
        <f>IF(G9&gt;CurMonth,NA(),SUMIFS(Data[[Revenue]:[Revenue]],Data[[Region]:[Region]],Region,Data[[Month]:[Month]],'Data Prep'!$G9,Data[[Year]:[Year]],J$2))</f>
        <v>94953.469999999958</v>
      </c>
      <c r="K9" s="3">
        <f t="shared" si="0"/>
        <v>94953.469999999958</v>
      </c>
      <c r="M9" t="s">
        <v>62</v>
      </c>
      <c r="N9" s="3">
        <f>SUMIFS(Data[Revenue],Data[Store Name],M9,Data[Month],CurMonth,Data[Year],CurYear)</f>
        <v>22817.06</v>
      </c>
      <c r="O9" s="3">
        <f>SUMIFS(Data[Revenue],Data[Store Name],M9,Data[Month],PrevMonth,Data[Year],PMYear)</f>
        <v>20167.499999999996</v>
      </c>
      <c r="P9" s="9">
        <f t="shared" si="1"/>
        <v>0.13137771166480761</v>
      </c>
      <c r="Q9">
        <f t="shared" si="6"/>
        <v>7</v>
      </c>
      <c r="S9">
        <v>7</v>
      </c>
      <c r="T9" t="str">
        <f t="shared" si="11"/>
        <v>Times Square</v>
      </c>
      <c r="U9" t="str">
        <f>VLOOKUP(T9,Data!C8:D4272,2,0)</f>
        <v>New York</v>
      </c>
      <c r="V9" s="3">
        <f t="shared" si="2"/>
        <v>22817.06</v>
      </c>
      <c r="W9" s="9">
        <f t="shared" si="2"/>
        <v>0.13137771166480761</v>
      </c>
      <c r="X9" s="3">
        <f t="shared" si="3"/>
        <v>0</v>
      </c>
      <c r="Y9" s="9">
        <f t="shared" si="4"/>
        <v>0</v>
      </c>
      <c r="AA9" t="s">
        <v>8</v>
      </c>
      <c r="AB9" s="3">
        <f>SUMIFS(Data[Revenue],Data[Region],Region,Data[Month],CurMonth,Data[Year],CurYear,Data[Product Name],'Data Prep'!AA9)</f>
        <v>2621.2500000000005</v>
      </c>
      <c r="AC9" s="3">
        <f>SUMIFS(Data[Revenue],Data[Region],Region,Data[Month],PrevMonth,Data[Year],PMYear,Data[Product Name],'Data Prep'!AA9)</f>
        <v>3292.29</v>
      </c>
      <c r="AD9" s="2">
        <f t="shared" si="7"/>
        <v>-671.03999999999951</v>
      </c>
      <c r="AE9">
        <f t="shared" si="8"/>
        <v>27</v>
      </c>
      <c r="AF9">
        <f t="shared" si="9"/>
        <v>8</v>
      </c>
    </row>
    <row r="10" spans="1:37" x14ac:dyDescent="0.35">
      <c r="A10" s="8" t="s">
        <v>81</v>
      </c>
      <c r="B10" s="7">
        <f>CurYear-1</f>
        <v>2020</v>
      </c>
      <c r="G10">
        <v>8</v>
      </c>
      <c r="H10" t="s">
        <v>97</v>
      </c>
      <c r="I10" s="3">
        <f>SUMIFS(Data[[Revenue]:[Revenue]],Data[[Region]:[Region]],Region,Data[[Month]:[Month]],'Data Prep'!$G10,Data[[Year]:[Year]],I$2)</f>
        <v>55171.65</v>
      </c>
      <c r="J10" s="3" t="e">
        <f>IF(G10&gt;CurMonth,NA(),SUMIFS(Data[[Revenue]:[Revenue]],Data[[Region]:[Region]],Region,Data[[Month]:[Month]],'Data Prep'!$G10,Data[[Year]:[Year]],J$2))</f>
        <v>#N/A</v>
      </c>
      <c r="K10" s="3" t="e">
        <f t="shared" si="0"/>
        <v>#N/A</v>
      </c>
      <c r="M10" t="s">
        <v>60</v>
      </c>
      <c r="N10" s="3">
        <f>SUMIFS(Data[Revenue],Data[Store Name],M10,Data[Month],CurMonth,Data[Year],CurYear)</f>
        <v>24068.03</v>
      </c>
      <c r="O10" s="3">
        <f>SUMIFS(Data[Revenue],Data[Store Name],M10,Data[Month],PrevMonth,Data[Year],PMYear)</f>
        <v>22176.43</v>
      </c>
      <c r="P10" s="9">
        <f t="shared" si="1"/>
        <v>8.5297768847375277E-2</v>
      </c>
      <c r="Q10">
        <f t="shared" si="6"/>
        <v>8</v>
      </c>
      <c r="S10">
        <v>8</v>
      </c>
      <c r="T10" t="str">
        <f t="shared" si="11"/>
        <v>JFK</v>
      </c>
      <c r="U10" t="str">
        <f>VLOOKUP(T10,Data!C9:D4273,2,0)</f>
        <v>New York</v>
      </c>
      <c r="V10" s="3">
        <f t="shared" si="2"/>
        <v>24068.03</v>
      </c>
      <c r="W10" s="9">
        <f t="shared" si="2"/>
        <v>8.5297768847375277E-2</v>
      </c>
      <c r="X10" s="3">
        <f t="shared" si="3"/>
        <v>0</v>
      </c>
      <c r="Y10" s="9">
        <f t="shared" si="4"/>
        <v>0</v>
      </c>
      <c r="AA10" t="s">
        <v>17</v>
      </c>
      <c r="AB10" s="3">
        <f>SUMIFS(Data[Revenue],Data[Region],Region,Data[Month],CurMonth,Data[Year],CurYear,Data[Product Name],'Data Prep'!AA10)</f>
        <v>4659.76</v>
      </c>
      <c r="AC10" s="3">
        <f>SUMIFS(Data[Revenue],Data[Region],Region,Data[Month],PrevMonth,Data[Year],PMYear,Data[Product Name],'Data Prep'!AA10)</f>
        <v>4516.8900000000003</v>
      </c>
      <c r="AD10" s="2">
        <f t="shared" si="7"/>
        <v>142.86999999999989</v>
      </c>
      <c r="AE10">
        <f t="shared" si="8"/>
        <v>13</v>
      </c>
      <c r="AF10">
        <f t="shared" si="9"/>
        <v>22</v>
      </c>
      <c r="AH10" s="10" t="s">
        <v>117</v>
      </c>
      <c r="AI10" s="10"/>
      <c r="AJ10" s="10"/>
      <c r="AK10" s="10"/>
    </row>
    <row r="11" spans="1:37" x14ac:dyDescent="0.35">
      <c r="A11" s="8" t="s">
        <v>82</v>
      </c>
      <c r="B11" s="7">
        <f>IF(CurMonth=1,12,CurMonth-1)</f>
        <v>6</v>
      </c>
      <c r="G11">
        <v>9</v>
      </c>
      <c r="H11" t="s">
        <v>98</v>
      </c>
      <c r="I11" s="3">
        <f>SUMIFS(Data[[Revenue]:[Revenue]],Data[[Region]:[Region]],Region,Data[[Month]:[Month]],'Data Prep'!$G11,Data[[Year]:[Year]],I$2)</f>
        <v>67569.269999999975</v>
      </c>
      <c r="J11" s="3" t="e">
        <f>IF(G11&gt;CurMonth,NA(),SUMIFS(Data[[Revenue]:[Revenue]],Data[[Region]:[Region]],Region,Data[[Month]:[Month]],'Data Prep'!$G11,Data[[Year]:[Year]],J$2))</f>
        <v>#N/A</v>
      </c>
      <c r="K11" s="3" t="e">
        <f t="shared" si="0"/>
        <v>#N/A</v>
      </c>
      <c r="M11" t="s">
        <v>61</v>
      </c>
      <c r="N11" s="3">
        <f>SUMIFS(Data[Revenue],Data[Store Name],M11,Data[Month],CurMonth,Data[Year],CurYear)</f>
        <v>32052.109999999993</v>
      </c>
      <c r="O11" s="3">
        <f>SUMIFS(Data[Revenue],Data[Store Name],M11,Data[Month],PrevMonth,Data[Year],PMYear)</f>
        <v>25228.359999999997</v>
      </c>
      <c r="P11" s="9">
        <f t="shared" si="1"/>
        <v>0.27047933357538878</v>
      </c>
      <c r="Q11">
        <f t="shared" si="6"/>
        <v>9</v>
      </c>
      <c r="S11">
        <v>9</v>
      </c>
      <c r="T11" t="str">
        <f t="shared" si="11"/>
        <v>LAX</v>
      </c>
      <c r="U11" t="str">
        <f>VLOOKUP(T11,Data!C10:D4274,2,0)</f>
        <v>Los Angeles</v>
      </c>
      <c r="V11" s="3">
        <f t="shared" si="2"/>
        <v>32052.109999999993</v>
      </c>
      <c r="W11" s="9">
        <f t="shared" si="2"/>
        <v>0.27047933357538878</v>
      </c>
      <c r="X11" s="9">
        <f t="shared" si="3"/>
        <v>0</v>
      </c>
      <c r="Y11" s="9">
        <f t="shared" si="4"/>
        <v>0</v>
      </c>
      <c r="AA11" t="s">
        <v>28</v>
      </c>
      <c r="AB11" s="3">
        <f>SUMIFS(Data[Revenue],Data[Region],Region,Data[Month],CurMonth,Data[Year],CurYear,Data[Product Name],'Data Prep'!AA11)</f>
        <v>1858.76</v>
      </c>
      <c r="AC11" s="3">
        <f>SUMIFS(Data[Revenue],Data[Region],Region,Data[Month],PrevMonth,Data[Year],PMYear,Data[Product Name],'Data Prep'!AA11)</f>
        <v>1334.1100000000001</v>
      </c>
      <c r="AD11" s="2">
        <f t="shared" si="7"/>
        <v>524.64999999999986</v>
      </c>
      <c r="AE11">
        <f t="shared" si="8"/>
        <v>9</v>
      </c>
      <c r="AF11">
        <f t="shared" si="9"/>
        <v>26</v>
      </c>
      <c r="AH11" s="12" t="s">
        <v>108</v>
      </c>
      <c r="AI11" s="12" t="s">
        <v>111</v>
      </c>
      <c r="AJ11" s="12" t="s">
        <v>103</v>
      </c>
      <c r="AK11" s="12" t="s">
        <v>113</v>
      </c>
    </row>
    <row r="12" spans="1:37" x14ac:dyDescent="0.35">
      <c r="A12" s="8" t="s">
        <v>87</v>
      </c>
      <c r="B12" s="7">
        <f>IF(CurMonth=1,PrevYear,CurYear)</f>
        <v>2021</v>
      </c>
      <c r="G12">
        <v>10</v>
      </c>
      <c r="H12" t="s">
        <v>99</v>
      </c>
      <c r="I12" s="3">
        <f>SUMIFS(Data[[Revenue]:[Revenue]],Data[[Region]:[Region]],Region,Data[[Month]:[Month]],'Data Prep'!$G12,Data[[Year]:[Year]],I$2)</f>
        <v>64882.340000000018</v>
      </c>
      <c r="J12" s="3" t="e">
        <f>IF(G12&gt;CurMonth,NA(),SUMIFS(Data[[Revenue]:[Revenue]],Data[[Region]:[Region]],Region,Data[[Month]:[Month]],'Data Prep'!$G12,Data[[Year]:[Year]],J$2))</f>
        <v>#N/A</v>
      </c>
      <c r="K12" s="3" t="e">
        <f t="shared" si="0"/>
        <v>#N/A</v>
      </c>
      <c r="M12" t="s">
        <v>57</v>
      </c>
      <c r="N12" s="3">
        <f>SUMIFS(Data[Revenue],Data[Store Name],M12,Data[Month],CurMonth,Data[Year],CurYear)</f>
        <v>36101.759999999995</v>
      </c>
      <c r="O12" s="3">
        <f>SUMIFS(Data[Revenue],Data[Store Name],M12,Data[Month],PrevMonth,Data[Year],PMYear)</f>
        <v>30245.009999999995</v>
      </c>
      <c r="P12" s="9">
        <f t="shared" si="1"/>
        <v>0.19364351342585118</v>
      </c>
      <c r="Q12">
        <f t="shared" si="6"/>
        <v>10</v>
      </c>
      <c r="S12">
        <v>10</v>
      </c>
      <c r="T12" t="str">
        <f t="shared" si="11"/>
        <v>O'Hare</v>
      </c>
      <c r="U12" t="str">
        <f>VLOOKUP(T12,Data!C11:D4275,2,0)</f>
        <v>Chicago</v>
      </c>
      <c r="V12" s="3">
        <f t="shared" si="2"/>
        <v>36101.759999999995</v>
      </c>
      <c r="W12" s="9">
        <f t="shared" si="2"/>
        <v>0.19364351342585118</v>
      </c>
      <c r="X12" s="9">
        <f t="shared" si="3"/>
        <v>36101.759999999995</v>
      </c>
      <c r="Y12" s="9">
        <f t="shared" si="4"/>
        <v>0.19364351342585118</v>
      </c>
      <c r="AA12" t="s">
        <v>32</v>
      </c>
      <c r="AB12" s="3">
        <f>SUMIFS(Data[Revenue],Data[Region],Region,Data[Month],CurMonth,Data[Year],CurYear,Data[Product Name],'Data Prep'!AA12)</f>
        <v>1582.56</v>
      </c>
      <c r="AC12" s="3">
        <f>SUMIFS(Data[Revenue],Data[Region],Region,Data[Month],PrevMonth,Data[Year],PMYear,Data[Product Name],'Data Prep'!AA12)</f>
        <v>1626.5200000000002</v>
      </c>
      <c r="AD12" s="2">
        <f t="shared" si="7"/>
        <v>-43.960000000000264</v>
      </c>
      <c r="AE12">
        <f t="shared" si="8"/>
        <v>17</v>
      </c>
      <c r="AF12">
        <f t="shared" si="9"/>
        <v>18</v>
      </c>
      <c r="AH12">
        <v>1</v>
      </c>
      <c r="AI12" t="str">
        <f>INDEX($AA$3:$AD$36,MATCH($AH12,$AF$3:$AF$36,0),MATCH(AI$2,$AA$2:$AD$2,0))</f>
        <v>Magic Sand</v>
      </c>
      <c r="AJ12" s="3">
        <f t="shared" ref="AJ12:AK17" si="12">INDEX($AA$3:$AD$36,MATCH($AH12,$AF$3:$AF$36,0),MATCH(AJ$2,$AA$2:$AD$2,0))</f>
        <v>7243.47</v>
      </c>
      <c r="AK12" s="3">
        <f t="shared" si="12"/>
        <v>-3277.95</v>
      </c>
    </row>
    <row r="13" spans="1:37" x14ac:dyDescent="0.35">
      <c r="A13" s="8" t="s">
        <v>120</v>
      </c>
      <c r="B13" t="str">
        <f>VLOOKUP(CurMonth,A16:B27,2,0)&amp;" "&amp;PMYear</f>
        <v>July 2021</v>
      </c>
      <c r="G13">
        <v>11</v>
      </c>
      <c r="H13" t="s">
        <v>100</v>
      </c>
      <c r="I13" s="3">
        <f>SUMIFS(Data[[Revenue]:[Revenue]],Data[[Region]:[Region]],Region,Data[[Month]:[Month]],'Data Prep'!$G13,Data[[Year]:[Year]],I$2)</f>
        <v>73732.52</v>
      </c>
      <c r="J13" s="3" t="e">
        <f>IF(G13&gt;CurMonth,NA(),SUMIFS(Data[[Revenue]:[Revenue]],Data[[Region]:[Region]],Region,Data[[Month]:[Month]],'Data Prep'!$G13,Data[[Year]:[Year]],J$2))</f>
        <v>#N/A</v>
      </c>
      <c r="K13" s="3" t="e">
        <f t="shared" si="0"/>
        <v>#N/A</v>
      </c>
      <c r="AA13" t="s">
        <v>31</v>
      </c>
      <c r="AB13" s="3">
        <f>SUMIFS(Data[Revenue],Data[Region],Region,Data[Month],CurMonth,Data[Year],CurYear,Data[Product Name],'Data Prep'!AA13)</f>
        <v>3098.45</v>
      </c>
      <c r="AC13" s="3">
        <f>SUMIFS(Data[Revenue],Data[Region],Region,Data[Month],PrevMonth,Data[Year],PMYear,Data[Product Name],'Data Prep'!AA13)</f>
        <v>1439.2799999999997</v>
      </c>
      <c r="AD13" s="2">
        <f t="shared" si="7"/>
        <v>1659.17</v>
      </c>
      <c r="AE13">
        <f t="shared" si="8"/>
        <v>5</v>
      </c>
      <c r="AF13">
        <f t="shared" si="9"/>
        <v>30</v>
      </c>
      <c r="AH13">
        <v>2</v>
      </c>
      <c r="AI13" t="str">
        <f t="shared" ref="AI13:AI17" si="13">INDEX($AA$3:$AD$36,MATCH($AH13,$AF$3:$AF$36,0),MATCH(AI$2,$AA$2:$AD$2,0))</f>
        <v>Colorbuds</v>
      </c>
      <c r="AJ13" s="3">
        <f t="shared" si="12"/>
        <v>4272.1500000000005</v>
      </c>
      <c r="AK13" s="3">
        <f t="shared" si="12"/>
        <v>-2338.4399999999996</v>
      </c>
    </row>
    <row r="14" spans="1:37" x14ac:dyDescent="0.35">
      <c r="G14">
        <v>12</v>
      </c>
      <c r="H14" t="s">
        <v>101</v>
      </c>
      <c r="I14" s="3">
        <f>SUMIFS(Data[[Revenue]:[Revenue]],Data[[Region]:[Region]],Region,Data[[Month]:[Month]],'Data Prep'!$G14,Data[[Year]:[Year]],I$2)</f>
        <v>93356.910000000018</v>
      </c>
      <c r="J14" s="3" t="e">
        <f>IF(G14&gt;CurMonth,NA(),SUMIFS(Data[[Revenue]:[Revenue]],Data[[Region]:[Region]],Region,Data[[Month]:[Month]],'Data Prep'!$G14,Data[[Year]:[Year]],J$2))</f>
        <v>#N/A</v>
      </c>
      <c r="K14" s="3" t="e">
        <f t="shared" si="0"/>
        <v>#N/A</v>
      </c>
      <c r="AA14" t="s">
        <v>15</v>
      </c>
      <c r="AB14" s="3">
        <f>SUMIFS(Data[Revenue],Data[Region],Region,Data[Month],CurMonth,Data[Year],CurYear,Data[Product Name],'Data Prep'!AA14)</f>
        <v>19035.240000000002</v>
      </c>
      <c r="AC14" s="3">
        <f>SUMIFS(Data[Revenue],Data[Region],Region,Data[Month],PrevMonth,Data[Year],PMYear,Data[Product Name],'Data Prep'!AA14)</f>
        <v>14316.419999999998</v>
      </c>
      <c r="AD14" s="2">
        <f t="shared" si="7"/>
        <v>4718.8200000000033</v>
      </c>
      <c r="AE14">
        <f t="shared" si="8"/>
        <v>1</v>
      </c>
      <c r="AF14">
        <f t="shared" si="9"/>
        <v>34</v>
      </c>
      <c r="AH14">
        <v>3</v>
      </c>
      <c r="AI14" t="str">
        <f t="shared" si="13"/>
        <v>Action Figure</v>
      </c>
      <c r="AJ14" s="3">
        <f t="shared" si="12"/>
        <v>3965.52</v>
      </c>
      <c r="AK14" s="3">
        <f t="shared" si="12"/>
        <v>-2334.5399999999995</v>
      </c>
    </row>
    <row r="15" spans="1:37" x14ac:dyDescent="0.35">
      <c r="A15" s="24" t="s">
        <v>89</v>
      </c>
      <c r="B15" s="5" t="s">
        <v>49</v>
      </c>
      <c r="AA15" t="s">
        <v>71</v>
      </c>
      <c r="AB15" s="3">
        <f>SUMIFS(Data[Revenue],Data[Region],Region,Data[Month],CurMonth,Data[Year],CurYear,Data[Product Name],'Data Prep'!AA15)</f>
        <v>2507.4900000000002</v>
      </c>
      <c r="AC15" s="3">
        <f>SUMIFS(Data[Revenue],Data[Region],Region,Data[Month],PrevMonth,Data[Year],PMYear,Data[Product Name],'Data Prep'!AA15)</f>
        <v>3756.2400000000002</v>
      </c>
      <c r="AD15" s="2">
        <f t="shared" si="7"/>
        <v>-1248.75</v>
      </c>
      <c r="AE15">
        <f t="shared" si="8"/>
        <v>30</v>
      </c>
      <c r="AF15">
        <f t="shared" si="9"/>
        <v>5</v>
      </c>
      <c r="AH15">
        <v>4</v>
      </c>
      <c r="AI15" t="str">
        <f t="shared" si="13"/>
        <v>Toy Robot</v>
      </c>
      <c r="AJ15" s="3">
        <f t="shared" si="12"/>
        <v>1039.5999999999999</v>
      </c>
      <c r="AK15" s="3">
        <f t="shared" si="12"/>
        <v>-1975.2400000000002</v>
      </c>
    </row>
    <row r="16" spans="1:37" x14ac:dyDescent="0.35">
      <c r="A16">
        <v>1</v>
      </c>
      <c r="B16" t="s">
        <v>121</v>
      </c>
      <c r="AA16" t="s">
        <v>19</v>
      </c>
      <c r="AB16" s="3">
        <f>SUMIFS(Data[Revenue],Data[Region],Region,Data[Month],CurMonth,Data[Year],CurYear,Data[Product Name],'Data Prep'!AA16)</f>
        <v>0</v>
      </c>
      <c r="AC16" s="3">
        <f>SUMIFS(Data[Revenue],Data[Region],Region,Data[Month],PrevMonth,Data[Year],PMYear,Data[Product Name],'Data Prep'!AA16)</f>
        <v>159.91999999999999</v>
      </c>
      <c r="AD16" s="2">
        <f t="shared" si="7"/>
        <v>-159.91999999999999</v>
      </c>
      <c r="AE16">
        <f t="shared" si="8"/>
        <v>22</v>
      </c>
      <c r="AF16">
        <f t="shared" si="9"/>
        <v>13</v>
      </c>
      <c r="AH16">
        <v>5</v>
      </c>
      <c r="AI16" t="str">
        <f t="shared" si="13"/>
        <v>Mini Ping Pong</v>
      </c>
      <c r="AJ16" s="3">
        <f t="shared" si="12"/>
        <v>2507.4900000000002</v>
      </c>
      <c r="AK16" s="3">
        <f t="shared" si="12"/>
        <v>-1248.75</v>
      </c>
    </row>
    <row r="17" spans="1:37" x14ac:dyDescent="0.35">
      <c r="A17">
        <v>2</v>
      </c>
      <c r="B17" t="s">
        <v>122</v>
      </c>
      <c r="AA17" t="s">
        <v>27</v>
      </c>
      <c r="AB17" s="3">
        <f>SUMIFS(Data[Revenue],Data[Region],Region,Data[Month],CurMonth,Data[Year],CurYear,Data[Product Name],'Data Prep'!AA17)</f>
        <v>2496.65</v>
      </c>
      <c r="AC17" s="3">
        <f>SUMIFS(Data[Revenue],Data[Region],Region,Data[Month],PrevMonth,Data[Year],PMYear,Data[Product Name],'Data Prep'!AA17)</f>
        <v>2439.84</v>
      </c>
      <c r="AD17" s="2">
        <f t="shared" si="7"/>
        <v>56.809999999999945</v>
      </c>
      <c r="AE17">
        <f t="shared" si="8"/>
        <v>16</v>
      </c>
      <c r="AF17">
        <f t="shared" si="9"/>
        <v>19</v>
      </c>
      <c r="AH17">
        <v>6</v>
      </c>
      <c r="AI17" t="str">
        <f t="shared" si="13"/>
        <v>Disk Launcher</v>
      </c>
      <c r="AJ17" s="3">
        <f t="shared" si="12"/>
        <v>815.31999999999994</v>
      </c>
      <c r="AK17" s="3">
        <f t="shared" si="12"/>
        <v>-839.30000000000018</v>
      </c>
    </row>
    <row r="18" spans="1:37" x14ac:dyDescent="0.35">
      <c r="A18">
        <v>3</v>
      </c>
      <c r="B18" t="s">
        <v>123</v>
      </c>
      <c r="AA18" t="s">
        <v>11</v>
      </c>
      <c r="AB18" s="3">
        <f>SUMIFS(Data[Revenue],Data[Region],Region,Data[Month],CurMonth,Data[Year],CurYear,Data[Product Name],'Data Prep'!AA18)</f>
        <v>538.92000000000007</v>
      </c>
      <c r="AC18" s="3">
        <f>SUMIFS(Data[Revenue],Data[Region],Region,Data[Month],PrevMonth,Data[Year],PMYear,Data[Product Name],'Data Prep'!AA18)</f>
        <v>479.03999999999996</v>
      </c>
      <c r="AD18" s="2">
        <f t="shared" si="7"/>
        <v>59.880000000000109</v>
      </c>
      <c r="AE18">
        <f t="shared" si="8"/>
        <v>15</v>
      </c>
      <c r="AF18">
        <f t="shared" si="9"/>
        <v>20</v>
      </c>
    </row>
    <row r="19" spans="1:37" x14ac:dyDescent="0.35">
      <c r="A19">
        <v>4</v>
      </c>
      <c r="B19" t="s">
        <v>124</v>
      </c>
      <c r="AA19" t="s">
        <v>26</v>
      </c>
      <c r="AB19" s="3">
        <f>SUMIFS(Data[Revenue],Data[Region],Region,Data[Month],CurMonth,Data[Year],CurYear,Data[Product Name],'Data Prep'!AA19)</f>
        <v>5597.2</v>
      </c>
      <c r="AC19" s="3">
        <f>SUMIFS(Data[Revenue],Data[Region],Region,Data[Month],PrevMonth,Data[Year],PMYear,Data[Product Name],'Data Prep'!AA19)</f>
        <v>4637.6799999999994</v>
      </c>
      <c r="AD19" s="2">
        <f t="shared" si="7"/>
        <v>959.52000000000044</v>
      </c>
      <c r="AE19">
        <f t="shared" si="8"/>
        <v>8</v>
      </c>
      <c r="AF19">
        <f t="shared" si="9"/>
        <v>27</v>
      </c>
    </row>
    <row r="20" spans="1:37" x14ac:dyDescent="0.35">
      <c r="A20">
        <v>5</v>
      </c>
      <c r="B20" t="s">
        <v>94</v>
      </c>
      <c r="AA20" t="s">
        <v>6</v>
      </c>
      <c r="AB20" s="3">
        <f>SUMIFS(Data[Revenue],Data[Region],Region,Data[Month],CurMonth,Data[Year],CurYear,Data[Product Name],'Data Prep'!AA20)</f>
        <v>5061.3700000000008</v>
      </c>
      <c r="AC20" s="3">
        <f>SUMIFS(Data[Revenue],Data[Region],Region,Data[Month],PrevMonth,Data[Year],PMYear,Data[Product Name],'Data Prep'!AA20)</f>
        <v>3856.7100000000005</v>
      </c>
      <c r="AD20" s="2">
        <f t="shared" si="7"/>
        <v>1204.6600000000003</v>
      </c>
      <c r="AE20">
        <f t="shared" si="8"/>
        <v>6</v>
      </c>
      <c r="AF20">
        <f t="shared" si="9"/>
        <v>29</v>
      </c>
    </row>
    <row r="21" spans="1:37" x14ac:dyDescent="0.35">
      <c r="A21">
        <v>6</v>
      </c>
      <c r="B21" t="s">
        <v>125</v>
      </c>
      <c r="AA21" t="s">
        <v>16</v>
      </c>
      <c r="AB21" s="3">
        <f>SUMIFS(Data[Revenue],Data[Region],Region,Data[Month],CurMonth,Data[Year],CurYear,Data[Product Name],'Data Prep'!AA21)</f>
        <v>597.54</v>
      </c>
      <c r="AC21" s="3">
        <f>SUMIFS(Data[Revenue],Data[Region],Region,Data[Month],PrevMonth,Data[Year],PMYear,Data[Product Name],'Data Prep'!AA21)</f>
        <v>220.83</v>
      </c>
      <c r="AD21" s="2">
        <f t="shared" si="7"/>
        <v>376.70999999999992</v>
      </c>
      <c r="AE21">
        <f t="shared" si="8"/>
        <v>10</v>
      </c>
      <c r="AF21">
        <f t="shared" si="9"/>
        <v>25</v>
      </c>
    </row>
    <row r="22" spans="1:37" x14ac:dyDescent="0.35">
      <c r="A22">
        <v>7</v>
      </c>
      <c r="B22" t="s">
        <v>126</v>
      </c>
      <c r="AA22" t="s">
        <v>23</v>
      </c>
      <c r="AB22" s="3">
        <f>SUMIFS(Data[Revenue],Data[Region],Region,Data[Month],CurMonth,Data[Year],CurYear,Data[Product Name],'Data Prep'!AA22)</f>
        <v>1039.5999999999999</v>
      </c>
      <c r="AC22" s="3">
        <f>SUMIFS(Data[Revenue],Data[Region],Region,Data[Month],PrevMonth,Data[Year],PMYear,Data[Product Name],'Data Prep'!AA22)</f>
        <v>3014.84</v>
      </c>
      <c r="AD22" s="2">
        <f t="shared" si="7"/>
        <v>-1975.2400000000002</v>
      </c>
      <c r="AE22">
        <f t="shared" si="8"/>
        <v>31</v>
      </c>
      <c r="AF22">
        <f t="shared" si="9"/>
        <v>4</v>
      </c>
    </row>
    <row r="23" spans="1:37" x14ac:dyDescent="0.35">
      <c r="A23">
        <v>8</v>
      </c>
      <c r="B23" t="s">
        <v>127</v>
      </c>
      <c r="AA23" t="s">
        <v>10</v>
      </c>
      <c r="AB23" s="3">
        <f>SUMIFS(Data[Revenue],Data[Region],Region,Data[Month],CurMonth,Data[Year],CurYear,Data[Product Name],'Data Prep'!AA23)</f>
        <v>5617.19</v>
      </c>
      <c r="AC23" s="3">
        <f>SUMIFS(Data[Revenue],Data[Region],Region,Data[Month],PrevMonth,Data[Year],PMYear,Data[Product Name],'Data Prep'!AA23)</f>
        <v>3078.4599999999996</v>
      </c>
      <c r="AD23" s="2">
        <f t="shared" si="7"/>
        <v>2538.73</v>
      </c>
      <c r="AE23">
        <f t="shared" si="8"/>
        <v>3</v>
      </c>
      <c r="AF23">
        <f t="shared" si="9"/>
        <v>32</v>
      </c>
    </row>
    <row r="24" spans="1:37" x14ac:dyDescent="0.35">
      <c r="A24">
        <v>9</v>
      </c>
      <c r="B24" t="s">
        <v>128</v>
      </c>
      <c r="AA24" t="s">
        <v>66</v>
      </c>
      <c r="AB24" s="3">
        <f>SUMIFS(Data[Revenue],Data[Region],Region,Data[Month],CurMonth,Data[Year],CurYear,Data[Product Name],'Data Prep'!AA24)</f>
        <v>274.89</v>
      </c>
      <c r="AC24" s="3">
        <f>SUMIFS(Data[Revenue],Data[Region],Region,Data[Month],PrevMonth,Data[Year],PMYear,Data[Product Name],'Data Prep'!AA24)</f>
        <v>149.94</v>
      </c>
      <c r="AD24" s="2">
        <f t="shared" si="7"/>
        <v>124.94999999999999</v>
      </c>
      <c r="AE24">
        <f t="shared" si="8"/>
        <v>14</v>
      </c>
      <c r="AF24">
        <f t="shared" si="9"/>
        <v>21</v>
      </c>
    </row>
    <row r="25" spans="1:37" x14ac:dyDescent="0.35">
      <c r="A25">
        <v>10</v>
      </c>
      <c r="B25" t="s">
        <v>129</v>
      </c>
      <c r="AA25" t="s">
        <v>29</v>
      </c>
      <c r="AB25" s="3">
        <f>SUMIFS(Data[Revenue],Data[Region],Region,Data[Month],CurMonth,Data[Year],CurYear,Data[Product Name],'Data Prep'!AA25)</f>
        <v>135.83000000000001</v>
      </c>
      <c r="AC25" s="3">
        <f>SUMIFS(Data[Revenue],Data[Region],Region,Data[Month],PrevMonth,Data[Year],PMYear,Data[Product Name],'Data Prep'!AA25)</f>
        <v>351.56000000000006</v>
      </c>
      <c r="AD25" s="2">
        <f t="shared" si="7"/>
        <v>-215.73000000000005</v>
      </c>
      <c r="AE25">
        <f t="shared" si="8"/>
        <v>24</v>
      </c>
      <c r="AF25">
        <f t="shared" si="9"/>
        <v>11</v>
      </c>
    </row>
    <row r="26" spans="1:37" x14ac:dyDescent="0.35">
      <c r="A26">
        <v>11</v>
      </c>
      <c r="B26" t="s">
        <v>130</v>
      </c>
      <c r="AA26" t="s">
        <v>34</v>
      </c>
      <c r="AB26" s="3">
        <f>SUMIFS(Data[Revenue],Data[Region],Region,Data[Month],CurMonth,Data[Year],CurYear,Data[Product Name],'Data Prep'!AA26)</f>
        <v>3475.29</v>
      </c>
      <c r="AC26" s="3">
        <f>SUMIFS(Data[Revenue],Data[Region],Region,Data[Month],PrevMonth,Data[Year],PMYear,Data[Product Name],'Data Prep'!AA26)</f>
        <v>3910.2</v>
      </c>
      <c r="AD26" s="2">
        <f t="shared" si="7"/>
        <v>-434.90999999999985</v>
      </c>
      <c r="AE26">
        <f t="shared" si="8"/>
        <v>25</v>
      </c>
      <c r="AF26">
        <f t="shared" si="9"/>
        <v>10</v>
      </c>
    </row>
    <row r="27" spans="1:37" x14ac:dyDescent="0.35">
      <c r="A27">
        <v>12</v>
      </c>
      <c r="B27" t="s">
        <v>131</v>
      </c>
      <c r="AA27" t="s">
        <v>70</v>
      </c>
      <c r="AB27" s="3">
        <f>SUMIFS(Data[Revenue],Data[Region],Region,Data[Month],CurMonth,Data[Year],CurYear,Data[Product Name],'Data Prep'!AA27)</f>
        <v>1072.21</v>
      </c>
      <c r="AC27" s="3">
        <f>SUMIFS(Data[Revenue],Data[Region],Region,Data[Month],PrevMonth,Data[Year],PMYear,Data[Product Name],'Data Prep'!AA27)</f>
        <v>730.78</v>
      </c>
      <c r="AD27" s="2">
        <f t="shared" si="7"/>
        <v>341.43000000000006</v>
      </c>
      <c r="AE27">
        <f t="shared" si="8"/>
        <v>11</v>
      </c>
      <c r="AF27">
        <f t="shared" si="9"/>
        <v>24</v>
      </c>
    </row>
    <row r="28" spans="1:37" x14ac:dyDescent="0.35">
      <c r="AA28" t="s">
        <v>67</v>
      </c>
      <c r="AB28" s="3">
        <f>SUMIFS(Data[Revenue],Data[Region],Region,Data[Month],CurMonth,Data[Year],CurYear,Data[Product Name],'Data Prep'!AA28)</f>
        <v>569.62</v>
      </c>
      <c r="AC28" s="3">
        <f>SUMIFS(Data[Revenue],Data[Region],Region,Data[Month],PrevMonth,Data[Year],PMYear,Data[Product Name],'Data Prep'!AA28)</f>
        <v>689.54000000000008</v>
      </c>
      <c r="AD28" s="2">
        <f t="shared" si="7"/>
        <v>-119.92000000000007</v>
      </c>
      <c r="AE28">
        <f t="shared" si="8"/>
        <v>20</v>
      </c>
      <c r="AF28">
        <f t="shared" si="9"/>
        <v>15</v>
      </c>
    </row>
    <row r="29" spans="1:37" x14ac:dyDescent="0.35">
      <c r="AA29" t="s">
        <v>37</v>
      </c>
      <c r="AB29" s="3">
        <f>SUMIFS(Data[Revenue],Data[Region],Region,Data[Month],CurMonth,Data[Year],CurYear,Data[Product Name],'Data Prep'!AA29)</f>
        <v>399.84</v>
      </c>
      <c r="AC29" s="3">
        <f>SUMIFS(Data[Revenue],Data[Region],Region,Data[Month],PrevMonth,Data[Year],PMYear,Data[Product Name],'Data Prep'!AA29)</f>
        <v>549.78</v>
      </c>
      <c r="AD29" s="2">
        <f t="shared" si="7"/>
        <v>-149.94</v>
      </c>
      <c r="AE29">
        <f t="shared" si="8"/>
        <v>21</v>
      </c>
      <c r="AF29">
        <f t="shared" si="9"/>
        <v>14</v>
      </c>
    </row>
    <row r="30" spans="1:37" x14ac:dyDescent="0.35">
      <c r="AA30" t="s">
        <v>38</v>
      </c>
      <c r="AB30" s="3">
        <f>SUMIFS(Data[Revenue],Data[Region],Region,Data[Month],CurMonth,Data[Year],CurYear,Data[Product Name],'Data Prep'!AA30)</f>
        <v>619.38</v>
      </c>
      <c r="AC30" s="3">
        <f>SUMIFS(Data[Revenue],Data[Region],Region,Data[Month],PrevMonth,Data[Year],PMYear,Data[Product Name],'Data Prep'!AA30)</f>
        <v>729.27</v>
      </c>
      <c r="AD30" s="2">
        <f t="shared" si="7"/>
        <v>-109.88999999999999</v>
      </c>
      <c r="AE30">
        <f t="shared" si="8"/>
        <v>19</v>
      </c>
      <c r="AF30">
        <f t="shared" si="9"/>
        <v>16</v>
      </c>
    </row>
    <row r="31" spans="1:37" x14ac:dyDescent="0.35">
      <c r="AA31" t="s">
        <v>39</v>
      </c>
      <c r="AB31" s="3">
        <f>SUMIFS(Data[Revenue],Data[Region],Region,Data[Month],CurMonth,Data[Year],CurYear,Data[Product Name],'Data Prep'!AA31)</f>
        <v>1319.34</v>
      </c>
      <c r="AC31" s="3">
        <f>SUMIFS(Data[Revenue],Data[Region],Region,Data[Month],PrevMonth,Data[Year],PMYear,Data[Product Name],'Data Prep'!AA31)</f>
        <v>1839.08</v>
      </c>
      <c r="AD31" s="2">
        <f t="shared" si="7"/>
        <v>-519.74</v>
      </c>
      <c r="AE31">
        <f t="shared" si="8"/>
        <v>26</v>
      </c>
      <c r="AF31">
        <f t="shared" si="9"/>
        <v>9</v>
      </c>
    </row>
    <row r="32" spans="1:37" x14ac:dyDescent="0.35">
      <c r="AA32" t="s">
        <v>68</v>
      </c>
      <c r="AB32" s="3">
        <f>SUMIFS(Data[Revenue],Data[Region],Region,Data[Month],CurMonth,Data[Year],CurYear,Data[Product Name],'Data Prep'!AA32)</f>
        <v>2140.9799999999996</v>
      </c>
      <c r="AC32" s="3">
        <f>SUMIFS(Data[Revenue],Data[Region],Region,Data[Month],PrevMonth,Data[Year],PMYear,Data[Product Name],'Data Prep'!AA32)</f>
        <v>965.54</v>
      </c>
      <c r="AD32" s="2">
        <f t="shared" si="7"/>
        <v>1175.4399999999996</v>
      </c>
      <c r="AE32">
        <f t="shared" si="8"/>
        <v>7</v>
      </c>
      <c r="AF32">
        <f t="shared" si="9"/>
        <v>28</v>
      </c>
    </row>
    <row r="33" spans="27:32" x14ac:dyDescent="0.35">
      <c r="AA33" t="s">
        <v>42</v>
      </c>
      <c r="AB33" s="3">
        <f>SUMIFS(Data[Revenue],Data[Region],Region,Data[Month],CurMonth,Data[Year],CurYear,Data[Product Name],'Data Prep'!AA33)</f>
        <v>7243.47</v>
      </c>
      <c r="AC33" s="3">
        <f>SUMIFS(Data[Revenue],Data[Region],Region,Data[Month],PrevMonth,Data[Year],PMYear,Data[Product Name],'Data Prep'!AA33)</f>
        <v>10521.42</v>
      </c>
      <c r="AD33" s="2">
        <f t="shared" si="7"/>
        <v>-3277.95</v>
      </c>
      <c r="AE33">
        <f t="shared" si="8"/>
        <v>34</v>
      </c>
      <c r="AF33">
        <f t="shared" si="9"/>
        <v>1</v>
      </c>
    </row>
    <row r="34" spans="27:32" x14ac:dyDescent="0.35">
      <c r="AA34" t="s">
        <v>41</v>
      </c>
      <c r="AB34" s="3">
        <f>SUMIFS(Data[Revenue],Data[Region],Region,Data[Month],CurMonth,Data[Year],CurYear,Data[Product Name],'Data Prep'!AA34)</f>
        <v>1188.81</v>
      </c>
      <c r="AC34" s="3">
        <f>SUMIFS(Data[Revenue],Data[Region],Region,Data[Month],PrevMonth,Data[Year],PMYear,Data[Product Name],'Data Prep'!AA34)</f>
        <v>1398.6000000000001</v>
      </c>
      <c r="AD34" s="2">
        <f t="shared" si="7"/>
        <v>-209.79000000000019</v>
      </c>
      <c r="AE34">
        <f t="shared" si="8"/>
        <v>23</v>
      </c>
      <c r="AF34">
        <f t="shared" si="9"/>
        <v>12</v>
      </c>
    </row>
    <row r="35" spans="27:32" x14ac:dyDescent="0.35">
      <c r="AA35" t="s">
        <v>43</v>
      </c>
      <c r="AB35" s="3">
        <f>SUMIFS(Data[Revenue],Data[Region],Region,Data[Month],CurMonth,Data[Year],CurYear,Data[Product Name],'Data Prep'!AA35)</f>
        <v>4407.8999999999996</v>
      </c>
      <c r="AC35" s="3">
        <f>SUMIFS(Data[Revenue],Data[Region],Region,Data[Month],PrevMonth,Data[Year],PMYear,Data[Product Name],'Data Prep'!AA35)</f>
        <v>1511.28</v>
      </c>
      <c r="AD35" s="2">
        <f t="shared" si="7"/>
        <v>2896.62</v>
      </c>
      <c r="AE35">
        <f t="shared" si="8"/>
        <v>2</v>
      </c>
      <c r="AF35">
        <f t="shared" si="9"/>
        <v>33</v>
      </c>
    </row>
    <row r="36" spans="27:32" x14ac:dyDescent="0.35">
      <c r="AA36" t="s">
        <v>69</v>
      </c>
      <c r="AB36" s="3">
        <f>SUMIFS(Data[Revenue],Data[Region],Region,Data[Month],CurMonth,Data[Year],CurYear,Data[Product Name],'Data Prep'!AA36)</f>
        <v>815.31999999999994</v>
      </c>
      <c r="AC36" s="3">
        <f>SUMIFS(Data[Revenue],Data[Region],Region,Data[Month],PrevMonth,Data[Year],PMYear,Data[Product Name],'Data Prep'!AA36)</f>
        <v>1654.6200000000001</v>
      </c>
      <c r="AD36" s="2">
        <f t="shared" si="7"/>
        <v>-839.30000000000018</v>
      </c>
      <c r="AE36">
        <f t="shared" si="8"/>
        <v>29</v>
      </c>
      <c r="AF36">
        <f t="shared" si="9"/>
        <v>6</v>
      </c>
    </row>
  </sheetData>
  <sortState xmlns:xlrd2="http://schemas.microsoft.com/office/spreadsheetml/2017/richdata2" ref="M3:P12">
    <sortCondition ref="N2:N12"/>
  </sortState>
  <phoneticPr fontId="2" type="noConversion"/>
  <conditionalFormatting sqref="E5:E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U3:U1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248" workbookViewId="0">
      <selection sqref="A1:J269"/>
    </sheetView>
  </sheetViews>
  <sheetFormatPr defaultRowHeight="14.5" x14ac:dyDescent="0.35"/>
  <sheetData>
    <row r="1" spans="1:10" x14ac:dyDescent="0.3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/>
  </sheetViews>
  <sheetFormatPr defaultRowHeight="14.5" x14ac:dyDescent="0.35"/>
  <sheetData>
    <row r="1" spans="1:10" x14ac:dyDescent="0.3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Dashboard</vt:lpstr>
      <vt:lpstr>Data Prep</vt:lpstr>
      <vt:lpstr>New Data (Aug 2021)</vt:lpstr>
      <vt:lpstr>New Data (Sep 2021)</vt:lpstr>
      <vt:lpstr>CurMonth</vt:lpstr>
      <vt:lpstr>CurYear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Afif Rifa'ie</cp:lastModifiedBy>
  <dcterms:created xsi:type="dcterms:W3CDTF">2021-07-16T18:17:37Z</dcterms:created>
  <dcterms:modified xsi:type="dcterms:W3CDTF">2024-03-21T01:48:02Z</dcterms:modified>
</cp:coreProperties>
</file>